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https://sykoraprojekty-my.sharepoint.com/personal/info_sykoraprojekty_onmicrosoft_com/Documents/01_Projekce/01_Zakázky/2024/24008_IVA_TGM_Stř/02_PD/07_Rozpočet/"/>
    </mc:Choice>
  </mc:AlternateContent>
  <xr:revisionPtr revIDLastSave="1" documentId="11_8485E81087A6893F4935E034C3259131BEEB2473" xr6:coauthVersionLast="47" xr6:coauthVersionMax="47" xr10:uidLastSave="{8B066FB4-DCAF-4E69-ABA5-24DEBEB80BFC}"/>
  <bookViews>
    <workbookView xWindow="-38520" yWindow="-120" windowWidth="38640" windowHeight="21120" tabRatio="910" xr2:uid="{00000000-000D-0000-FFFF-FFFF00000000}"/>
  </bookViews>
  <sheets>
    <sheet name="Krycí list rozpočtu" sheetId="2" r:id="rId1"/>
    <sheet name="VORN" sheetId="3" state="hidden" r:id="rId2"/>
    <sheet name="Krycí list rozpočtu (00)" sheetId="4" r:id="rId3"/>
    <sheet name="VORN objektu (00)" sheetId="5" state="hidden" r:id="rId4"/>
    <sheet name="Krycí list rozpočtu (01)" sheetId="6" r:id="rId5"/>
    <sheet name="VORN objektu (01)" sheetId="7" state="hidden" r:id="rId6"/>
    <sheet name="Krycí list rozpočtu (02)" sheetId="8" r:id="rId7"/>
    <sheet name="VORN objektu (02)" sheetId="9" state="hidden" r:id="rId8"/>
    <sheet name="Krycí list rozpočtu (03)" sheetId="10" r:id="rId9"/>
    <sheet name="VORN objektu (03)" sheetId="11" state="hidden" r:id="rId10"/>
    <sheet name="Krycí list rozpočtu (04)" sheetId="12" r:id="rId11"/>
    <sheet name="VORN objektu (04)" sheetId="13" state="hidden" r:id="rId12"/>
    <sheet name="Krycí list rozpočtu (05)" sheetId="14" r:id="rId13"/>
    <sheet name="VORN objektu (05)" sheetId="15" state="hidden" r:id="rId14"/>
    <sheet name="Krycí list rozpočtu (06)" sheetId="16" r:id="rId15"/>
    <sheet name="Stavební rozpočet" sheetId="1" r:id="rId16"/>
    <sheet name="VORN objektu (06)" sheetId="17" state="hidden" r:id="rId17"/>
  </sheets>
  <definedNames>
    <definedName name="vorn_sum">VORN!$I$36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6" i="17" l="1"/>
  <c r="I35" i="17"/>
  <c r="I26" i="17"/>
  <c r="I19" i="16" s="1"/>
  <c r="I25" i="17"/>
  <c r="I24" i="17"/>
  <c r="I23" i="17"/>
  <c r="I22" i="17"/>
  <c r="I21" i="17"/>
  <c r="I14" i="16" s="1"/>
  <c r="I18" i="17"/>
  <c r="I17" i="17"/>
  <c r="I16" i="17"/>
  <c r="I15" i="17"/>
  <c r="I10" i="17"/>
  <c r="F10" i="17"/>
  <c r="C10" i="17"/>
  <c r="F8" i="17"/>
  <c r="C8" i="17"/>
  <c r="F6" i="17"/>
  <c r="C6" i="17"/>
  <c r="F4" i="17"/>
  <c r="C4" i="17"/>
  <c r="F2" i="17"/>
  <c r="C2" i="17"/>
  <c r="I23" i="16"/>
  <c r="I18" i="16"/>
  <c r="I17" i="16"/>
  <c r="I16" i="16"/>
  <c r="F16" i="16"/>
  <c r="I15" i="16"/>
  <c r="F15" i="16"/>
  <c r="F14" i="16"/>
  <c r="F22" i="16" s="1"/>
  <c r="I10" i="16"/>
  <c r="F10" i="16"/>
  <c r="C10" i="16"/>
  <c r="F8" i="16"/>
  <c r="C8" i="16"/>
  <c r="F6" i="16"/>
  <c r="C6" i="16"/>
  <c r="F4" i="16"/>
  <c r="C4" i="16"/>
  <c r="F2" i="16"/>
  <c r="C2" i="16"/>
  <c r="I35" i="15"/>
  <c r="I36" i="15" s="1"/>
  <c r="I23" i="14" s="1"/>
  <c r="I26" i="15"/>
  <c r="I25" i="15"/>
  <c r="I18" i="14" s="1"/>
  <c r="I24" i="15"/>
  <c r="I23" i="15"/>
  <c r="I16" i="14" s="1"/>
  <c r="I22" i="15"/>
  <c r="I15" i="14" s="1"/>
  <c r="I21" i="15"/>
  <c r="I14" i="14" s="1"/>
  <c r="I17" i="15"/>
  <c r="I16" i="15"/>
  <c r="I15" i="15"/>
  <c r="I18" i="15" s="1"/>
  <c r="I10" i="15"/>
  <c r="F10" i="15"/>
  <c r="C10" i="15"/>
  <c r="F8" i="15"/>
  <c r="C8" i="15"/>
  <c r="F6" i="15"/>
  <c r="C6" i="15"/>
  <c r="F4" i="15"/>
  <c r="C4" i="15"/>
  <c r="F2" i="15"/>
  <c r="C2" i="15"/>
  <c r="I22" i="14"/>
  <c r="I19" i="14"/>
  <c r="I17" i="14"/>
  <c r="F16" i="14"/>
  <c r="F15" i="14"/>
  <c r="F14" i="14"/>
  <c r="I10" i="14"/>
  <c r="F10" i="14"/>
  <c r="C10" i="14"/>
  <c r="F8" i="14"/>
  <c r="C8" i="14"/>
  <c r="F6" i="14"/>
  <c r="C6" i="14"/>
  <c r="F4" i="14"/>
  <c r="C4" i="14"/>
  <c r="F2" i="14"/>
  <c r="C2" i="14"/>
  <c r="I35" i="13"/>
  <c r="I36" i="13" s="1"/>
  <c r="I26" i="13"/>
  <c r="I25" i="13"/>
  <c r="I18" i="12" s="1"/>
  <c r="I24" i="13"/>
  <c r="I23" i="13"/>
  <c r="I22" i="13"/>
  <c r="I15" i="12" s="1"/>
  <c r="I21" i="13"/>
  <c r="I27" i="13" s="1"/>
  <c r="I17" i="13"/>
  <c r="I16" i="13"/>
  <c r="I15" i="13"/>
  <c r="I10" i="13"/>
  <c r="F10" i="13"/>
  <c r="C10" i="13"/>
  <c r="F8" i="13"/>
  <c r="C8" i="13"/>
  <c r="F6" i="13"/>
  <c r="C6" i="13"/>
  <c r="F4" i="13"/>
  <c r="C4" i="13"/>
  <c r="F2" i="13"/>
  <c r="C2" i="13"/>
  <c r="I23" i="12"/>
  <c r="I22" i="12"/>
  <c r="I19" i="12"/>
  <c r="I17" i="12"/>
  <c r="I16" i="12"/>
  <c r="F15" i="12"/>
  <c r="I14" i="12"/>
  <c r="F14" i="12"/>
  <c r="I10" i="12"/>
  <c r="F10" i="12"/>
  <c r="C10" i="12"/>
  <c r="F8" i="12"/>
  <c r="C8" i="12"/>
  <c r="F6" i="12"/>
  <c r="C6" i="12"/>
  <c r="F4" i="12"/>
  <c r="C4" i="12"/>
  <c r="F2" i="12"/>
  <c r="C2" i="12"/>
  <c r="I36" i="11"/>
  <c r="I23" i="10" s="1"/>
  <c r="I35" i="11"/>
  <c r="I26" i="11"/>
  <c r="I19" i="10" s="1"/>
  <c r="I25" i="11"/>
  <c r="I24" i="11"/>
  <c r="I23" i="11"/>
  <c r="I16" i="10" s="1"/>
  <c r="I22" i="11"/>
  <c r="I21" i="11"/>
  <c r="I14" i="10" s="1"/>
  <c r="I17" i="11"/>
  <c r="F16" i="10" s="1"/>
  <c r="I16" i="11"/>
  <c r="F15" i="10" s="1"/>
  <c r="F22" i="10" s="1"/>
  <c r="I15" i="11"/>
  <c r="F14" i="10" s="1"/>
  <c r="I10" i="11"/>
  <c r="F10" i="11"/>
  <c r="C10" i="11"/>
  <c r="F8" i="11"/>
  <c r="C8" i="11"/>
  <c r="F6" i="11"/>
  <c r="C6" i="11"/>
  <c r="F4" i="11"/>
  <c r="C4" i="11"/>
  <c r="F2" i="11"/>
  <c r="C2" i="11"/>
  <c r="I18" i="10"/>
  <c r="I17" i="10"/>
  <c r="I15" i="10"/>
  <c r="I10" i="10"/>
  <c r="F10" i="10"/>
  <c r="C10" i="10"/>
  <c r="F8" i="10"/>
  <c r="C8" i="10"/>
  <c r="F6" i="10"/>
  <c r="C6" i="10"/>
  <c r="F4" i="10"/>
  <c r="C4" i="10"/>
  <c r="F2" i="10"/>
  <c r="C2" i="10"/>
  <c r="I36" i="9"/>
  <c r="I23" i="8" s="1"/>
  <c r="I35" i="9"/>
  <c r="I26" i="9"/>
  <c r="I25" i="9"/>
  <c r="I18" i="8" s="1"/>
  <c r="I24" i="9"/>
  <c r="I17" i="8" s="1"/>
  <c r="I23" i="9"/>
  <c r="I22" i="9"/>
  <c r="I15" i="8" s="1"/>
  <c r="I21" i="9"/>
  <c r="I14" i="8" s="1"/>
  <c r="I17" i="9"/>
  <c r="I16" i="9"/>
  <c r="I15" i="9"/>
  <c r="I18" i="9" s="1"/>
  <c r="I10" i="9"/>
  <c r="F10" i="9"/>
  <c r="C10" i="9"/>
  <c r="F8" i="9"/>
  <c r="C8" i="9"/>
  <c r="F6" i="9"/>
  <c r="C6" i="9"/>
  <c r="F4" i="9"/>
  <c r="C4" i="9"/>
  <c r="F2" i="9"/>
  <c r="C2" i="9"/>
  <c r="I19" i="8"/>
  <c r="I16" i="8"/>
  <c r="F16" i="8"/>
  <c r="F15" i="8"/>
  <c r="F14" i="8"/>
  <c r="I10" i="8"/>
  <c r="F10" i="8"/>
  <c r="C10" i="8"/>
  <c r="F8" i="8"/>
  <c r="C8" i="8"/>
  <c r="F6" i="8"/>
  <c r="C6" i="8"/>
  <c r="F4" i="8"/>
  <c r="C4" i="8"/>
  <c r="F2" i="8"/>
  <c r="C2" i="8"/>
  <c r="I36" i="7"/>
  <c r="I35" i="7"/>
  <c r="I26" i="7"/>
  <c r="I25" i="7"/>
  <c r="I24" i="7"/>
  <c r="I23" i="7"/>
  <c r="I22" i="7"/>
  <c r="I15" i="6" s="1"/>
  <c r="I21" i="7"/>
  <c r="I27" i="7" s="1"/>
  <c r="I17" i="7"/>
  <c r="I16" i="7"/>
  <c r="I18" i="7" s="1"/>
  <c r="F29" i="7" s="1"/>
  <c r="I15" i="7"/>
  <c r="I10" i="7"/>
  <c r="F10" i="7"/>
  <c r="C10" i="7"/>
  <c r="F8" i="7"/>
  <c r="C8" i="7"/>
  <c r="F6" i="7"/>
  <c r="C6" i="7"/>
  <c r="F4" i="7"/>
  <c r="C4" i="7"/>
  <c r="F2" i="7"/>
  <c r="C2" i="7"/>
  <c r="I23" i="6"/>
  <c r="I19" i="6"/>
  <c r="I18" i="6"/>
  <c r="I17" i="6"/>
  <c r="I16" i="6"/>
  <c r="F16" i="6"/>
  <c r="F15" i="6"/>
  <c r="F22" i="6" s="1"/>
  <c r="I14" i="6"/>
  <c r="I22" i="6" s="1"/>
  <c r="F14" i="6"/>
  <c r="I10" i="6"/>
  <c r="F10" i="6"/>
  <c r="C10" i="6"/>
  <c r="F8" i="6"/>
  <c r="C8" i="6"/>
  <c r="F6" i="6"/>
  <c r="C6" i="6"/>
  <c r="F4" i="6"/>
  <c r="C4" i="6"/>
  <c r="F2" i="6"/>
  <c r="C2" i="6"/>
  <c r="I35" i="5"/>
  <c r="I36" i="5" s="1"/>
  <c r="I23" i="4" s="1"/>
  <c r="I26" i="5"/>
  <c r="I19" i="4" s="1"/>
  <c r="I25" i="5"/>
  <c r="I18" i="4" s="1"/>
  <c r="I24" i="5"/>
  <c r="I17" i="4" s="1"/>
  <c r="I23" i="5"/>
  <c r="I22" i="5"/>
  <c r="I15" i="4" s="1"/>
  <c r="I21" i="5"/>
  <c r="I18" i="5"/>
  <c r="I17" i="5"/>
  <c r="F16" i="4" s="1"/>
  <c r="I16" i="5"/>
  <c r="I15" i="5"/>
  <c r="F14" i="4" s="1"/>
  <c r="I10" i="5"/>
  <c r="F10" i="5"/>
  <c r="C10" i="5"/>
  <c r="F8" i="5"/>
  <c r="C8" i="5"/>
  <c r="F6" i="5"/>
  <c r="C6" i="5"/>
  <c r="F4" i="5"/>
  <c r="C4" i="5"/>
  <c r="F2" i="5"/>
  <c r="C2" i="5"/>
  <c r="I16" i="4"/>
  <c r="F15" i="4"/>
  <c r="F22" i="4" s="1"/>
  <c r="I14" i="4"/>
  <c r="I22" i="4" s="1"/>
  <c r="I10" i="4"/>
  <c r="F10" i="4"/>
  <c r="C10" i="4"/>
  <c r="F8" i="4"/>
  <c r="C8" i="4"/>
  <c r="F6" i="4"/>
  <c r="C6" i="4"/>
  <c r="F4" i="4"/>
  <c r="C4" i="4"/>
  <c r="F2" i="4"/>
  <c r="C2" i="4"/>
  <c r="I36" i="3"/>
  <c r="I24" i="2" s="1"/>
  <c r="I35" i="3"/>
  <c r="I26" i="3"/>
  <c r="I19" i="2" s="1"/>
  <c r="I25" i="3"/>
  <c r="I24" i="3"/>
  <c r="I23" i="3"/>
  <c r="I16" i="2" s="1"/>
  <c r="I22" i="3"/>
  <c r="I21" i="3"/>
  <c r="I14" i="2" s="1"/>
  <c r="I17" i="3"/>
  <c r="I16" i="3"/>
  <c r="I15" i="3"/>
  <c r="I18" i="3" s="1"/>
  <c r="I10" i="3"/>
  <c r="F10" i="3"/>
  <c r="C10" i="3"/>
  <c r="F8" i="3"/>
  <c r="C8" i="3"/>
  <c r="F6" i="3"/>
  <c r="C6" i="3"/>
  <c r="F4" i="3"/>
  <c r="C4" i="3"/>
  <c r="F2" i="3"/>
  <c r="C2" i="3"/>
  <c r="F22" i="2"/>
  <c r="I18" i="2"/>
  <c r="I17" i="2"/>
  <c r="F16" i="2"/>
  <c r="I15" i="2"/>
  <c r="F15" i="2"/>
  <c r="F14" i="2"/>
  <c r="I10" i="2"/>
  <c r="F10" i="2"/>
  <c r="C10" i="2"/>
  <c r="F8" i="2"/>
  <c r="C8" i="2"/>
  <c r="F6" i="2"/>
  <c r="C6" i="2"/>
  <c r="F4" i="2"/>
  <c r="C4" i="2"/>
  <c r="F2" i="2"/>
  <c r="C2" i="2"/>
  <c r="BJ752" i="1"/>
  <c r="BI752" i="1"/>
  <c r="BH752" i="1"/>
  <c r="AB752" i="1" s="1"/>
  <c r="BF752" i="1"/>
  <c r="BD752" i="1"/>
  <c r="AX752" i="1"/>
  <c r="AP752" i="1"/>
  <c r="AO752" i="1"/>
  <c r="AW752" i="1" s="1"/>
  <c r="AK752" i="1"/>
  <c r="AJ752" i="1"/>
  <c r="AH752" i="1"/>
  <c r="AG752" i="1"/>
  <c r="AF752" i="1"/>
  <c r="AE752" i="1"/>
  <c r="AD752" i="1"/>
  <c r="AC752" i="1"/>
  <c r="Z752" i="1"/>
  <c r="J752" i="1"/>
  <c r="AL752" i="1" s="1"/>
  <c r="I752" i="1"/>
  <c r="H752" i="1"/>
  <c r="BJ749" i="1"/>
  <c r="BF749" i="1"/>
  <c r="BD749" i="1"/>
  <c r="AP749" i="1"/>
  <c r="AO749" i="1"/>
  <c r="AK749" i="1"/>
  <c r="AJ749" i="1"/>
  <c r="AH749" i="1"/>
  <c r="AG749" i="1"/>
  <c r="AF749" i="1"/>
  <c r="AE749" i="1"/>
  <c r="AD749" i="1"/>
  <c r="Z749" i="1"/>
  <c r="J749" i="1"/>
  <c r="AL749" i="1" s="1"/>
  <c r="BJ746" i="1"/>
  <c r="BH746" i="1"/>
  <c r="AB746" i="1" s="1"/>
  <c r="BF746" i="1"/>
  <c r="BD746" i="1"/>
  <c r="AP746" i="1"/>
  <c r="BI746" i="1" s="1"/>
  <c r="AC746" i="1" s="1"/>
  <c r="AO746" i="1"/>
  <c r="AW746" i="1" s="1"/>
  <c r="AL746" i="1"/>
  <c r="AK746" i="1"/>
  <c r="AJ746" i="1"/>
  <c r="AH746" i="1"/>
  <c r="AG746" i="1"/>
  <c r="AF746" i="1"/>
  <c r="AE746" i="1"/>
  <c r="AD746" i="1"/>
  <c r="Z746" i="1"/>
  <c r="J746" i="1"/>
  <c r="H746" i="1"/>
  <c r="BJ742" i="1"/>
  <c r="BI742" i="1"/>
  <c r="BF742" i="1"/>
  <c r="BD742" i="1"/>
  <c r="AW742" i="1"/>
  <c r="AP742" i="1"/>
  <c r="AX742" i="1" s="1"/>
  <c r="AO742" i="1"/>
  <c r="H742" i="1" s="1"/>
  <c r="AK742" i="1"/>
  <c r="AJ742" i="1"/>
  <c r="AS741" i="1" s="1"/>
  <c r="AH742" i="1"/>
  <c r="AG742" i="1"/>
  <c r="AF742" i="1"/>
  <c r="AE742" i="1"/>
  <c r="AD742" i="1"/>
  <c r="AC742" i="1"/>
  <c r="Z742" i="1"/>
  <c r="J742" i="1"/>
  <c r="J741" i="1" s="1"/>
  <c r="I742" i="1"/>
  <c r="AT741" i="1"/>
  <c r="BJ739" i="1"/>
  <c r="BH739" i="1"/>
  <c r="BF739" i="1"/>
  <c r="BD739" i="1"/>
  <c r="AP739" i="1"/>
  <c r="BI739" i="1" s="1"/>
  <c r="AO739" i="1"/>
  <c r="AW739" i="1" s="1"/>
  <c r="AK739" i="1"/>
  <c r="AJ739" i="1"/>
  <c r="AH739" i="1"/>
  <c r="AG739" i="1"/>
  <c r="AF739" i="1"/>
  <c r="AE739" i="1"/>
  <c r="AD739" i="1"/>
  <c r="AC739" i="1"/>
  <c r="AB739" i="1"/>
  <c r="Z739" i="1"/>
  <c r="J739" i="1"/>
  <c r="AL739" i="1" s="1"/>
  <c r="H739" i="1"/>
  <c r="BJ737" i="1"/>
  <c r="BH737" i="1"/>
  <c r="BF737" i="1"/>
  <c r="BD737" i="1"/>
  <c r="AW737" i="1"/>
  <c r="AP737" i="1"/>
  <c r="AO737" i="1"/>
  <c r="AL737" i="1"/>
  <c r="AK737" i="1"/>
  <c r="AJ737" i="1"/>
  <c r="AH737" i="1"/>
  <c r="AG737" i="1"/>
  <c r="AF737" i="1"/>
  <c r="AD737" i="1"/>
  <c r="AC737" i="1"/>
  <c r="AB737" i="1"/>
  <c r="Z737" i="1"/>
  <c r="J737" i="1"/>
  <c r="H737" i="1"/>
  <c r="BJ734" i="1"/>
  <c r="BI734" i="1"/>
  <c r="BH734" i="1"/>
  <c r="AD734" i="1" s="1"/>
  <c r="BF734" i="1"/>
  <c r="BD734" i="1"/>
  <c r="AX734" i="1"/>
  <c r="AV734" i="1"/>
  <c r="AP734" i="1"/>
  <c r="AO734" i="1"/>
  <c r="AW734" i="1" s="1"/>
  <c r="BC734" i="1" s="1"/>
  <c r="AK734" i="1"/>
  <c r="AT728" i="1" s="1"/>
  <c r="AJ734" i="1"/>
  <c r="AH734" i="1"/>
  <c r="AG734" i="1"/>
  <c r="AF734" i="1"/>
  <c r="AE734" i="1"/>
  <c r="AC734" i="1"/>
  <c r="AB734" i="1"/>
  <c r="Z734" i="1"/>
  <c r="J734" i="1"/>
  <c r="AL734" i="1" s="1"/>
  <c r="I734" i="1"/>
  <c r="H734" i="1"/>
  <c r="BJ731" i="1"/>
  <c r="BF731" i="1"/>
  <c r="BD731" i="1"/>
  <c r="AP731" i="1"/>
  <c r="BI731" i="1" s="1"/>
  <c r="AE731" i="1" s="1"/>
  <c r="AO731" i="1"/>
  <c r="AK731" i="1"/>
  <c r="AJ731" i="1"/>
  <c r="AH731" i="1"/>
  <c r="AG731" i="1"/>
  <c r="AF731" i="1"/>
  <c r="AC731" i="1"/>
  <c r="AB731" i="1"/>
  <c r="Z731" i="1"/>
  <c r="J731" i="1"/>
  <c r="AL731" i="1" s="1"/>
  <c r="BJ729" i="1"/>
  <c r="BF729" i="1"/>
  <c r="BD729" i="1"/>
  <c r="AX729" i="1"/>
  <c r="AP729" i="1"/>
  <c r="BI729" i="1" s="1"/>
  <c r="AO729" i="1"/>
  <c r="AL729" i="1"/>
  <c r="AK729" i="1"/>
  <c r="AJ729" i="1"/>
  <c r="AH729" i="1"/>
  <c r="AG729" i="1"/>
  <c r="AF729" i="1"/>
  <c r="AE729" i="1"/>
  <c r="AC729" i="1"/>
  <c r="AB729" i="1"/>
  <c r="Z729" i="1"/>
  <c r="J729" i="1"/>
  <c r="I729" i="1"/>
  <c r="AS728" i="1"/>
  <c r="BJ727" i="1"/>
  <c r="BH727" i="1"/>
  <c r="BF727" i="1"/>
  <c r="BD727" i="1"/>
  <c r="AP727" i="1"/>
  <c r="AX727" i="1" s="1"/>
  <c r="AO727" i="1"/>
  <c r="H727" i="1" s="1"/>
  <c r="AL727" i="1"/>
  <c r="AK727" i="1"/>
  <c r="AJ727" i="1"/>
  <c r="AH727" i="1"/>
  <c r="AG727" i="1"/>
  <c r="AF727" i="1"/>
  <c r="AE727" i="1"/>
  <c r="AD727" i="1"/>
  <c r="AC727" i="1"/>
  <c r="AB727" i="1"/>
  <c r="Z727" i="1"/>
  <c r="J727" i="1"/>
  <c r="I727" i="1"/>
  <c r="BJ723" i="1"/>
  <c r="BF723" i="1"/>
  <c r="BD723" i="1"/>
  <c r="AX723" i="1"/>
  <c r="AW723" i="1"/>
  <c r="AP723" i="1"/>
  <c r="I723" i="1" s="1"/>
  <c r="AO723" i="1"/>
  <c r="BH723" i="1" s="1"/>
  <c r="AB723" i="1" s="1"/>
  <c r="AK723" i="1"/>
  <c r="AJ723" i="1"/>
  <c r="AH723" i="1"/>
  <c r="AG723" i="1"/>
  <c r="AF723" i="1"/>
  <c r="AE723" i="1"/>
  <c r="AD723" i="1"/>
  <c r="Z723" i="1"/>
  <c r="J723" i="1"/>
  <c r="AL723" i="1" s="1"/>
  <c r="AU722" i="1" s="1"/>
  <c r="H723" i="1"/>
  <c r="H722" i="1" s="1"/>
  <c r="AT722" i="1"/>
  <c r="AS722" i="1"/>
  <c r="BJ718" i="1"/>
  <c r="BH718" i="1"/>
  <c r="BF718" i="1"/>
  <c r="BD718" i="1"/>
  <c r="AW718" i="1"/>
  <c r="AP718" i="1"/>
  <c r="AO718" i="1"/>
  <c r="AL718" i="1"/>
  <c r="AK718" i="1"/>
  <c r="AJ718" i="1"/>
  <c r="AH718" i="1"/>
  <c r="AG718" i="1"/>
  <c r="AF718" i="1"/>
  <c r="AE718" i="1"/>
  <c r="AD718" i="1"/>
  <c r="AB718" i="1"/>
  <c r="Z718" i="1"/>
  <c r="J718" i="1"/>
  <c r="H718" i="1"/>
  <c r="AU717" i="1"/>
  <c r="AT717" i="1"/>
  <c r="AS717" i="1"/>
  <c r="J717" i="1"/>
  <c r="H717" i="1"/>
  <c r="BJ713" i="1"/>
  <c r="BI713" i="1"/>
  <c r="BH713" i="1"/>
  <c r="AB713" i="1" s="1"/>
  <c r="BF713" i="1"/>
  <c r="BD713" i="1"/>
  <c r="AX713" i="1"/>
  <c r="AW713" i="1"/>
  <c r="BC713" i="1" s="1"/>
  <c r="AP713" i="1"/>
  <c r="AO713" i="1"/>
  <c r="AL713" i="1"/>
  <c r="AK713" i="1"/>
  <c r="AJ713" i="1"/>
  <c r="AS709" i="1" s="1"/>
  <c r="AH713" i="1"/>
  <c r="AG713" i="1"/>
  <c r="AF713" i="1"/>
  <c r="AE713" i="1"/>
  <c r="AD713" i="1"/>
  <c r="AC713" i="1"/>
  <c r="Z713" i="1"/>
  <c r="J713" i="1"/>
  <c r="I713" i="1"/>
  <c r="H713" i="1"/>
  <c r="BJ710" i="1"/>
  <c r="BF710" i="1"/>
  <c r="BD710" i="1"/>
  <c r="AW710" i="1"/>
  <c r="AP710" i="1"/>
  <c r="BI710" i="1" s="1"/>
  <c r="AC710" i="1" s="1"/>
  <c r="AO710" i="1"/>
  <c r="BH710" i="1" s="1"/>
  <c r="AB710" i="1" s="1"/>
  <c r="AK710" i="1"/>
  <c r="AT709" i="1" s="1"/>
  <c r="AJ710" i="1"/>
  <c r="AH710" i="1"/>
  <c r="AG710" i="1"/>
  <c r="AF710" i="1"/>
  <c r="AE710" i="1"/>
  <c r="AD710" i="1"/>
  <c r="Z710" i="1"/>
  <c r="J710" i="1"/>
  <c r="H710" i="1"/>
  <c r="H709" i="1" s="1"/>
  <c r="BJ705" i="1"/>
  <c r="BH705" i="1"/>
  <c r="AB705" i="1" s="1"/>
  <c r="BF705" i="1"/>
  <c r="BD705" i="1"/>
  <c r="AP705" i="1"/>
  <c r="BI705" i="1" s="1"/>
  <c r="AC705" i="1" s="1"/>
  <c r="AO705" i="1"/>
  <c r="AW705" i="1" s="1"/>
  <c r="AL705" i="1"/>
  <c r="AU704" i="1" s="1"/>
  <c r="AK705" i="1"/>
  <c r="AT704" i="1" s="1"/>
  <c r="C26" i="16" s="1"/>
  <c r="F26" i="16" s="1"/>
  <c r="AJ705" i="1"/>
  <c r="AH705" i="1"/>
  <c r="AG705" i="1"/>
  <c r="AF705" i="1"/>
  <c r="AE705" i="1"/>
  <c r="AD705" i="1"/>
  <c r="Z705" i="1"/>
  <c r="J705" i="1"/>
  <c r="J704" i="1" s="1"/>
  <c r="H705" i="1"/>
  <c r="H704" i="1" s="1"/>
  <c r="AS704" i="1"/>
  <c r="BJ701" i="1"/>
  <c r="BI701" i="1"/>
  <c r="AG701" i="1" s="1"/>
  <c r="BF701" i="1"/>
  <c r="BD701" i="1"/>
  <c r="AX701" i="1"/>
  <c r="AP701" i="1"/>
  <c r="AO701" i="1"/>
  <c r="AL701" i="1"/>
  <c r="AK701" i="1"/>
  <c r="AJ701" i="1"/>
  <c r="AH701" i="1"/>
  <c r="AE701" i="1"/>
  <c r="AD701" i="1"/>
  <c r="AC701" i="1"/>
  <c r="AB701" i="1"/>
  <c r="Z701" i="1"/>
  <c r="J701" i="1"/>
  <c r="I701" i="1"/>
  <c r="H701" i="1"/>
  <c r="BJ699" i="1"/>
  <c r="BF699" i="1"/>
  <c r="BD699" i="1"/>
  <c r="AX699" i="1"/>
  <c r="AP699" i="1"/>
  <c r="BI699" i="1" s="1"/>
  <c r="AG699" i="1" s="1"/>
  <c r="AO699" i="1"/>
  <c r="BH699" i="1" s="1"/>
  <c r="AK699" i="1"/>
  <c r="AJ699" i="1"/>
  <c r="AH699" i="1"/>
  <c r="AF699" i="1"/>
  <c r="AE699" i="1"/>
  <c r="AD699" i="1"/>
  <c r="AC699" i="1"/>
  <c r="AB699" i="1"/>
  <c r="Z699" i="1"/>
  <c r="J699" i="1"/>
  <c r="AL699" i="1" s="1"/>
  <c r="H699" i="1"/>
  <c r="BJ696" i="1"/>
  <c r="BF696" i="1"/>
  <c r="BD696" i="1"/>
  <c r="AX696" i="1"/>
  <c r="AV696" i="1" s="1"/>
  <c r="AP696" i="1"/>
  <c r="BI696" i="1" s="1"/>
  <c r="AO696" i="1"/>
  <c r="AW696" i="1" s="1"/>
  <c r="AL696" i="1"/>
  <c r="AK696" i="1"/>
  <c r="AJ696" i="1"/>
  <c r="AH696" i="1"/>
  <c r="AG696" i="1"/>
  <c r="AE696" i="1"/>
  <c r="AD696" i="1"/>
  <c r="AC696" i="1"/>
  <c r="AB696" i="1"/>
  <c r="Z696" i="1"/>
  <c r="J696" i="1"/>
  <c r="I696" i="1"/>
  <c r="BJ693" i="1"/>
  <c r="BI693" i="1"/>
  <c r="AG693" i="1" s="1"/>
  <c r="BF693" i="1"/>
  <c r="BD693" i="1"/>
  <c r="AW693" i="1"/>
  <c r="BC693" i="1" s="1"/>
  <c r="AP693" i="1"/>
  <c r="AX693" i="1" s="1"/>
  <c r="AO693" i="1"/>
  <c r="H693" i="1" s="1"/>
  <c r="AL693" i="1"/>
  <c r="AK693" i="1"/>
  <c r="AJ693" i="1"/>
  <c r="AH693" i="1"/>
  <c r="AE693" i="1"/>
  <c r="AD693" i="1"/>
  <c r="AC693" i="1"/>
  <c r="AB693" i="1"/>
  <c r="Z693" i="1"/>
  <c r="J693" i="1"/>
  <c r="I693" i="1"/>
  <c r="BJ690" i="1"/>
  <c r="BH690" i="1"/>
  <c r="BF690" i="1"/>
  <c r="BD690" i="1"/>
  <c r="AW690" i="1"/>
  <c r="AP690" i="1"/>
  <c r="AO690" i="1"/>
  <c r="AK690" i="1"/>
  <c r="AJ690" i="1"/>
  <c r="AH690" i="1"/>
  <c r="AF690" i="1"/>
  <c r="AE690" i="1"/>
  <c r="AD690" i="1"/>
  <c r="AC690" i="1"/>
  <c r="AB690" i="1"/>
  <c r="Z690" i="1"/>
  <c r="J690" i="1"/>
  <c r="AL690" i="1" s="1"/>
  <c r="H690" i="1"/>
  <c r="BJ687" i="1"/>
  <c r="BH687" i="1"/>
  <c r="AF687" i="1" s="1"/>
  <c r="BF687" i="1"/>
  <c r="BD687" i="1"/>
  <c r="AW687" i="1"/>
  <c r="AP687" i="1"/>
  <c r="AO687" i="1"/>
  <c r="AL687" i="1"/>
  <c r="AK687" i="1"/>
  <c r="AJ687" i="1"/>
  <c r="AH687" i="1"/>
  <c r="AE687" i="1"/>
  <c r="AD687" i="1"/>
  <c r="AC687" i="1"/>
  <c r="AB687" i="1"/>
  <c r="Z687" i="1"/>
  <c r="J687" i="1"/>
  <c r="I687" i="1"/>
  <c r="H687" i="1"/>
  <c r="BJ684" i="1"/>
  <c r="BI684" i="1"/>
  <c r="AG684" i="1" s="1"/>
  <c r="BF684" i="1"/>
  <c r="BD684" i="1"/>
  <c r="AX684" i="1"/>
  <c r="AP684" i="1"/>
  <c r="AO684" i="1"/>
  <c r="AK684" i="1"/>
  <c r="AJ684" i="1"/>
  <c r="AH684" i="1"/>
  <c r="AE684" i="1"/>
  <c r="AD684" i="1"/>
  <c r="AC684" i="1"/>
  <c r="AB684" i="1"/>
  <c r="Z684" i="1"/>
  <c r="J684" i="1"/>
  <c r="AL684" i="1" s="1"/>
  <c r="I684" i="1"/>
  <c r="BJ681" i="1"/>
  <c r="BF681" i="1"/>
  <c r="BD681" i="1"/>
  <c r="AW681" i="1"/>
  <c r="AP681" i="1"/>
  <c r="BI681" i="1" s="1"/>
  <c r="AG681" i="1" s="1"/>
  <c r="AO681" i="1"/>
  <c r="BH681" i="1" s="1"/>
  <c r="AL681" i="1"/>
  <c r="AK681" i="1"/>
  <c r="AJ681" i="1"/>
  <c r="AH681" i="1"/>
  <c r="AF681" i="1"/>
  <c r="AE681" i="1"/>
  <c r="AD681" i="1"/>
  <c r="AC681" i="1"/>
  <c r="AB681" i="1"/>
  <c r="Z681" i="1"/>
  <c r="J681" i="1"/>
  <c r="I681" i="1"/>
  <c r="H681" i="1"/>
  <c r="BJ678" i="1"/>
  <c r="BI678" i="1"/>
  <c r="AG678" i="1" s="1"/>
  <c r="BF678" i="1"/>
  <c r="BD678" i="1"/>
  <c r="AP678" i="1"/>
  <c r="AX678" i="1" s="1"/>
  <c r="AO678" i="1"/>
  <c r="AK678" i="1"/>
  <c r="AJ678" i="1"/>
  <c r="AH678" i="1"/>
  <c r="AE678" i="1"/>
  <c r="AD678" i="1"/>
  <c r="AC678" i="1"/>
  <c r="AB678" i="1"/>
  <c r="Z678" i="1"/>
  <c r="J678" i="1"/>
  <c r="AL678" i="1" s="1"/>
  <c r="I678" i="1"/>
  <c r="BJ675" i="1"/>
  <c r="BF675" i="1"/>
  <c r="BD675" i="1"/>
  <c r="AW675" i="1"/>
  <c r="AP675" i="1"/>
  <c r="BI675" i="1" s="1"/>
  <c r="AO675" i="1"/>
  <c r="AK675" i="1"/>
  <c r="AJ675" i="1"/>
  <c r="AH675" i="1"/>
  <c r="AG675" i="1"/>
  <c r="AE675" i="1"/>
  <c r="AD675" i="1"/>
  <c r="AC675" i="1"/>
  <c r="AB675" i="1"/>
  <c r="Z675" i="1"/>
  <c r="J675" i="1"/>
  <c r="AL675" i="1" s="1"/>
  <c r="BJ672" i="1"/>
  <c r="BH672" i="1"/>
  <c r="AF672" i="1" s="1"/>
  <c r="BF672" i="1"/>
  <c r="BD672" i="1"/>
  <c r="AX672" i="1"/>
  <c r="AW672" i="1"/>
  <c r="AP672" i="1"/>
  <c r="AO672" i="1"/>
  <c r="AL672" i="1"/>
  <c r="AK672" i="1"/>
  <c r="AJ672" i="1"/>
  <c r="AH672" i="1"/>
  <c r="AE672" i="1"/>
  <c r="AD672" i="1"/>
  <c r="AC672" i="1"/>
  <c r="AB672" i="1"/>
  <c r="Z672" i="1"/>
  <c r="J672" i="1"/>
  <c r="H672" i="1"/>
  <c r="BJ669" i="1"/>
  <c r="BI669" i="1"/>
  <c r="AG669" i="1" s="1"/>
  <c r="BH669" i="1"/>
  <c r="AF669" i="1" s="1"/>
  <c r="BF669" i="1"/>
  <c r="BD669" i="1"/>
  <c r="AX669" i="1"/>
  <c r="AW669" i="1"/>
  <c r="AP669" i="1"/>
  <c r="AO669" i="1"/>
  <c r="H669" i="1" s="1"/>
  <c r="AL669" i="1"/>
  <c r="AK669" i="1"/>
  <c r="AJ669" i="1"/>
  <c r="AH669" i="1"/>
  <c r="AE669" i="1"/>
  <c r="AD669" i="1"/>
  <c r="AC669" i="1"/>
  <c r="AB669" i="1"/>
  <c r="Z669" i="1"/>
  <c r="J669" i="1"/>
  <c r="I669" i="1"/>
  <c r="BJ666" i="1"/>
  <c r="BI666" i="1"/>
  <c r="AG666" i="1" s="1"/>
  <c r="BF666" i="1"/>
  <c r="BD666" i="1"/>
  <c r="AX666" i="1"/>
  <c r="AW666" i="1"/>
  <c r="AP666" i="1"/>
  <c r="I666" i="1" s="1"/>
  <c r="AO666" i="1"/>
  <c r="BH666" i="1" s="1"/>
  <c r="AK666" i="1"/>
  <c r="AJ666" i="1"/>
  <c r="AH666" i="1"/>
  <c r="AF666" i="1"/>
  <c r="AE666" i="1"/>
  <c r="AD666" i="1"/>
  <c r="AC666" i="1"/>
  <c r="AB666" i="1"/>
  <c r="Z666" i="1"/>
  <c r="J666" i="1"/>
  <c r="AL666" i="1" s="1"/>
  <c r="H666" i="1"/>
  <c r="BJ663" i="1"/>
  <c r="BH663" i="1"/>
  <c r="AF663" i="1" s="1"/>
  <c r="BF663" i="1"/>
  <c r="BD663" i="1"/>
  <c r="AP663" i="1"/>
  <c r="I663" i="1" s="1"/>
  <c r="AO663" i="1"/>
  <c r="AW663" i="1" s="1"/>
  <c r="AL663" i="1"/>
  <c r="AK663" i="1"/>
  <c r="AJ663" i="1"/>
  <c r="AH663" i="1"/>
  <c r="AE663" i="1"/>
  <c r="AD663" i="1"/>
  <c r="AC663" i="1"/>
  <c r="AB663" i="1"/>
  <c r="Z663" i="1"/>
  <c r="J663" i="1"/>
  <c r="H663" i="1"/>
  <c r="BJ660" i="1"/>
  <c r="BI660" i="1"/>
  <c r="AG660" i="1" s="1"/>
  <c r="BF660" i="1"/>
  <c r="BD660" i="1"/>
  <c r="AP660" i="1"/>
  <c r="AX660" i="1" s="1"/>
  <c r="AO660" i="1"/>
  <c r="AL660" i="1"/>
  <c r="AK660" i="1"/>
  <c r="AJ660" i="1"/>
  <c r="AH660" i="1"/>
  <c r="AE660" i="1"/>
  <c r="AD660" i="1"/>
  <c r="AC660" i="1"/>
  <c r="AB660" i="1"/>
  <c r="Z660" i="1"/>
  <c r="J660" i="1"/>
  <c r="I660" i="1"/>
  <c r="BJ657" i="1"/>
  <c r="BF657" i="1"/>
  <c r="BD657" i="1"/>
  <c r="AW657" i="1"/>
  <c r="AP657" i="1"/>
  <c r="AO657" i="1"/>
  <c r="BH657" i="1" s="1"/>
  <c r="AK657" i="1"/>
  <c r="AJ657" i="1"/>
  <c r="AH657" i="1"/>
  <c r="AF657" i="1"/>
  <c r="AE657" i="1"/>
  <c r="AD657" i="1"/>
  <c r="AC657" i="1"/>
  <c r="AB657" i="1"/>
  <c r="Z657" i="1"/>
  <c r="J657" i="1"/>
  <c r="AL657" i="1" s="1"/>
  <c r="H657" i="1"/>
  <c r="BJ654" i="1"/>
  <c r="BH654" i="1"/>
  <c r="AF654" i="1" s="1"/>
  <c r="BF654" i="1"/>
  <c r="BD654" i="1"/>
  <c r="BC654" i="1"/>
  <c r="AX654" i="1"/>
  <c r="AV654" i="1" s="1"/>
  <c r="AW654" i="1"/>
  <c r="AP654" i="1"/>
  <c r="BI654" i="1" s="1"/>
  <c r="AO654" i="1"/>
  <c r="AL654" i="1"/>
  <c r="AK654" i="1"/>
  <c r="AJ654" i="1"/>
  <c r="AH654" i="1"/>
  <c r="AG654" i="1"/>
  <c r="AE654" i="1"/>
  <c r="AD654" i="1"/>
  <c r="AC654" i="1"/>
  <c r="AB654" i="1"/>
  <c r="Z654" i="1"/>
  <c r="J654" i="1"/>
  <c r="I654" i="1"/>
  <c r="H654" i="1"/>
  <c r="BJ651" i="1"/>
  <c r="BI651" i="1"/>
  <c r="AG651" i="1" s="1"/>
  <c r="BF651" i="1"/>
  <c r="BD651" i="1"/>
  <c r="AX651" i="1"/>
  <c r="AP651" i="1"/>
  <c r="AO651" i="1"/>
  <c r="AL651" i="1"/>
  <c r="AK651" i="1"/>
  <c r="AJ651" i="1"/>
  <c r="AH651" i="1"/>
  <c r="AE651" i="1"/>
  <c r="AD651" i="1"/>
  <c r="AC651" i="1"/>
  <c r="AB651" i="1"/>
  <c r="Z651" i="1"/>
  <c r="J651" i="1"/>
  <c r="I651" i="1"/>
  <c r="BJ648" i="1"/>
  <c r="BF648" i="1"/>
  <c r="BD648" i="1"/>
  <c r="AW648" i="1"/>
  <c r="AP648" i="1"/>
  <c r="AO648" i="1"/>
  <c r="BH648" i="1" s="1"/>
  <c r="AK648" i="1"/>
  <c r="AJ648" i="1"/>
  <c r="AH648" i="1"/>
  <c r="AF648" i="1"/>
  <c r="AE648" i="1"/>
  <c r="AD648" i="1"/>
  <c r="AC648" i="1"/>
  <c r="AB648" i="1"/>
  <c r="Z648" i="1"/>
  <c r="J648" i="1"/>
  <c r="AL648" i="1" s="1"/>
  <c r="BJ645" i="1"/>
  <c r="BF645" i="1"/>
  <c r="BD645" i="1"/>
  <c r="AX645" i="1"/>
  <c r="AP645" i="1"/>
  <c r="BI645" i="1" s="1"/>
  <c r="AO645" i="1"/>
  <c r="AK645" i="1"/>
  <c r="AJ645" i="1"/>
  <c r="AH645" i="1"/>
  <c r="AG645" i="1"/>
  <c r="AE645" i="1"/>
  <c r="AD645" i="1"/>
  <c r="AC645" i="1"/>
  <c r="AB645" i="1"/>
  <c r="Z645" i="1"/>
  <c r="J645" i="1"/>
  <c r="AL645" i="1" s="1"/>
  <c r="I645" i="1"/>
  <c r="BJ642" i="1"/>
  <c r="BI642" i="1"/>
  <c r="AG642" i="1" s="1"/>
  <c r="BF642" i="1"/>
  <c r="BD642" i="1"/>
  <c r="AP642" i="1"/>
  <c r="AX642" i="1" s="1"/>
  <c r="AO642" i="1"/>
  <c r="AK642" i="1"/>
  <c r="AJ642" i="1"/>
  <c r="AH642" i="1"/>
  <c r="AE642" i="1"/>
  <c r="AD642" i="1"/>
  <c r="AC642" i="1"/>
  <c r="AB642" i="1"/>
  <c r="Z642" i="1"/>
  <c r="J642" i="1"/>
  <c r="AL642" i="1" s="1"/>
  <c r="I642" i="1"/>
  <c r="BJ639" i="1"/>
  <c r="BH639" i="1"/>
  <c r="BF639" i="1"/>
  <c r="BD639" i="1"/>
  <c r="AX639" i="1"/>
  <c r="AW639" i="1"/>
  <c r="AP639" i="1"/>
  <c r="I639" i="1" s="1"/>
  <c r="AO639" i="1"/>
  <c r="AK639" i="1"/>
  <c r="AJ639" i="1"/>
  <c r="AH639" i="1"/>
  <c r="AF639" i="1"/>
  <c r="AE639" i="1"/>
  <c r="AD639" i="1"/>
  <c r="AC639" i="1"/>
  <c r="AB639" i="1"/>
  <c r="Z639" i="1"/>
  <c r="J639" i="1"/>
  <c r="AL639" i="1" s="1"/>
  <c r="H639" i="1"/>
  <c r="BJ636" i="1"/>
  <c r="BI636" i="1"/>
  <c r="AG636" i="1" s="1"/>
  <c r="BH636" i="1"/>
  <c r="AF636" i="1" s="1"/>
  <c r="BF636" i="1"/>
  <c r="BD636" i="1"/>
  <c r="AX636" i="1"/>
  <c r="AW636" i="1"/>
  <c r="BC636" i="1" s="1"/>
  <c r="AV636" i="1"/>
  <c r="AP636" i="1"/>
  <c r="AO636" i="1"/>
  <c r="AL636" i="1"/>
  <c r="AK636" i="1"/>
  <c r="AJ636" i="1"/>
  <c r="AH636" i="1"/>
  <c r="AE636" i="1"/>
  <c r="AD636" i="1"/>
  <c r="AC636" i="1"/>
  <c r="AB636" i="1"/>
  <c r="Z636" i="1"/>
  <c r="J636" i="1"/>
  <c r="I636" i="1"/>
  <c r="H636" i="1"/>
  <c r="BJ633" i="1"/>
  <c r="BI633" i="1"/>
  <c r="AG633" i="1" s="1"/>
  <c r="BH633" i="1"/>
  <c r="AF633" i="1" s="1"/>
  <c r="BF633" i="1"/>
  <c r="BD633" i="1"/>
  <c r="AX633" i="1"/>
  <c r="AW633" i="1"/>
  <c r="AV633" i="1" s="1"/>
  <c r="AP633" i="1"/>
  <c r="AO633" i="1"/>
  <c r="H633" i="1" s="1"/>
  <c r="AK633" i="1"/>
  <c r="AJ633" i="1"/>
  <c r="AH633" i="1"/>
  <c r="AE633" i="1"/>
  <c r="AD633" i="1"/>
  <c r="AC633" i="1"/>
  <c r="AB633" i="1"/>
  <c r="Z633" i="1"/>
  <c r="J633" i="1"/>
  <c r="AL633" i="1" s="1"/>
  <c r="I633" i="1"/>
  <c r="BJ630" i="1"/>
  <c r="BI630" i="1"/>
  <c r="AG630" i="1" s="1"/>
  <c r="BF630" i="1"/>
  <c r="BD630" i="1"/>
  <c r="AP630" i="1"/>
  <c r="AO630" i="1"/>
  <c r="AK630" i="1"/>
  <c r="AJ630" i="1"/>
  <c r="AH630" i="1"/>
  <c r="AE630" i="1"/>
  <c r="AD630" i="1"/>
  <c r="AC630" i="1"/>
  <c r="AB630" i="1"/>
  <c r="Z630" i="1"/>
  <c r="J630" i="1"/>
  <c r="AL630" i="1" s="1"/>
  <c r="BJ627" i="1"/>
  <c r="BF627" i="1"/>
  <c r="BD627" i="1"/>
  <c r="AP627" i="1"/>
  <c r="AO627" i="1"/>
  <c r="BH627" i="1" s="1"/>
  <c r="AF627" i="1" s="1"/>
  <c r="AK627" i="1"/>
  <c r="AJ627" i="1"/>
  <c r="AH627" i="1"/>
  <c r="AE627" i="1"/>
  <c r="AD627" i="1"/>
  <c r="AC627" i="1"/>
  <c r="AB627" i="1"/>
  <c r="Z627" i="1"/>
  <c r="J627" i="1"/>
  <c r="AL627" i="1" s="1"/>
  <c r="BJ624" i="1"/>
  <c r="BH624" i="1"/>
  <c r="AF624" i="1" s="1"/>
  <c r="BF624" i="1"/>
  <c r="BD624" i="1"/>
  <c r="AW624" i="1"/>
  <c r="AP624" i="1"/>
  <c r="AO624" i="1"/>
  <c r="H624" i="1" s="1"/>
  <c r="AL624" i="1"/>
  <c r="AK624" i="1"/>
  <c r="AJ624" i="1"/>
  <c r="AH624" i="1"/>
  <c r="AE624" i="1"/>
  <c r="AD624" i="1"/>
  <c r="AC624" i="1"/>
  <c r="AB624" i="1"/>
  <c r="Z624" i="1"/>
  <c r="J624" i="1"/>
  <c r="BJ621" i="1"/>
  <c r="BI621" i="1"/>
  <c r="AG621" i="1" s="1"/>
  <c r="BH621" i="1"/>
  <c r="AF621" i="1" s="1"/>
  <c r="BF621" i="1"/>
  <c r="BD621" i="1"/>
  <c r="AX621" i="1"/>
  <c r="AV621" i="1" s="1"/>
  <c r="AW621" i="1"/>
  <c r="AP621" i="1"/>
  <c r="I621" i="1" s="1"/>
  <c r="AO621" i="1"/>
  <c r="AK621" i="1"/>
  <c r="AT602" i="1" s="1"/>
  <c r="AJ621" i="1"/>
  <c r="AS602" i="1" s="1"/>
  <c r="AH621" i="1"/>
  <c r="AE621" i="1"/>
  <c r="AD621" i="1"/>
  <c r="AC621" i="1"/>
  <c r="AB621" i="1"/>
  <c r="Z621" i="1"/>
  <c r="J621" i="1"/>
  <c r="AL621" i="1" s="1"/>
  <c r="H621" i="1"/>
  <c r="BJ617" i="1"/>
  <c r="BI617" i="1"/>
  <c r="AG617" i="1" s="1"/>
  <c r="BH617" i="1"/>
  <c r="AF617" i="1" s="1"/>
  <c r="BF617" i="1"/>
  <c r="BD617" i="1"/>
  <c r="AX617" i="1"/>
  <c r="BC617" i="1" s="1"/>
  <c r="AW617" i="1"/>
  <c r="AP617" i="1"/>
  <c r="AO617" i="1"/>
  <c r="AL617" i="1"/>
  <c r="AK617" i="1"/>
  <c r="AJ617" i="1"/>
  <c r="AH617" i="1"/>
  <c r="AE617" i="1"/>
  <c r="AD617" i="1"/>
  <c r="AC617" i="1"/>
  <c r="AB617" i="1"/>
  <c r="Z617" i="1"/>
  <c r="J617" i="1"/>
  <c r="I617" i="1"/>
  <c r="H617" i="1"/>
  <c r="BJ613" i="1"/>
  <c r="BI613" i="1"/>
  <c r="AG613" i="1" s="1"/>
  <c r="BF613" i="1"/>
  <c r="BD613" i="1"/>
  <c r="AX613" i="1"/>
  <c r="AP613" i="1"/>
  <c r="AO613" i="1"/>
  <c r="AL613" i="1"/>
  <c r="AK613" i="1"/>
  <c r="AJ613" i="1"/>
  <c r="AH613" i="1"/>
  <c r="AE613" i="1"/>
  <c r="AD613" i="1"/>
  <c r="AC613" i="1"/>
  <c r="AB613" i="1"/>
  <c r="Z613" i="1"/>
  <c r="J613" i="1"/>
  <c r="I613" i="1"/>
  <c r="H613" i="1"/>
  <c r="BJ610" i="1"/>
  <c r="BF610" i="1"/>
  <c r="BD610" i="1"/>
  <c r="AP610" i="1"/>
  <c r="I610" i="1" s="1"/>
  <c r="AO610" i="1"/>
  <c r="AK610" i="1"/>
  <c r="AJ610" i="1"/>
  <c r="AH610" i="1"/>
  <c r="AE610" i="1"/>
  <c r="AD610" i="1"/>
  <c r="AC610" i="1"/>
  <c r="AB610" i="1"/>
  <c r="Z610" i="1"/>
  <c r="J610" i="1"/>
  <c r="AL610" i="1" s="1"/>
  <c r="BJ607" i="1"/>
  <c r="BH607" i="1"/>
  <c r="AF607" i="1" s="1"/>
  <c r="BF607" i="1"/>
  <c r="BD607" i="1"/>
  <c r="AP607" i="1"/>
  <c r="AO607" i="1"/>
  <c r="AK607" i="1"/>
  <c r="AJ607" i="1"/>
  <c r="AH607" i="1"/>
  <c r="AE607" i="1"/>
  <c r="AD607" i="1"/>
  <c r="AC607" i="1"/>
  <c r="AB607" i="1"/>
  <c r="Z607" i="1"/>
  <c r="J607" i="1"/>
  <c r="BJ603" i="1"/>
  <c r="BH603" i="1"/>
  <c r="AF603" i="1" s="1"/>
  <c r="BF603" i="1"/>
  <c r="BD603" i="1"/>
  <c r="AW603" i="1"/>
  <c r="AP603" i="1"/>
  <c r="AO603" i="1"/>
  <c r="H603" i="1" s="1"/>
  <c r="AL603" i="1"/>
  <c r="AK603" i="1"/>
  <c r="AJ603" i="1"/>
  <c r="AH603" i="1"/>
  <c r="AE603" i="1"/>
  <c r="AD603" i="1"/>
  <c r="AC603" i="1"/>
  <c r="AB603" i="1"/>
  <c r="Z603" i="1"/>
  <c r="J603" i="1"/>
  <c r="BJ599" i="1"/>
  <c r="BI599" i="1"/>
  <c r="AG599" i="1" s="1"/>
  <c r="BH599" i="1"/>
  <c r="AF599" i="1" s="1"/>
  <c r="BF599" i="1"/>
  <c r="BD599" i="1"/>
  <c r="AX599" i="1"/>
  <c r="AW599" i="1"/>
  <c r="AV599" i="1"/>
  <c r="AP599" i="1"/>
  <c r="I599" i="1" s="1"/>
  <c r="AO599" i="1"/>
  <c r="AK599" i="1"/>
  <c r="AJ599" i="1"/>
  <c r="AH599" i="1"/>
  <c r="AE599" i="1"/>
  <c r="AD599" i="1"/>
  <c r="AC599" i="1"/>
  <c r="AB599" i="1"/>
  <c r="Z599" i="1"/>
  <c r="J599" i="1"/>
  <c r="AL599" i="1" s="1"/>
  <c r="H599" i="1"/>
  <c r="BJ596" i="1"/>
  <c r="BI596" i="1"/>
  <c r="AG596" i="1" s="1"/>
  <c r="BH596" i="1"/>
  <c r="AF596" i="1" s="1"/>
  <c r="BF596" i="1"/>
  <c r="BD596" i="1"/>
  <c r="AX596" i="1"/>
  <c r="BC596" i="1" s="1"/>
  <c r="AW596" i="1"/>
  <c r="AP596" i="1"/>
  <c r="AO596" i="1"/>
  <c r="AL596" i="1"/>
  <c r="AK596" i="1"/>
  <c r="AJ596" i="1"/>
  <c r="AH596" i="1"/>
  <c r="AE596" i="1"/>
  <c r="AD596" i="1"/>
  <c r="AC596" i="1"/>
  <c r="AB596" i="1"/>
  <c r="Z596" i="1"/>
  <c r="J596" i="1"/>
  <c r="I596" i="1"/>
  <c r="H596" i="1"/>
  <c r="BJ593" i="1"/>
  <c r="BI593" i="1"/>
  <c r="AG593" i="1" s="1"/>
  <c r="BF593" i="1"/>
  <c r="BD593" i="1"/>
  <c r="AX593" i="1"/>
  <c r="AP593" i="1"/>
  <c r="AO593" i="1"/>
  <c r="AL593" i="1"/>
  <c r="AK593" i="1"/>
  <c r="AJ593" i="1"/>
  <c r="AH593" i="1"/>
  <c r="AE593" i="1"/>
  <c r="AD593" i="1"/>
  <c r="AC593" i="1"/>
  <c r="AB593" i="1"/>
  <c r="Z593" i="1"/>
  <c r="J593" i="1"/>
  <c r="I593" i="1"/>
  <c r="H593" i="1"/>
  <c r="BJ590" i="1"/>
  <c r="BF590" i="1"/>
  <c r="BD590" i="1"/>
  <c r="AP590" i="1"/>
  <c r="AO590" i="1"/>
  <c r="AK590" i="1"/>
  <c r="AJ590" i="1"/>
  <c r="AH590" i="1"/>
  <c r="AE590" i="1"/>
  <c r="AD590" i="1"/>
  <c r="AC590" i="1"/>
  <c r="AB590" i="1"/>
  <c r="Z590" i="1"/>
  <c r="J590" i="1"/>
  <c r="AL590" i="1" s="1"/>
  <c r="BJ587" i="1"/>
  <c r="BH587" i="1"/>
  <c r="AF587" i="1" s="1"/>
  <c r="BF587" i="1"/>
  <c r="BD587" i="1"/>
  <c r="AP587" i="1"/>
  <c r="AO587" i="1"/>
  <c r="AK587" i="1"/>
  <c r="AJ587" i="1"/>
  <c r="AH587" i="1"/>
  <c r="C20" i="14" s="1"/>
  <c r="AE587" i="1"/>
  <c r="AD587" i="1"/>
  <c r="AC587" i="1"/>
  <c r="AB587" i="1"/>
  <c r="Z587" i="1"/>
  <c r="J587" i="1"/>
  <c r="AL587" i="1" s="1"/>
  <c r="BJ584" i="1"/>
  <c r="BH584" i="1"/>
  <c r="AF584" i="1" s="1"/>
  <c r="BF584" i="1"/>
  <c r="BD584" i="1"/>
  <c r="AW584" i="1"/>
  <c r="AP584" i="1"/>
  <c r="AO584" i="1"/>
  <c r="H584" i="1" s="1"/>
  <c r="AL584" i="1"/>
  <c r="AK584" i="1"/>
  <c r="AJ584" i="1"/>
  <c r="AH584" i="1"/>
  <c r="AE584" i="1"/>
  <c r="AD584" i="1"/>
  <c r="AC584" i="1"/>
  <c r="AB584" i="1"/>
  <c r="Z584" i="1"/>
  <c r="J584" i="1"/>
  <c r="BJ581" i="1"/>
  <c r="BI581" i="1"/>
  <c r="AG581" i="1" s="1"/>
  <c r="BH581" i="1"/>
  <c r="AF581" i="1" s="1"/>
  <c r="BF581" i="1"/>
  <c r="BD581" i="1"/>
  <c r="AX581" i="1"/>
  <c r="AW581" i="1"/>
  <c r="AV581" i="1"/>
  <c r="AP581" i="1"/>
  <c r="I581" i="1" s="1"/>
  <c r="AO581" i="1"/>
  <c r="AK581" i="1"/>
  <c r="AJ581" i="1"/>
  <c r="AH581" i="1"/>
  <c r="AE581" i="1"/>
  <c r="AD581" i="1"/>
  <c r="AC581" i="1"/>
  <c r="AB581" i="1"/>
  <c r="Z581" i="1"/>
  <c r="J581" i="1"/>
  <c r="AL581" i="1" s="1"/>
  <c r="H581" i="1"/>
  <c r="BJ578" i="1"/>
  <c r="BI578" i="1"/>
  <c r="AG578" i="1" s="1"/>
  <c r="BH578" i="1"/>
  <c r="AF578" i="1" s="1"/>
  <c r="BF578" i="1"/>
  <c r="BD578" i="1"/>
  <c r="AX578" i="1"/>
  <c r="BC578" i="1" s="1"/>
  <c r="AW578" i="1"/>
  <c r="AP578" i="1"/>
  <c r="AO578" i="1"/>
  <c r="AL578" i="1"/>
  <c r="AK578" i="1"/>
  <c r="AJ578" i="1"/>
  <c r="AH578" i="1"/>
  <c r="AE578" i="1"/>
  <c r="AD578" i="1"/>
  <c r="AC578" i="1"/>
  <c r="AB578" i="1"/>
  <c r="Z578" i="1"/>
  <c r="J578" i="1"/>
  <c r="I578" i="1"/>
  <c r="H578" i="1"/>
  <c r="BJ575" i="1"/>
  <c r="BI575" i="1"/>
  <c r="AG575" i="1" s="1"/>
  <c r="BF575" i="1"/>
  <c r="BD575" i="1"/>
  <c r="AX575" i="1"/>
  <c r="AP575" i="1"/>
  <c r="AO575" i="1"/>
  <c r="AL575" i="1"/>
  <c r="AK575" i="1"/>
  <c r="AJ575" i="1"/>
  <c r="AH575" i="1"/>
  <c r="AE575" i="1"/>
  <c r="AD575" i="1"/>
  <c r="AC575" i="1"/>
  <c r="AB575" i="1"/>
  <c r="Z575" i="1"/>
  <c r="J575" i="1"/>
  <c r="I575" i="1"/>
  <c r="H575" i="1"/>
  <c r="BJ572" i="1"/>
  <c r="BF572" i="1"/>
  <c r="BD572" i="1"/>
  <c r="AP572" i="1"/>
  <c r="AO572" i="1"/>
  <c r="AK572" i="1"/>
  <c r="AJ572" i="1"/>
  <c r="AH572" i="1"/>
  <c r="AE572" i="1"/>
  <c r="AD572" i="1"/>
  <c r="AC572" i="1"/>
  <c r="AB572" i="1"/>
  <c r="Z572" i="1"/>
  <c r="J572" i="1"/>
  <c r="AL572" i="1" s="1"/>
  <c r="BJ569" i="1"/>
  <c r="BH569" i="1"/>
  <c r="AF569" i="1" s="1"/>
  <c r="BF569" i="1"/>
  <c r="BD569" i="1"/>
  <c r="AP569" i="1"/>
  <c r="AO569" i="1"/>
  <c r="AK569" i="1"/>
  <c r="AJ569" i="1"/>
  <c r="AH569" i="1"/>
  <c r="AE569" i="1"/>
  <c r="AD569" i="1"/>
  <c r="AC569" i="1"/>
  <c r="AB569" i="1"/>
  <c r="Z569" i="1"/>
  <c r="J569" i="1"/>
  <c r="BJ566" i="1"/>
  <c r="BH566" i="1"/>
  <c r="AF566" i="1" s="1"/>
  <c r="BF566" i="1"/>
  <c r="BD566" i="1"/>
  <c r="AW566" i="1"/>
  <c r="AP566" i="1"/>
  <c r="AO566" i="1"/>
  <c r="H566" i="1" s="1"/>
  <c r="AL566" i="1"/>
  <c r="AK566" i="1"/>
  <c r="AJ566" i="1"/>
  <c r="AH566" i="1"/>
  <c r="AE566" i="1"/>
  <c r="AD566" i="1"/>
  <c r="AC566" i="1"/>
  <c r="AB566" i="1"/>
  <c r="Z566" i="1"/>
  <c r="J566" i="1"/>
  <c r="BJ563" i="1"/>
  <c r="BI563" i="1"/>
  <c r="AG563" i="1" s="1"/>
  <c r="BH563" i="1"/>
  <c r="AF563" i="1" s="1"/>
  <c r="BF563" i="1"/>
  <c r="BD563" i="1"/>
  <c r="AX563" i="1"/>
  <c r="AW563" i="1"/>
  <c r="AV563" i="1"/>
  <c r="AP563" i="1"/>
  <c r="I563" i="1" s="1"/>
  <c r="AO563" i="1"/>
  <c r="AK563" i="1"/>
  <c r="AJ563" i="1"/>
  <c r="AH563" i="1"/>
  <c r="AE563" i="1"/>
  <c r="AD563" i="1"/>
  <c r="AC563" i="1"/>
  <c r="AB563" i="1"/>
  <c r="Z563" i="1"/>
  <c r="J563" i="1"/>
  <c r="AL563" i="1" s="1"/>
  <c r="H563" i="1"/>
  <c r="BJ558" i="1"/>
  <c r="BI558" i="1"/>
  <c r="BH558" i="1"/>
  <c r="BF558" i="1"/>
  <c r="BD558" i="1"/>
  <c r="AX558" i="1"/>
  <c r="BC558" i="1" s="1"/>
  <c r="AW558" i="1"/>
  <c r="AP558" i="1"/>
  <c r="AO558" i="1"/>
  <c r="AL558" i="1"/>
  <c r="AK558" i="1"/>
  <c r="AT557" i="1" s="1"/>
  <c r="AJ558" i="1"/>
  <c r="AS557" i="1" s="1"/>
  <c r="AH558" i="1"/>
  <c r="AG558" i="1"/>
  <c r="AF558" i="1"/>
  <c r="AE558" i="1"/>
  <c r="AD558" i="1"/>
  <c r="AC558" i="1"/>
  <c r="AB558" i="1"/>
  <c r="Z558" i="1"/>
  <c r="J558" i="1"/>
  <c r="I558" i="1"/>
  <c r="H558" i="1"/>
  <c r="H557" i="1" s="1"/>
  <c r="AU557" i="1"/>
  <c r="J557" i="1"/>
  <c r="I557" i="1"/>
  <c r="BJ553" i="1"/>
  <c r="BH553" i="1"/>
  <c r="AF553" i="1" s="1"/>
  <c r="BF553" i="1"/>
  <c r="BD553" i="1"/>
  <c r="AW553" i="1"/>
  <c r="AP553" i="1"/>
  <c r="AO553" i="1"/>
  <c r="H553" i="1" s="1"/>
  <c r="AL553" i="1"/>
  <c r="AK553" i="1"/>
  <c r="AJ553" i="1"/>
  <c r="AH553" i="1"/>
  <c r="AE553" i="1"/>
  <c r="AD553" i="1"/>
  <c r="AC553" i="1"/>
  <c r="AB553" i="1"/>
  <c r="Z553" i="1"/>
  <c r="J553" i="1"/>
  <c r="BJ551" i="1"/>
  <c r="BI551" i="1"/>
  <c r="AG551" i="1" s="1"/>
  <c r="BF551" i="1"/>
  <c r="BD551" i="1"/>
  <c r="AX551" i="1"/>
  <c r="AP551" i="1"/>
  <c r="I551" i="1" s="1"/>
  <c r="AO551" i="1"/>
  <c r="AK551" i="1"/>
  <c r="AT550" i="1" s="1"/>
  <c r="AJ551" i="1"/>
  <c r="AH551" i="1"/>
  <c r="AE551" i="1"/>
  <c r="AD551" i="1"/>
  <c r="AC551" i="1"/>
  <c r="AB551" i="1"/>
  <c r="Z551" i="1"/>
  <c r="J551" i="1"/>
  <c r="AL551" i="1" s="1"/>
  <c r="AU550" i="1"/>
  <c r="BJ548" i="1"/>
  <c r="BH548" i="1"/>
  <c r="BF548" i="1"/>
  <c r="BD548" i="1"/>
  <c r="AW548" i="1"/>
  <c r="AP548" i="1"/>
  <c r="AO548" i="1"/>
  <c r="AL548" i="1"/>
  <c r="AK548" i="1"/>
  <c r="AJ548" i="1"/>
  <c r="AH548" i="1"/>
  <c r="AG548" i="1"/>
  <c r="AF548" i="1"/>
  <c r="AE548" i="1"/>
  <c r="AD548" i="1"/>
  <c r="AC548" i="1"/>
  <c r="AB548" i="1"/>
  <c r="Z548" i="1"/>
  <c r="J548" i="1"/>
  <c r="H548" i="1"/>
  <c r="BJ544" i="1"/>
  <c r="BI544" i="1"/>
  <c r="BH544" i="1"/>
  <c r="AD544" i="1" s="1"/>
  <c r="BF544" i="1"/>
  <c r="BD544" i="1"/>
  <c r="AX544" i="1"/>
  <c r="AP544" i="1"/>
  <c r="AO544" i="1"/>
  <c r="AK544" i="1"/>
  <c r="AJ544" i="1"/>
  <c r="AH544" i="1"/>
  <c r="AG544" i="1"/>
  <c r="AF544" i="1"/>
  <c r="AE544" i="1"/>
  <c r="AC544" i="1"/>
  <c r="AB544" i="1"/>
  <c r="Z544" i="1"/>
  <c r="J544" i="1"/>
  <c r="AL544" i="1" s="1"/>
  <c r="I544" i="1"/>
  <c r="BJ541" i="1"/>
  <c r="BF541" i="1"/>
  <c r="BD541" i="1"/>
  <c r="AW541" i="1"/>
  <c r="AP541" i="1"/>
  <c r="AX541" i="1" s="1"/>
  <c r="AO541" i="1"/>
  <c r="AL541" i="1"/>
  <c r="AK541" i="1"/>
  <c r="AT540" i="1" s="1"/>
  <c r="AJ541" i="1"/>
  <c r="AH541" i="1"/>
  <c r="AG541" i="1"/>
  <c r="AF541" i="1"/>
  <c r="AC541" i="1"/>
  <c r="AB541" i="1"/>
  <c r="Z541" i="1"/>
  <c r="J541" i="1"/>
  <c r="J540" i="1" s="1"/>
  <c r="AU540" i="1"/>
  <c r="AS540" i="1"/>
  <c r="BJ538" i="1"/>
  <c r="BF538" i="1"/>
  <c r="BD538" i="1"/>
  <c r="AP538" i="1"/>
  <c r="AO538" i="1"/>
  <c r="AW538" i="1" s="1"/>
  <c r="AK538" i="1"/>
  <c r="AT529" i="1" s="1"/>
  <c r="AJ538" i="1"/>
  <c r="AH538" i="1"/>
  <c r="AG538" i="1"/>
  <c r="AF538" i="1"/>
  <c r="AE538" i="1"/>
  <c r="AD538" i="1"/>
  <c r="AC538" i="1"/>
  <c r="AB538" i="1"/>
  <c r="Z538" i="1"/>
  <c r="J538" i="1"/>
  <c r="AL538" i="1" s="1"/>
  <c r="H538" i="1"/>
  <c r="BJ534" i="1"/>
  <c r="BI534" i="1"/>
  <c r="AE534" i="1" s="1"/>
  <c r="BH534" i="1"/>
  <c r="AD534" i="1" s="1"/>
  <c r="BF534" i="1"/>
  <c r="BD534" i="1"/>
  <c r="AW534" i="1"/>
  <c r="AP534" i="1"/>
  <c r="AX534" i="1" s="1"/>
  <c r="AO534" i="1"/>
  <c r="H534" i="1" s="1"/>
  <c r="AL534" i="1"/>
  <c r="AK534" i="1"/>
  <c r="AJ534" i="1"/>
  <c r="AH534" i="1"/>
  <c r="AG534" i="1"/>
  <c r="AF534" i="1"/>
  <c r="AC534" i="1"/>
  <c r="AB534" i="1"/>
  <c r="Z534" i="1"/>
  <c r="J534" i="1"/>
  <c r="I534" i="1"/>
  <c r="BJ530" i="1"/>
  <c r="BI530" i="1"/>
  <c r="AE530" i="1" s="1"/>
  <c r="BH530" i="1"/>
  <c r="AD530" i="1" s="1"/>
  <c r="BF530" i="1"/>
  <c r="BD530" i="1"/>
  <c r="AX530" i="1"/>
  <c r="AP530" i="1"/>
  <c r="I530" i="1" s="1"/>
  <c r="AO530" i="1"/>
  <c r="AW530" i="1" s="1"/>
  <c r="AK530" i="1"/>
  <c r="AJ530" i="1"/>
  <c r="AH530" i="1"/>
  <c r="AG530" i="1"/>
  <c r="AF530" i="1"/>
  <c r="AC530" i="1"/>
  <c r="AB530" i="1"/>
  <c r="Z530" i="1"/>
  <c r="J530" i="1"/>
  <c r="AL530" i="1" s="1"/>
  <c r="H530" i="1"/>
  <c r="H529" i="1" s="1"/>
  <c r="AU529" i="1"/>
  <c r="J529" i="1"/>
  <c r="BJ527" i="1"/>
  <c r="BI527" i="1"/>
  <c r="BH527" i="1"/>
  <c r="BF527" i="1"/>
  <c r="BD527" i="1"/>
  <c r="AW527" i="1"/>
  <c r="AP527" i="1"/>
  <c r="AX527" i="1" s="1"/>
  <c r="AO527" i="1"/>
  <c r="AL527" i="1"/>
  <c r="AK527" i="1"/>
  <c r="AJ527" i="1"/>
  <c r="AH527" i="1"/>
  <c r="AG527" i="1"/>
  <c r="AF527" i="1"/>
  <c r="AE527" i="1"/>
  <c r="AD527" i="1"/>
  <c r="AC527" i="1"/>
  <c r="AB527" i="1"/>
  <c r="Z527" i="1"/>
  <c r="J527" i="1"/>
  <c r="I527" i="1"/>
  <c r="H527" i="1"/>
  <c r="BJ524" i="1"/>
  <c r="BI524" i="1"/>
  <c r="AE524" i="1" s="1"/>
  <c r="BF524" i="1"/>
  <c r="BD524" i="1"/>
  <c r="AX524" i="1"/>
  <c r="AW524" i="1"/>
  <c r="AP524" i="1"/>
  <c r="AO524" i="1"/>
  <c r="BH524" i="1" s="1"/>
  <c r="AK524" i="1"/>
  <c r="AJ524" i="1"/>
  <c r="AH524" i="1"/>
  <c r="AG524" i="1"/>
  <c r="AF524" i="1"/>
  <c r="AD524" i="1"/>
  <c r="AC524" i="1"/>
  <c r="AB524" i="1"/>
  <c r="Z524" i="1"/>
  <c r="J524" i="1"/>
  <c r="AL524" i="1" s="1"/>
  <c r="I524" i="1"/>
  <c r="H524" i="1"/>
  <c r="BJ520" i="1"/>
  <c r="BH520" i="1"/>
  <c r="BF520" i="1"/>
  <c r="BD520" i="1"/>
  <c r="BC520" i="1"/>
  <c r="AX520" i="1"/>
  <c r="AV520" i="1" s="1"/>
  <c r="AW520" i="1"/>
  <c r="AP520" i="1"/>
  <c r="BI520" i="1" s="1"/>
  <c r="AE520" i="1" s="1"/>
  <c r="AO520" i="1"/>
  <c r="AL520" i="1"/>
  <c r="AK520" i="1"/>
  <c r="AT514" i="1" s="1"/>
  <c r="C26" i="12" s="1"/>
  <c r="F26" i="12" s="1"/>
  <c r="AJ520" i="1"/>
  <c r="AH520" i="1"/>
  <c r="AG520" i="1"/>
  <c r="AF520" i="1"/>
  <c r="AD520" i="1"/>
  <c r="AC520" i="1"/>
  <c r="AB520" i="1"/>
  <c r="Z520" i="1"/>
  <c r="J520" i="1"/>
  <c r="I520" i="1"/>
  <c r="H520" i="1"/>
  <c r="BJ515" i="1"/>
  <c r="BI515" i="1"/>
  <c r="BF515" i="1"/>
  <c r="BD515" i="1"/>
  <c r="AX515" i="1"/>
  <c r="AP515" i="1"/>
  <c r="AO515" i="1"/>
  <c r="AK515" i="1"/>
  <c r="AJ515" i="1"/>
  <c r="AH515" i="1"/>
  <c r="AG515" i="1"/>
  <c r="AF515" i="1"/>
  <c r="AE515" i="1"/>
  <c r="AC515" i="1"/>
  <c r="AB515" i="1"/>
  <c r="Z515" i="1"/>
  <c r="J515" i="1"/>
  <c r="I515" i="1"/>
  <c r="I514" i="1" s="1"/>
  <c r="BJ511" i="1"/>
  <c r="BI511" i="1"/>
  <c r="AC511" i="1" s="1"/>
  <c r="BF511" i="1"/>
  <c r="BD511" i="1"/>
  <c r="AX511" i="1"/>
  <c r="AW511" i="1"/>
  <c r="AP511" i="1"/>
  <c r="I511" i="1" s="1"/>
  <c r="I510" i="1" s="1"/>
  <c r="AO511" i="1"/>
  <c r="BH511" i="1" s="1"/>
  <c r="AB511" i="1" s="1"/>
  <c r="AK511" i="1"/>
  <c r="AT510" i="1" s="1"/>
  <c r="AJ511" i="1"/>
  <c r="AS510" i="1" s="1"/>
  <c r="AH511" i="1"/>
  <c r="AG511" i="1"/>
  <c r="AF511" i="1"/>
  <c r="AE511" i="1"/>
  <c r="AD511" i="1"/>
  <c r="Z511" i="1"/>
  <c r="J511" i="1"/>
  <c r="AL511" i="1" s="1"/>
  <c r="H511" i="1"/>
  <c r="H510" i="1" s="1"/>
  <c r="AU510" i="1"/>
  <c r="J510" i="1"/>
  <c r="BJ508" i="1"/>
  <c r="Z508" i="1" s="1"/>
  <c r="BH508" i="1"/>
  <c r="BF508" i="1"/>
  <c r="BD508" i="1"/>
  <c r="BC508" i="1"/>
  <c r="AX508" i="1"/>
  <c r="AP508" i="1"/>
  <c r="BI508" i="1" s="1"/>
  <c r="AO508" i="1"/>
  <c r="AW508" i="1" s="1"/>
  <c r="AL508" i="1"/>
  <c r="AK508" i="1"/>
  <c r="AJ508" i="1"/>
  <c r="AH508" i="1"/>
  <c r="AG508" i="1"/>
  <c r="AF508" i="1"/>
  <c r="AE508" i="1"/>
  <c r="AD508" i="1"/>
  <c r="AC508" i="1"/>
  <c r="AB508" i="1"/>
  <c r="J508" i="1"/>
  <c r="I508" i="1"/>
  <c r="H508" i="1"/>
  <c r="BJ506" i="1"/>
  <c r="BI506" i="1"/>
  <c r="BF506" i="1"/>
  <c r="BD506" i="1"/>
  <c r="AP506" i="1"/>
  <c r="AX506" i="1" s="1"/>
  <c r="AO506" i="1"/>
  <c r="AL506" i="1"/>
  <c r="AK506" i="1"/>
  <c r="AJ506" i="1"/>
  <c r="AH506" i="1"/>
  <c r="AG506" i="1"/>
  <c r="AF506" i="1"/>
  <c r="AE506" i="1"/>
  <c r="AC506" i="1"/>
  <c r="AB506" i="1"/>
  <c r="Z506" i="1"/>
  <c r="J506" i="1"/>
  <c r="I506" i="1"/>
  <c r="BJ504" i="1"/>
  <c r="BF504" i="1"/>
  <c r="BD504" i="1"/>
  <c r="AP504" i="1"/>
  <c r="AO504" i="1"/>
  <c r="AK504" i="1"/>
  <c r="AJ504" i="1"/>
  <c r="AH504" i="1"/>
  <c r="AG504" i="1"/>
  <c r="AF504" i="1"/>
  <c r="AC504" i="1"/>
  <c r="AB504" i="1"/>
  <c r="Z504" i="1"/>
  <c r="J504" i="1"/>
  <c r="AL504" i="1" s="1"/>
  <c r="BJ502" i="1"/>
  <c r="BH502" i="1"/>
  <c r="BF502" i="1"/>
  <c r="BD502" i="1"/>
  <c r="AW502" i="1"/>
  <c r="AP502" i="1"/>
  <c r="AO502" i="1"/>
  <c r="AL502" i="1"/>
  <c r="AK502" i="1"/>
  <c r="AJ502" i="1"/>
  <c r="AH502" i="1"/>
  <c r="AG502" i="1"/>
  <c r="AF502" i="1"/>
  <c r="AD502" i="1"/>
  <c r="AC502" i="1"/>
  <c r="AB502" i="1"/>
  <c r="Z502" i="1"/>
  <c r="J502" i="1"/>
  <c r="H502" i="1"/>
  <c r="BJ500" i="1"/>
  <c r="BI500" i="1"/>
  <c r="AE500" i="1" s="1"/>
  <c r="BH500" i="1"/>
  <c r="AD500" i="1" s="1"/>
  <c r="BF500" i="1"/>
  <c r="BD500" i="1"/>
  <c r="AX500" i="1"/>
  <c r="AW500" i="1"/>
  <c r="BC500" i="1" s="1"/>
  <c r="AP500" i="1"/>
  <c r="AO500" i="1"/>
  <c r="H500" i="1" s="1"/>
  <c r="AL500" i="1"/>
  <c r="AK500" i="1"/>
  <c r="AJ500" i="1"/>
  <c r="AH500" i="1"/>
  <c r="AG500" i="1"/>
  <c r="AF500" i="1"/>
  <c r="AC500" i="1"/>
  <c r="AB500" i="1"/>
  <c r="Z500" i="1"/>
  <c r="J500" i="1"/>
  <c r="I500" i="1"/>
  <c r="BJ498" i="1"/>
  <c r="BI498" i="1"/>
  <c r="AE498" i="1" s="1"/>
  <c r="BF498" i="1"/>
  <c r="BD498" i="1"/>
  <c r="AX498" i="1"/>
  <c r="AW498" i="1"/>
  <c r="AP498" i="1"/>
  <c r="I498" i="1" s="1"/>
  <c r="AO498" i="1"/>
  <c r="BH498" i="1" s="1"/>
  <c r="AK498" i="1"/>
  <c r="AJ498" i="1"/>
  <c r="AS477" i="1" s="1"/>
  <c r="AH498" i="1"/>
  <c r="AG498" i="1"/>
  <c r="AF498" i="1"/>
  <c r="AD498" i="1"/>
  <c r="AC498" i="1"/>
  <c r="AB498" i="1"/>
  <c r="Z498" i="1"/>
  <c r="J498" i="1"/>
  <c r="AL498" i="1" s="1"/>
  <c r="BJ496" i="1"/>
  <c r="BH496" i="1"/>
  <c r="AD496" i="1" s="1"/>
  <c r="BF496" i="1"/>
  <c r="BD496" i="1"/>
  <c r="AP496" i="1"/>
  <c r="AO496" i="1"/>
  <c r="AW496" i="1" s="1"/>
  <c r="AL496" i="1"/>
  <c r="AK496" i="1"/>
  <c r="AJ496" i="1"/>
  <c r="AH496" i="1"/>
  <c r="AG496" i="1"/>
  <c r="AF496" i="1"/>
  <c r="AC496" i="1"/>
  <c r="AB496" i="1"/>
  <c r="Z496" i="1"/>
  <c r="J496" i="1"/>
  <c r="H496" i="1"/>
  <c r="BJ494" i="1"/>
  <c r="BI494" i="1"/>
  <c r="AE494" i="1" s="1"/>
  <c r="BH494" i="1"/>
  <c r="AD494" i="1" s="1"/>
  <c r="BF494" i="1"/>
  <c r="BD494" i="1"/>
  <c r="AP494" i="1"/>
  <c r="AX494" i="1" s="1"/>
  <c r="AO494" i="1"/>
  <c r="AK494" i="1"/>
  <c r="AJ494" i="1"/>
  <c r="AH494" i="1"/>
  <c r="AG494" i="1"/>
  <c r="AF494" i="1"/>
  <c r="AC494" i="1"/>
  <c r="AB494" i="1"/>
  <c r="Z494" i="1"/>
  <c r="J494" i="1"/>
  <c r="AL494" i="1" s="1"/>
  <c r="I494" i="1"/>
  <c r="BJ491" i="1"/>
  <c r="BI491" i="1"/>
  <c r="AE491" i="1" s="1"/>
  <c r="BF491" i="1"/>
  <c r="BD491" i="1"/>
  <c r="AX491" i="1"/>
  <c r="AW491" i="1"/>
  <c r="AP491" i="1"/>
  <c r="I491" i="1" s="1"/>
  <c r="AO491" i="1"/>
  <c r="BH491" i="1" s="1"/>
  <c r="AK491" i="1"/>
  <c r="AJ491" i="1"/>
  <c r="AH491" i="1"/>
  <c r="AG491" i="1"/>
  <c r="AF491" i="1"/>
  <c r="AD491" i="1"/>
  <c r="AC491" i="1"/>
  <c r="AB491" i="1"/>
  <c r="Z491" i="1"/>
  <c r="J491" i="1"/>
  <c r="AL491" i="1" s="1"/>
  <c r="BJ488" i="1"/>
  <c r="BH488" i="1"/>
  <c r="BF488" i="1"/>
  <c r="BD488" i="1"/>
  <c r="AW488" i="1"/>
  <c r="AP488" i="1"/>
  <c r="BI488" i="1" s="1"/>
  <c r="AO488" i="1"/>
  <c r="AL488" i="1"/>
  <c r="AK488" i="1"/>
  <c r="AJ488" i="1"/>
  <c r="AH488" i="1"/>
  <c r="AG488" i="1"/>
  <c r="AF488" i="1"/>
  <c r="AE488" i="1"/>
  <c r="AD488" i="1"/>
  <c r="AC488" i="1"/>
  <c r="AB488" i="1"/>
  <c r="Z488" i="1"/>
  <c r="J488" i="1"/>
  <c r="I488" i="1"/>
  <c r="H488" i="1"/>
  <c r="BJ485" i="1"/>
  <c r="BI485" i="1"/>
  <c r="BF485" i="1"/>
  <c r="BD485" i="1"/>
  <c r="AX485" i="1"/>
  <c r="AP485" i="1"/>
  <c r="AO485" i="1"/>
  <c r="AK485" i="1"/>
  <c r="AJ485" i="1"/>
  <c r="AH485" i="1"/>
  <c r="AG485" i="1"/>
  <c r="AF485" i="1"/>
  <c r="AE485" i="1"/>
  <c r="AC485" i="1"/>
  <c r="AB485" i="1"/>
  <c r="Z485" i="1"/>
  <c r="J485" i="1"/>
  <c r="AL485" i="1" s="1"/>
  <c r="I485" i="1"/>
  <c r="BJ482" i="1"/>
  <c r="BF482" i="1"/>
  <c r="BD482" i="1"/>
  <c r="AX482" i="1"/>
  <c r="AP482" i="1"/>
  <c r="BI482" i="1" s="1"/>
  <c r="AE482" i="1" s="1"/>
  <c r="AO482" i="1"/>
  <c r="AK482" i="1"/>
  <c r="AJ482" i="1"/>
  <c r="AH482" i="1"/>
  <c r="AG482" i="1"/>
  <c r="AF482" i="1"/>
  <c r="AC482" i="1"/>
  <c r="AB482" i="1"/>
  <c r="Z482" i="1"/>
  <c r="J482" i="1"/>
  <c r="AL482" i="1" s="1"/>
  <c r="I482" i="1"/>
  <c r="BJ478" i="1"/>
  <c r="BF478" i="1"/>
  <c r="BD478" i="1"/>
  <c r="BC478" i="1"/>
  <c r="AX478" i="1"/>
  <c r="AV478" i="1"/>
  <c r="AP478" i="1"/>
  <c r="BI478" i="1" s="1"/>
  <c r="AO478" i="1"/>
  <c r="AW478" i="1" s="1"/>
  <c r="AL478" i="1"/>
  <c r="AK478" i="1"/>
  <c r="AJ478" i="1"/>
  <c r="AH478" i="1"/>
  <c r="AG478" i="1"/>
  <c r="AF478" i="1"/>
  <c r="AE478" i="1"/>
  <c r="AC478" i="1"/>
  <c r="AB478" i="1"/>
  <c r="Z478" i="1"/>
  <c r="J478" i="1"/>
  <c r="J477" i="1" s="1"/>
  <c r="I478" i="1"/>
  <c r="H478" i="1"/>
  <c r="BJ475" i="1"/>
  <c r="BH475" i="1"/>
  <c r="BF475" i="1"/>
  <c r="BD475" i="1"/>
  <c r="AW475" i="1"/>
  <c r="AV475" i="1" s="1"/>
  <c r="AP475" i="1"/>
  <c r="AX475" i="1" s="1"/>
  <c r="AO475" i="1"/>
  <c r="H475" i="1" s="1"/>
  <c r="AL475" i="1"/>
  <c r="AK475" i="1"/>
  <c r="AJ475" i="1"/>
  <c r="AH475" i="1"/>
  <c r="AG475" i="1"/>
  <c r="AF475" i="1"/>
  <c r="AE475" i="1"/>
  <c r="AD475" i="1"/>
  <c r="AC475" i="1"/>
  <c r="AB475" i="1"/>
  <c r="Z475" i="1"/>
  <c r="J475" i="1"/>
  <c r="BJ469" i="1"/>
  <c r="BI469" i="1"/>
  <c r="AE469" i="1" s="1"/>
  <c r="BF469" i="1"/>
  <c r="BD469" i="1"/>
  <c r="AX469" i="1"/>
  <c r="AW469" i="1"/>
  <c r="BC469" i="1" s="1"/>
  <c r="AV469" i="1"/>
  <c r="AP469" i="1"/>
  <c r="I469" i="1" s="1"/>
  <c r="AO469" i="1"/>
  <c r="BH469" i="1" s="1"/>
  <c r="AD469" i="1" s="1"/>
  <c r="AK469" i="1"/>
  <c r="AJ469" i="1"/>
  <c r="AH469" i="1"/>
  <c r="AG469" i="1"/>
  <c r="AF469" i="1"/>
  <c r="AC469" i="1"/>
  <c r="AB469" i="1"/>
  <c r="Z469" i="1"/>
  <c r="J469" i="1"/>
  <c r="AL469" i="1" s="1"/>
  <c r="BJ464" i="1"/>
  <c r="BH464" i="1"/>
  <c r="BF464" i="1"/>
  <c r="BD464" i="1"/>
  <c r="AW464" i="1"/>
  <c r="AP464" i="1"/>
  <c r="AO464" i="1"/>
  <c r="AL464" i="1"/>
  <c r="AK464" i="1"/>
  <c r="AJ464" i="1"/>
  <c r="AH464" i="1"/>
  <c r="AG464" i="1"/>
  <c r="AF464" i="1"/>
  <c r="AD464" i="1"/>
  <c r="AC464" i="1"/>
  <c r="AB464" i="1"/>
  <c r="Z464" i="1"/>
  <c r="J464" i="1"/>
  <c r="H464" i="1"/>
  <c r="BJ459" i="1"/>
  <c r="BI459" i="1"/>
  <c r="BH459" i="1"/>
  <c r="AD459" i="1" s="1"/>
  <c r="BF459" i="1"/>
  <c r="BD459" i="1"/>
  <c r="BC459" i="1"/>
  <c r="AX459" i="1"/>
  <c r="AW459" i="1"/>
  <c r="AV459" i="1"/>
  <c r="AP459" i="1"/>
  <c r="AO459" i="1"/>
  <c r="H459" i="1" s="1"/>
  <c r="AL459" i="1"/>
  <c r="AU458" i="1" s="1"/>
  <c r="AK459" i="1"/>
  <c r="AJ459" i="1"/>
  <c r="AH459" i="1"/>
  <c r="AG459" i="1"/>
  <c r="AF459" i="1"/>
  <c r="AE459" i="1"/>
  <c r="AC459" i="1"/>
  <c r="AB459" i="1"/>
  <c r="Z459" i="1"/>
  <c r="J459" i="1"/>
  <c r="I459" i="1"/>
  <c r="AT458" i="1"/>
  <c r="BJ457" i="1"/>
  <c r="BF457" i="1"/>
  <c r="BD457" i="1"/>
  <c r="AX457" i="1"/>
  <c r="AP457" i="1"/>
  <c r="BI457" i="1" s="1"/>
  <c r="AO457" i="1"/>
  <c r="AK457" i="1"/>
  <c r="AJ457" i="1"/>
  <c r="AS450" i="1" s="1"/>
  <c r="AH457" i="1"/>
  <c r="AG457" i="1"/>
  <c r="AF457" i="1"/>
  <c r="AE457" i="1"/>
  <c r="AD457" i="1"/>
  <c r="AC457" i="1"/>
  <c r="AB457" i="1"/>
  <c r="Z457" i="1"/>
  <c r="J457" i="1"/>
  <c r="J450" i="1" s="1"/>
  <c r="I457" i="1"/>
  <c r="BJ451" i="1"/>
  <c r="BF451" i="1"/>
  <c r="BD451" i="1"/>
  <c r="BC451" i="1"/>
  <c r="AX451" i="1"/>
  <c r="AV451" i="1"/>
  <c r="AP451" i="1"/>
  <c r="BI451" i="1" s="1"/>
  <c r="AC451" i="1" s="1"/>
  <c r="AO451" i="1"/>
  <c r="AW451" i="1" s="1"/>
  <c r="AL451" i="1"/>
  <c r="AK451" i="1"/>
  <c r="AJ451" i="1"/>
  <c r="AH451" i="1"/>
  <c r="AG451" i="1"/>
  <c r="AF451" i="1"/>
  <c r="AE451" i="1"/>
  <c r="AD451" i="1"/>
  <c r="Z451" i="1"/>
  <c r="J451" i="1"/>
  <c r="I451" i="1"/>
  <c r="I450" i="1" s="1"/>
  <c r="H451" i="1"/>
  <c r="AT450" i="1"/>
  <c r="BJ445" i="1"/>
  <c r="BI445" i="1"/>
  <c r="AG445" i="1" s="1"/>
  <c r="BF445" i="1"/>
  <c r="BD445" i="1"/>
  <c r="AX445" i="1"/>
  <c r="AP445" i="1"/>
  <c r="AO445" i="1"/>
  <c r="AL445" i="1"/>
  <c r="AU444" i="1" s="1"/>
  <c r="AK445" i="1"/>
  <c r="AJ445" i="1"/>
  <c r="AS444" i="1" s="1"/>
  <c r="AH445" i="1"/>
  <c r="AE445" i="1"/>
  <c r="AD445" i="1"/>
  <c r="AC445" i="1"/>
  <c r="AB445" i="1"/>
  <c r="Z445" i="1"/>
  <c r="J445" i="1"/>
  <c r="I445" i="1"/>
  <c r="H445" i="1"/>
  <c r="H444" i="1" s="1"/>
  <c r="AT444" i="1"/>
  <c r="J444" i="1"/>
  <c r="I444" i="1"/>
  <c r="BJ442" i="1"/>
  <c r="BI442" i="1"/>
  <c r="AG442" i="1" s="1"/>
  <c r="BF442" i="1"/>
  <c r="BD442" i="1"/>
  <c r="AP442" i="1"/>
  <c r="AX442" i="1" s="1"/>
  <c r="AO442" i="1"/>
  <c r="AL442" i="1"/>
  <c r="AU441" i="1" s="1"/>
  <c r="AK442" i="1"/>
  <c r="AJ442" i="1"/>
  <c r="AS441" i="1" s="1"/>
  <c r="AH442" i="1"/>
  <c r="AE442" i="1"/>
  <c r="AD442" i="1"/>
  <c r="AC442" i="1"/>
  <c r="AB442" i="1"/>
  <c r="Z442" i="1"/>
  <c r="J442" i="1"/>
  <c r="I442" i="1"/>
  <c r="AT441" i="1"/>
  <c r="J441" i="1"/>
  <c r="I441" i="1"/>
  <c r="BJ429" i="1"/>
  <c r="BF429" i="1"/>
  <c r="BD429" i="1"/>
  <c r="AP429" i="1"/>
  <c r="AO429" i="1"/>
  <c r="AK429" i="1"/>
  <c r="AT428" i="1" s="1"/>
  <c r="AJ429" i="1"/>
  <c r="AH429" i="1"/>
  <c r="AG429" i="1"/>
  <c r="AF429" i="1"/>
  <c r="AC429" i="1"/>
  <c r="AB429" i="1"/>
  <c r="Z429" i="1"/>
  <c r="J429" i="1"/>
  <c r="AL429" i="1" s="1"/>
  <c r="AU428" i="1" s="1"/>
  <c r="AS428" i="1"/>
  <c r="J428" i="1"/>
  <c r="BJ425" i="1"/>
  <c r="BH425" i="1"/>
  <c r="AD425" i="1" s="1"/>
  <c r="BF425" i="1"/>
  <c r="BD425" i="1"/>
  <c r="AW425" i="1"/>
  <c r="AP425" i="1"/>
  <c r="AO425" i="1"/>
  <c r="AL425" i="1"/>
  <c r="AU424" i="1" s="1"/>
  <c r="AK425" i="1"/>
  <c r="AJ425" i="1"/>
  <c r="AH425" i="1"/>
  <c r="AG425" i="1"/>
  <c r="AF425" i="1"/>
  <c r="AC425" i="1"/>
  <c r="AB425" i="1"/>
  <c r="Z425" i="1"/>
  <c r="J425" i="1"/>
  <c r="H425" i="1"/>
  <c r="AT424" i="1"/>
  <c r="AS424" i="1"/>
  <c r="J424" i="1"/>
  <c r="H424" i="1"/>
  <c r="BJ422" i="1"/>
  <c r="Z422" i="1" s="1"/>
  <c r="BI422" i="1"/>
  <c r="BH422" i="1"/>
  <c r="BF422" i="1"/>
  <c r="BD422" i="1"/>
  <c r="AX422" i="1"/>
  <c r="AW422" i="1"/>
  <c r="BC422" i="1" s="1"/>
  <c r="AV422" i="1"/>
  <c r="AP422" i="1"/>
  <c r="AO422" i="1"/>
  <c r="H422" i="1" s="1"/>
  <c r="AK422" i="1"/>
  <c r="AJ422" i="1"/>
  <c r="AH422" i="1"/>
  <c r="AG422" i="1"/>
  <c r="AF422" i="1"/>
  <c r="AE422" i="1"/>
  <c r="AD422" i="1"/>
  <c r="AC422" i="1"/>
  <c r="AB422" i="1"/>
  <c r="J422" i="1"/>
  <c r="AL422" i="1" s="1"/>
  <c r="I422" i="1"/>
  <c r="BJ419" i="1"/>
  <c r="BI419" i="1"/>
  <c r="AE419" i="1" s="1"/>
  <c r="BF419" i="1"/>
  <c r="BD419" i="1"/>
  <c r="AX419" i="1"/>
  <c r="AW419" i="1"/>
  <c r="AP419" i="1"/>
  <c r="I419" i="1" s="1"/>
  <c r="AO419" i="1"/>
  <c r="BH419" i="1" s="1"/>
  <c r="AD419" i="1" s="1"/>
  <c r="AL419" i="1"/>
  <c r="AK419" i="1"/>
  <c r="AJ419" i="1"/>
  <c r="AH419" i="1"/>
  <c r="AG419" i="1"/>
  <c r="AF419" i="1"/>
  <c r="AC419" i="1"/>
  <c r="AB419" i="1"/>
  <c r="Z419" i="1"/>
  <c r="J419" i="1"/>
  <c r="H419" i="1"/>
  <c r="BJ415" i="1"/>
  <c r="BH415" i="1"/>
  <c r="BF415" i="1"/>
  <c r="BD415" i="1"/>
  <c r="BC415" i="1"/>
  <c r="AX415" i="1"/>
  <c r="AP415" i="1"/>
  <c r="BI415" i="1" s="1"/>
  <c r="AO415" i="1"/>
  <c r="AW415" i="1" s="1"/>
  <c r="AV415" i="1" s="1"/>
  <c r="AL415" i="1"/>
  <c r="AK415" i="1"/>
  <c r="AJ415" i="1"/>
  <c r="AH415" i="1"/>
  <c r="AG415" i="1"/>
  <c r="AF415" i="1"/>
  <c r="AE415" i="1"/>
  <c r="AD415" i="1"/>
  <c r="AC415" i="1"/>
  <c r="AB415" i="1"/>
  <c r="Z415" i="1"/>
  <c r="J415" i="1"/>
  <c r="I415" i="1"/>
  <c r="H415" i="1"/>
  <c r="BJ411" i="1"/>
  <c r="BI411" i="1"/>
  <c r="BF411" i="1"/>
  <c r="BD411" i="1"/>
  <c r="AP411" i="1"/>
  <c r="AX411" i="1" s="1"/>
  <c r="AO411" i="1"/>
  <c r="AK411" i="1"/>
  <c r="AJ411" i="1"/>
  <c r="AH411" i="1"/>
  <c r="AG411" i="1"/>
  <c r="AF411" i="1"/>
  <c r="AE411" i="1"/>
  <c r="AC411" i="1"/>
  <c r="AB411" i="1"/>
  <c r="Z411" i="1"/>
  <c r="J411" i="1"/>
  <c r="AL411" i="1" s="1"/>
  <c r="I411" i="1"/>
  <c r="BJ407" i="1"/>
  <c r="BF407" i="1"/>
  <c r="BD407" i="1"/>
  <c r="AP407" i="1"/>
  <c r="AO407" i="1"/>
  <c r="AK407" i="1"/>
  <c r="AJ407" i="1"/>
  <c r="AH407" i="1"/>
  <c r="AG407" i="1"/>
  <c r="AF407" i="1"/>
  <c r="AC407" i="1"/>
  <c r="AB407" i="1"/>
  <c r="Z407" i="1"/>
  <c r="J407" i="1"/>
  <c r="AL407" i="1" s="1"/>
  <c r="BJ403" i="1"/>
  <c r="BH403" i="1"/>
  <c r="AD403" i="1" s="1"/>
  <c r="BF403" i="1"/>
  <c r="BD403" i="1"/>
  <c r="AW403" i="1"/>
  <c r="AP403" i="1"/>
  <c r="AO403" i="1"/>
  <c r="AL403" i="1"/>
  <c r="AK403" i="1"/>
  <c r="AJ403" i="1"/>
  <c r="AH403" i="1"/>
  <c r="AG403" i="1"/>
  <c r="AF403" i="1"/>
  <c r="AC403" i="1"/>
  <c r="AB403" i="1"/>
  <c r="Z403" i="1"/>
  <c r="J403" i="1"/>
  <c r="H403" i="1"/>
  <c r="BJ400" i="1"/>
  <c r="BI400" i="1"/>
  <c r="AE400" i="1" s="1"/>
  <c r="BH400" i="1"/>
  <c r="AD400" i="1" s="1"/>
  <c r="BF400" i="1"/>
  <c r="BD400" i="1"/>
  <c r="AX400" i="1"/>
  <c r="AW400" i="1"/>
  <c r="AP400" i="1"/>
  <c r="AO400" i="1"/>
  <c r="H400" i="1" s="1"/>
  <c r="AK400" i="1"/>
  <c r="AJ400" i="1"/>
  <c r="AH400" i="1"/>
  <c r="AG400" i="1"/>
  <c r="AF400" i="1"/>
  <c r="AC400" i="1"/>
  <c r="AB400" i="1"/>
  <c r="Z400" i="1"/>
  <c r="J400" i="1"/>
  <c r="AL400" i="1" s="1"/>
  <c r="I400" i="1"/>
  <c r="BJ397" i="1"/>
  <c r="BI397" i="1"/>
  <c r="AE397" i="1" s="1"/>
  <c r="BF397" i="1"/>
  <c r="BD397" i="1"/>
  <c r="AX397" i="1"/>
  <c r="AW397" i="1"/>
  <c r="AP397" i="1"/>
  <c r="I397" i="1" s="1"/>
  <c r="AO397" i="1"/>
  <c r="BH397" i="1" s="1"/>
  <c r="AD397" i="1" s="1"/>
  <c r="AL397" i="1"/>
  <c r="AK397" i="1"/>
  <c r="AJ397" i="1"/>
  <c r="AH397" i="1"/>
  <c r="AG397" i="1"/>
  <c r="AF397" i="1"/>
  <c r="AC397" i="1"/>
  <c r="AB397" i="1"/>
  <c r="Z397" i="1"/>
  <c r="J397" i="1"/>
  <c r="H397" i="1"/>
  <c r="BJ394" i="1"/>
  <c r="Z394" i="1" s="1"/>
  <c r="BH394" i="1"/>
  <c r="BF394" i="1"/>
  <c r="BD394" i="1"/>
  <c r="AX394" i="1"/>
  <c r="AP394" i="1"/>
  <c r="BI394" i="1" s="1"/>
  <c r="AO394" i="1"/>
  <c r="AW394" i="1" s="1"/>
  <c r="AV394" i="1" s="1"/>
  <c r="AL394" i="1"/>
  <c r="AK394" i="1"/>
  <c r="AJ394" i="1"/>
  <c r="AH394" i="1"/>
  <c r="AG394" i="1"/>
  <c r="AF394" i="1"/>
  <c r="AE394" i="1"/>
  <c r="AD394" i="1"/>
  <c r="AC394" i="1"/>
  <c r="AB394" i="1"/>
  <c r="J394" i="1"/>
  <c r="I394" i="1"/>
  <c r="H394" i="1"/>
  <c r="BJ390" i="1"/>
  <c r="BI390" i="1"/>
  <c r="BF390" i="1"/>
  <c r="BD390" i="1"/>
  <c r="AP390" i="1"/>
  <c r="AX390" i="1" s="1"/>
  <c r="AO390" i="1"/>
  <c r="AK390" i="1"/>
  <c r="AJ390" i="1"/>
  <c r="AH390" i="1"/>
  <c r="AG390" i="1"/>
  <c r="AF390" i="1"/>
  <c r="AE390" i="1"/>
  <c r="AC390" i="1"/>
  <c r="AB390" i="1"/>
  <c r="Z390" i="1"/>
  <c r="J390" i="1"/>
  <c r="AL390" i="1" s="1"/>
  <c r="I390" i="1"/>
  <c r="BJ388" i="1"/>
  <c r="BF388" i="1"/>
  <c r="BD388" i="1"/>
  <c r="AP388" i="1"/>
  <c r="AO388" i="1"/>
  <c r="AK388" i="1"/>
  <c r="AJ388" i="1"/>
  <c r="AH388" i="1"/>
  <c r="AG388" i="1"/>
  <c r="AF388" i="1"/>
  <c r="AC388" i="1"/>
  <c r="AB388" i="1"/>
  <c r="Z388" i="1"/>
  <c r="J388" i="1"/>
  <c r="AL388" i="1" s="1"/>
  <c r="BJ385" i="1"/>
  <c r="BH385" i="1"/>
  <c r="AD385" i="1" s="1"/>
  <c r="BF385" i="1"/>
  <c r="BD385" i="1"/>
  <c r="AW385" i="1"/>
  <c r="AP385" i="1"/>
  <c r="AO385" i="1"/>
  <c r="AL385" i="1"/>
  <c r="AK385" i="1"/>
  <c r="AJ385" i="1"/>
  <c r="AH385" i="1"/>
  <c r="AG385" i="1"/>
  <c r="AF385" i="1"/>
  <c r="AC385" i="1"/>
  <c r="AB385" i="1"/>
  <c r="Z385" i="1"/>
  <c r="J385" i="1"/>
  <c r="H385" i="1"/>
  <c r="BJ382" i="1"/>
  <c r="BI382" i="1"/>
  <c r="AE382" i="1" s="1"/>
  <c r="BH382" i="1"/>
  <c r="AD382" i="1" s="1"/>
  <c r="BF382" i="1"/>
  <c r="BD382" i="1"/>
  <c r="AX382" i="1"/>
  <c r="AW382" i="1"/>
  <c r="BC382" i="1" s="1"/>
  <c r="AV382" i="1"/>
  <c r="AP382" i="1"/>
  <c r="AO382" i="1"/>
  <c r="H382" i="1" s="1"/>
  <c r="AK382" i="1"/>
  <c r="AJ382" i="1"/>
  <c r="AH382" i="1"/>
  <c r="AG382" i="1"/>
  <c r="AF382" i="1"/>
  <c r="AC382" i="1"/>
  <c r="AB382" i="1"/>
  <c r="Z382" i="1"/>
  <c r="J382" i="1"/>
  <c r="AL382" i="1" s="1"/>
  <c r="I382" i="1"/>
  <c r="BJ378" i="1"/>
  <c r="BI378" i="1"/>
  <c r="AE378" i="1" s="1"/>
  <c r="BF378" i="1"/>
  <c r="BD378" i="1"/>
  <c r="AX378" i="1"/>
  <c r="AW378" i="1"/>
  <c r="AP378" i="1"/>
  <c r="I378" i="1" s="1"/>
  <c r="AO378" i="1"/>
  <c r="BH378" i="1" s="1"/>
  <c r="AL378" i="1"/>
  <c r="AK378" i="1"/>
  <c r="AJ378" i="1"/>
  <c r="AH378" i="1"/>
  <c r="AG378" i="1"/>
  <c r="AF378" i="1"/>
  <c r="AD378" i="1"/>
  <c r="AC378" i="1"/>
  <c r="AB378" i="1"/>
  <c r="Z378" i="1"/>
  <c r="J378" i="1"/>
  <c r="H378" i="1"/>
  <c r="BJ374" i="1"/>
  <c r="BH374" i="1"/>
  <c r="BF374" i="1"/>
  <c r="BD374" i="1"/>
  <c r="AX374" i="1"/>
  <c r="AP374" i="1"/>
  <c r="BI374" i="1" s="1"/>
  <c r="AO374" i="1"/>
  <c r="AW374" i="1" s="1"/>
  <c r="AL374" i="1"/>
  <c r="AK374" i="1"/>
  <c r="AJ374" i="1"/>
  <c r="AH374" i="1"/>
  <c r="AG374" i="1"/>
  <c r="AF374" i="1"/>
  <c r="AE374" i="1"/>
  <c r="AD374" i="1"/>
  <c r="AC374" i="1"/>
  <c r="AB374" i="1"/>
  <c r="Z374" i="1"/>
  <c r="J374" i="1"/>
  <c r="I374" i="1"/>
  <c r="H374" i="1"/>
  <c r="BJ372" i="1"/>
  <c r="BI372" i="1"/>
  <c r="BF372" i="1"/>
  <c r="BD372" i="1"/>
  <c r="AP372" i="1"/>
  <c r="AX372" i="1" s="1"/>
  <c r="AO372" i="1"/>
  <c r="AK372" i="1"/>
  <c r="AJ372" i="1"/>
  <c r="AH372" i="1"/>
  <c r="AG372" i="1"/>
  <c r="AF372" i="1"/>
  <c r="AE372" i="1"/>
  <c r="AC372" i="1"/>
  <c r="AB372" i="1"/>
  <c r="Z372" i="1"/>
  <c r="J372" i="1"/>
  <c r="AL372" i="1" s="1"/>
  <c r="I372" i="1"/>
  <c r="BJ369" i="1"/>
  <c r="BF369" i="1"/>
  <c r="BD369" i="1"/>
  <c r="AP369" i="1"/>
  <c r="AO369" i="1"/>
  <c r="AK369" i="1"/>
  <c r="AJ369" i="1"/>
  <c r="AH369" i="1"/>
  <c r="AG369" i="1"/>
  <c r="AF369" i="1"/>
  <c r="AC369" i="1"/>
  <c r="AB369" i="1"/>
  <c r="Z369" i="1"/>
  <c r="J369" i="1"/>
  <c r="AL369" i="1" s="1"/>
  <c r="BJ366" i="1"/>
  <c r="BH366" i="1"/>
  <c r="AD366" i="1" s="1"/>
  <c r="BF366" i="1"/>
  <c r="BD366" i="1"/>
  <c r="AW366" i="1"/>
  <c r="AP366" i="1"/>
  <c r="I366" i="1" s="1"/>
  <c r="AO366" i="1"/>
  <c r="AL366" i="1"/>
  <c r="AK366" i="1"/>
  <c r="AJ366" i="1"/>
  <c r="AH366" i="1"/>
  <c r="AG366" i="1"/>
  <c r="AF366" i="1"/>
  <c r="AC366" i="1"/>
  <c r="AB366" i="1"/>
  <c r="Z366" i="1"/>
  <c r="J366" i="1"/>
  <c r="H366" i="1"/>
  <c r="BJ363" i="1"/>
  <c r="BI363" i="1"/>
  <c r="AE363" i="1" s="1"/>
  <c r="BH363" i="1"/>
  <c r="AD363" i="1" s="1"/>
  <c r="BF363" i="1"/>
  <c r="BD363" i="1"/>
  <c r="AX363" i="1"/>
  <c r="AW363" i="1"/>
  <c r="AP363" i="1"/>
  <c r="AO363" i="1"/>
  <c r="H363" i="1" s="1"/>
  <c r="AK363" i="1"/>
  <c r="AJ363" i="1"/>
  <c r="AH363" i="1"/>
  <c r="AG363" i="1"/>
  <c r="AF363" i="1"/>
  <c r="AC363" i="1"/>
  <c r="AB363" i="1"/>
  <c r="Z363" i="1"/>
  <c r="J363" i="1"/>
  <c r="AL363" i="1" s="1"/>
  <c r="I363" i="1"/>
  <c r="BJ361" i="1"/>
  <c r="BF361" i="1"/>
  <c r="BD361" i="1"/>
  <c r="AX361" i="1"/>
  <c r="AW361" i="1"/>
  <c r="AP361" i="1"/>
  <c r="I361" i="1" s="1"/>
  <c r="AO361" i="1"/>
  <c r="BH361" i="1" s="1"/>
  <c r="AD361" i="1" s="1"/>
  <c r="AL361" i="1"/>
  <c r="AK361" i="1"/>
  <c r="AJ361" i="1"/>
  <c r="AH361" i="1"/>
  <c r="AG361" i="1"/>
  <c r="AF361" i="1"/>
  <c r="AC361" i="1"/>
  <c r="AB361" i="1"/>
  <c r="Z361" i="1"/>
  <c r="J361" i="1"/>
  <c r="H361" i="1"/>
  <c r="BJ359" i="1"/>
  <c r="BH359" i="1"/>
  <c r="BF359" i="1"/>
  <c r="BD359" i="1"/>
  <c r="AX359" i="1"/>
  <c r="AP359" i="1"/>
  <c r="BI359" i="1" s="1"/>
  <c r="AO359" i="1"/>
  <c r="AW359" i="1" s="1"/>
  <c r="AL359" i="1"/>
  <c r="AK359" i="1"/>
  <c r="AJ359" i="1"/>
  <c r="AH359" i="1"/>
  <c r="AG359" i="1"/>
  <c r="AF359" i="1"/>
  <c r="AE359" i="1"/>
  <c r="AD359" i="1"/>
  <c r="AC359" i="1"/>
  <c r="AB359" i="1"/>
  <c r="Z359" i="1"/>
  <c r="J359" i="1"/>
  <c r="I359" i="1"/>
  <c r="H359" i="1"/>
  <c r="BJ357" i="1"/>
  <c r="BI357" i="1"/>
  <c r="BF357" i="1"/>
  <c r="BD357" i="1"/>
  <c r="AW357" i="1"/>
  <c r="AV357" i="1" s="1"/>
  <c r="AP357" i="1"/>
  <c r="AX357" i="1" s="1"/>
  <c r="AO357" i="1"/>
  <c r="AL357" i="1"/>
  <c r="AK357" i="1"/>
  <c r="AJ357" i="1"/>
  <c r="AH357" i="1"/>
  <c r="AG357" i="1"/>
  <c r="AF357" i="1"/>
  <c r="AE357" i="1"/>
  <c r="AC357" i="1"/>
  <c r="AB357" i="1"/>
  <c r="Z357" i="1"/>
  <c r="J357" i="1"/>
  <c r="I357" i="1"/>
  <c r="BJ355" i="1"/>
  <c r="BF355" i="1"/>
  <c r="BD355" i="1"/>
  <c r="AX355" i="1"/>
  <c r="AP355" i="1"/>
  <c r="AO355" i="1"/>
  <c r="AK355" i="1"/>
  <c r="AJ355" i="1"/>
  <c r="AH355" i="1"/>
  <c r="AG355" i="1"/>
  <c r="AF355" i="1"/>
  <c r="AC355" i="1"/>
  <c r="AB355" i="1"/>
  <c r="Z355" i="1"/>
  <c r="J355" i="1"/>
  <c r="AL355" i="1" s="1"/>
  <c r="H355" i="1"/>
  <c r="BJ353" i="1"/>
  <c r="BH353" i="1"/>
  <c r="AD353" i="1" s="1"/>
  <c r="BF353" i="1"/>
  <c r="BD353" i="1"/>
  <c r="AW353" i="1"/>
  <c r="AP353" i="1"/>
  <c r="AO353" i="1"/>
  <c r="AL353" i="1"/>
  <c r="AK353" i="1"/>
  <c r="AJ353" i="1"/>
  <c r="AH353" i="1"/>
  <c r="AG353" i="1"/>
  <c r="AF353" i="1"/>
  <c r="AC353" i="1"/>
  <c r="AB353" i="1"/>
  <c r="Z353" i="1"/>
  <c r="J353" i="1"/>
  <c r="I353" i="1"/>
  <c r="H353" i="1"/>
  <c r="BJ351" i="1"/>
  <c r="BI351" i="1"/>
  <c r="AE351" i="1" s="1"/>
  <c r="BF351" i="1"/>
  <c r="BD351" i="1"/>
  <c r="AX351" i="1"/>
  <c r="AW351" i="1"/>
  <c r="BC351" i="1" s="1"/>
  <c r="AP351" i="1"/>
  <c r="AO351" i="1"/>
  <c r="H351" i="1" s="1"/>
  <c r="AK351" i="1"/>
  <c r="AJ351" i="1"/>
  <c r="AH351" i="1"/>
  <c r="AG351" i="1"/>
  <c r="AF351" i="1"/>
  <c r="AC351" i="1"/>
  <c r="AB351" i="1"/>
  <c r="Z351" i="1"/>
  <c r="J351" i="1"/>
  <c r="AL351" i="1" s="1"/>
  <c r="I351" i="1"/>
  <c r="BJ349" i="1"/>
  <c r="BI349" i="1"/>
  <c r="AE349" i="1" s="1"/>
  <c r="BF349" i="1"/>
  <c r="BD349" i="1"/>
  <c r="AX349" i="1"/>
  <c r="AW349" i="1"/>
  <c r="AP349" i="1"/>
  <c r="I349" i="1" s="1"/>
  <c r="AO349" i="1"/>
  <c r="BH349" i="1" s="1"/>
  <c r="AK349" i="1"/>
  <c r="AJ349" i="1"/>
  <c r="AH349" i="1"/>
  <c r="AG349" i="1"/>
  <c r="AF349" i="1"/>
  <c r="AD349" i="1"/>
  <c r="AC349" i="1"/>
  <c r="AB349" i="1"/>
  <c r="Z349" i="1"/>
  <c r="J349" i="1"/>
  <c r="AL349" i="1" s="1"/>
  <c r="H349" i="1"/>
  <c r="BJ347" i="1"/>
  <c r="BH347" i="1"/>
  <c r="AD347" i="1" s="1"/>
  <c r="BF347" i="1"/>
  <c r="BD347" i="1"/>
  <c r="AX347" i="1"/>
  <c r="AP347" i="1"/>
  <c r="BI347" i="1" s="1"/>
  <c r="AE347" i="1" s="1"/>
  <c r="AO347" i="1"/>
  <c r="AW347" i="1" s="1"/>
  <c r="BC347" i="1" s="1"/>
  <c r="AL347" i="1"/>
  <c r="AK347" i="1"/>
  <c r="AJ347" i="1"/>
  <c r="AH347" i="1"/>
  <c r="AG347" i="1"/>
  <c r="AF347" i="1"/>
  <c r="AC347" i="1"/>
  <c r="AB347" i="1"/>
  <c r="Z347" i="1"/>
  <c r="J347" i="1"/>
  <c r="I347" i="1"/>
  <c r="H347" i="1"/>
  <c r="BJ344" i="1"/>
  <c r="BI344" i="1"/>
  <c r="BF344" i="1"/>
  <c r="BD344" i="1"/>
  <c r="AP344" i="1"/>
  <c r="AX344" i="1" s="1"/>
  <c r="AO344" i="1"/>
  <c r="AL344" i="1"/>
  <c r="AK344" i="1"/>
  <c r="AJ344" i="1"/>
  <c r="AH344" i="1"/>
  <c r="AG344" i="1"/>
  <c r="AF344" i="1"/>
  <c r="AE344" i="1"/>
  <c r="AC344" i="1"/>
  <c r="AB344" i="1"/>
  <c r="Z344" i="1"/>
  <c r="J344" i="1"/>
  <c r="I344" i="1"/>
  <c r="BJ341" i="1"/>
  <c r="BF341" i="1"/>
  <c r="BD341" i="1"/>
  <c r="AX341" i="1"/>
  <c r="AP341" i="1"/>
  <c r="AO341" i="1"/>
  <c r="AK341" i="1"/>
  <c r="AJ341" i="1"/>
  <c r="AH341" i="1"/>
  <c r="AG341" i="1"/>
  <c r="AF341" i="1"/>
  <c r="AC341" i="1"/>
  <c r="AB341" i="1"/>
  <c r="Z341" i="1"/>
  <c r="J341" i="1"/>
  <c r="AL341" i="1" s="1"/>
  <c r="BJ338" i="1"/>
  <c r="BH338" i="1"/>
  <c r="AD338" i="1" s="1"/>
  <c r="BF338" i="1"/>
  <c r="BD338" i="1"/>
  <c r="AW338" i="1"/>
  <c r="AP338" i="1"/>
  <c r="AO338" i="1"/>
  <c r="AL338" i="1"/>
  <c r="AK338" i="1"/>
  <c r="AJ338" i="1"/>
  <c r="AH338" i="1"/>
  <c r="AG338" i="1"/>
  <c r="AF338" i="1"/>
  <c r="AC338" i="1"/>
  <c r="AB338" i="1"/>
  <c r="Z338" i="1"/>
  <c r="J338" i="1"/>
  <c r="H338" i="1"/>
  <c r="BJ336" i="1"/>
  <c r="BI336" i="1"/>
  <c r="AE336" i="1" s="1"/>
  <c r="BF336" i="1"/>
  <c r="BD336" i="1"/>
  <c r="AX336" i="1"/>
  <c r="AP336" i="1"/>
  <c r="AO336" i="1"/>
  <c r="AK336" i="1"/>
  <c r="AJ336" i="1"/>
  <c r="AH336" i="1"/>
  <c r="AG336" i="1"/>
  <c r="AF336" i="1"/>
  <c r="AC336" i="1"/>
  <c r="AB336" i="1"/>
  <c r="Z336" i="1"/>
  <c r="J336" i="1"/>
  <c r="AL336" i="1" s="1"/>
  <c r="I336" i="1"/>
  <c r="BJ333" i="1"/>
  <c r="BI333" i="1"/>
  <c r="AE333" i="1" s="1"/>
  <c r="BF333" i="1"/>
  <c r="BD333" i="1"/>
  <c r="AW333" i="1"/>
  <c r="AP333" i="1"/>
  <c r="I333" i="1" s="1"/>
  <c r="AO333" i="1"/>
  <c r="BH333" i="1" s="1"/>
  <c r="AK333" i="1"/>
  <c r="AJ333" i="1"/>
  <c r="AH333" i="1"/>
  <c r="AG333" i="1"/>
  <c r="AF333" i="1"/>
  <c r="AD333" i="1"/>
  <c r="AC333" i="1"/>
  <c r="AB333" i="1"/>
  <c r="Z333" i="1"/>
  <c r="J333" i="1"/>
  <c r="AL333" i="1" s="1"/>
  <c r="H333" i="1"/>
  <c r="BJ329" i="1"/>
  <c r="BH329" i="1"/>
  <c r="AD329" i="1" s="1"/>
  <c r="BF329" i="1"/>
  <c r="BD329" i="1"/>
  <c r="AX329" i="1"/>
  <c r="AV329" i="1"/>
  <c r="AP329" i="1"/>
  <c r="BI329" i="1" s="1"/>
  <c r="AE329" i="1" s="1"/>
  <c r="AO329" i="1"/>
  <c r="AW329" i="1" s="1"/>
  <c r="BC329" i="1" s="1"/>
  <c r="AL329" i="1"/>
  <c r="AK329" i="1"/>
  <c r="AJ329" i="1"/>
  <c r="AH329" i="1"/>
  <c r="AG329" i="1"/>
  <c r="AF329" i="1"/>
  <c r="AC329" i="1"/>
  <c r="AB329" i="1"/>
  <c r="Z329" i="1"/>
  <c r="J329" i="1"/>
  <c r="I329" i="1"/>
  <c r="H329" i="1"/>
  <c r="BJ326" i="1"/>
  <c r="BI326" i="1"/>
  <c r="AE326" i="1" s="1"/>
  <c r="BF326" i="1"/>
  <c r="BD326" i="1"/>
  <c r="AP326" i="1"/>
  <c r="AX326" i="1" s="1"/>
  <c r="AO326" i="1"/>
  <c r="AL326" i="1"/>
  <c r="AK326" i="1"/>
  <c r="AJ326" i="1"/>
  <c r="AH326" i="1"/>
  <c r="AG326" i="1"/>
  <c r="AF326" i="1"/>
  <c r="AC326" i="1"/>
  <c r="AB326" i="1"/>
  <c r="Z326" i="1"/>
  <c r="J326" i="1"/>
  <c r="I326" i="1"/>
  <c r="BJ324" i="1"/>
  <c r="BF324" i="1"/>
  <c r="BD324" i="1"/>
  <c r="AP324" i="1"/>
  <c r="AO324" i="1"/>
  <c r="AK324" i="1"/>
  <c r="AJ324" i="1"/>
  <c r="AH324" i="1"/>
  <c r="AG324" i="1"/>
  <c r="AF324" i="1"/>
  <c r="AC324" i="1"/>
  <c r="AB324" i="1"/>
  <c r="Z324" i="1"/>
  <c r="J324" i="1"/>
  <c r="AL324" i="1" s="1"/>
  <c r="BJ321" i="1"/>
  <c r="BH321" i="1"/>
  <c r="AD321" i="1" s="1"/>
  <c r="BF321" i="1"/>
  <c r="BD321" i="1"/>
  <c r="AW321" i="1"/>
  <c r="AP321" i="1"/>
  <c r="AO321" i="1"/>
  <c r="AL321" i="1"/>
  <c r="AK321" i="1"/>
  <c r="AJ321" i="1"/>
  <c r="AH321" i="1"/>
  <c r="AG321" i="1"/>
  <c r="AF321" i="1"/>
  <c r="AC321" i="1"/>
  <c r="AB321" i="1"/>
  <c r="Z321" i="1"/>
  <c r="J321" i="1"/>
  <c r="I321" i="1"/>
  <c r="H321" i="1"/>
  <c r="BJ318" i="1"/>
  <c r="BI318" i="1"/>
  <c r="AE318" i="1" s="1"/>
  <c r="BH318" i="1"/>
  <c r="AD318" i="1" s="1"/>
  <c r="BF318" i="1"/>
  <c r="BD318" i="1"/>
  <c r="AX318" i="1"/>
  <c r="AP318" i="1"/>
  <c r="AO318" i="1"/>
  <c r="AW318" i="1" s="1"/>
  <c r="AK318" i="1"/>
  <c r="AJ318" i="1"/>
  <c r="AH318" i="1"/>
  <c r="AG318" i="1"/>
  <c r="AF318" i="1"/>
  <c r="AC318" i="1"/>
  <c r="AB318" i="1"/>
  <c r="Z318" i="1"/>
  <c r="J318" i="1"/>
  <c r="AL318" i="1" s="1"/>
  <c r="I318" i="1"/>
  <c r="H318" i="1"/>
  <c r="BJ313" i="1"/>
  <c r="BF313" i="1"/>
  <c r="BD313" i="1"/>
  <c r="AX313" i="1"/>
  <c r="AW313" i="1"/>
  <c r="AP313" i="1"/>
  <c r="BI313" i="1" s="1"/>
  <c r="AE313" i="1" s="1"/>
  <c r="AO313" i="1"/>
  <c r="BH313" i="1" s="1"/>
  <c r="AK313" i="1"/>
  <c r="AJ313" i="1"/>
  <c r="AH313" i="1"/>
  <c r="AG313" i="1"/>
  <c r="AF313" i="1"/>
  <c r="AD313" i="1"/>
  <c r="AC313" i="1"/>
  <c r="AB313" i="1"/>
  <c r="Z313" i="1"/>
  <c r="J313" i="1"/>
  <c r="AL313" i="1" s="1"/>
  <c r="H313" i="1"/>
  <c r="BJ311" i="1"/>
  <c r="BF311" i="1"/>
  <c r="BD311" i="1"/>
  <c r="AP311" i="1"/>
  <c r="BI311" i="1" s="1"/>
  <c r="AE311" i="1" s="1"/>
  <c r="AO311" i="1"/>
  <c r="AW311" i="1" s="1"/>
  <c r="AK311" i="1"/>
  <c r="AJ311" i="1"/>
  <c r="AH311" i="1"/>
  <c r="AG311" i="1"/>
  <c r="AF311" i="1"/>
  <c r="AC311" i="1"/>
  <c r="AB311" i="1"/>
  <c r="Z311" i="1"/>
  <c r="J311" i="1"/>
  <c r="AL311" i="1" s="1"/>
  <c r="BJ308" i="1"/>
  <c r="BI308" i="1"/>
  <c r="AE308" i="1" s="1"/>
  <c r="BF308" i="1"/>
  <c r="BD308" i="1"/>
  <c r="AP308" i="1"/>
  <c r="AX308" i="1" s="1"/>
  <c r="AO308" i="1"/>
  <c r="H308" i="1" s="1"/>
  <c r="AK308" i="1"/>
  <c r="AJ308" i="1"/>
  <c r="AH308" i="1"/>
  <c r="AG308" i="1"/>
  <c r="AF308" i="1"/>
  <c r="AC308" i="1"/>
  <c r="AB308" i="1"/>
  <c r="Z308" i="1"/>
  <c r="J308" i="1"/>
  <c r="AL308" i="1" s="1"/>
  <c r="I308" i="1"/>
  <c r="J307" i="1"/>
  <c r="BJ305" i="1"/>
  <c r="Z305" i="1" s="1"/>
  <c r="BI305" i="1"/>
  <c r="BF305" i="1"/>
  <c r="BD305" i="1"/>
  <c r="AX305" i="1"/>
  <c r="AW305" i="1"/>
  <c r="BC305" i="1" s="1"/>
  <c r="AP305" i="1"/>
  <c r="I305" i="1" s="1"/>
  <c r="AO305" i="1"/>
  <c r="BH305" i="1" s="1"/>
  <c r="AK305" i="1"/>
  <c r="AT235" i="1" s="1"/>
  <c r="AJ305" i="1"/>
  <c r="AH305" i="1"/>
  <c r="AG305" i="1"/>
  <c r="AF305" i="1"/>
  <c r="AE305" i="1"/>
  <c r="AD305" i="1"/>
  <c r="AC305" i="1"/>
  <c r="AB305" i="1"/>
  <c r="J305" i="1"/>
  <c r="AL305" i="1" s="1"/>
  <c r="H305" i="1"/>
  <c r="BJ291" i="1"/>
  <c r="BI291" i="1"/>
  <c r="AE291" i="1" s="1"/>
  <c r="BH291" i="1"/>
  <c r="BF291" i="1"/>
  <c r="BD291" i="1"/>
  <c r="AX291" i="1"/>
  <c r="AV291" i="1" s="1"/>
  <c r="AW291" i="1"/>
  <c r="AP291" i="1"/>
  <c r="AO291" i="1"/>
  <c r="AL291" i="1"/>
  <c r="AK291" i="1"/>
  <c r="AJ291" i="1"/>
  <c r="AH291" i="1"/>
  <c r="AG291" i="1"/>
  <c r="AF291" i="1"/>
  <c r="AD291" i="1"/>
  <c r="AC291" i="1"/>
  <c r="AB291" i="1"/>
  <c r="Z291" i="1"/>
  <c r="J291" i="1"/>
  <c r="I291" i="1"/>
  <c r="H291" i="1"/>
  <c r="BJ282" i="1"/>
  <c r="BI282" i="1"/>
  <c r="BF282" i="1"/>
  <c r="BD282" i="1"/>
  <c r="BC282" i="1"/>
  <c r="AX282" i="1"/>
  <c r="AW282" i="1"/>
  <c r="AV282" i="1" s="1"/>
  <c r="AP282" i="1"/>
  <c r="AO282" i="1"/>
  <c r="BH282" i="1" s="1"/>
  <c r="AD282" i="1" s="1"/>
  <c r="AL282" i="1"/>
  <c r="AK282" i="1"/>
  <c r="AJ282" i="1"/>
  <c r="AH282" i="1"/>
  <c r="AG282" i="1"/>
  <c r="AF282" i="1"/>
  <c r="AE282" i="1"/>
  <c r="AC282" i="1"/>
  <c r="AB282" i="1"/>
  <c r="Z282" i="1"/>
  <c r="J282" i="1"/>
  <c r="I282" i="1"/>
  <c r="H282" i="1"/>
  <c r="BJ275" i="1"/>
  <c r="BF275" i="1"/>
  <c r="BD275" i="1"/>
  <c r="BC275" i="1"/>
  <c r="AX275" i="1"/>
  <c r="AW275" i="1"/>
  <c r="AV275" i="1" s="1"/>
  <c r="AP275" i="1"/>
  <c r="BI275" i="1" s="1"/>
  <c r="AE275" i="1" s="1"/>
  <c r="AO275" i="1"/>
  <c r="BH275" i="1" s="1"/>
  <c r="AL275" i="1"/>
  <c r="AK275" i="1"/>
  <c r="AJ275" i="1"/>
  <c r="AH275" i="1"/>
  <c r="AG275" i="1"/>
  <c r="AF275" i="1"/>
  <c r="AD275" i="1"/>
  <c r="AC275" i="1"/>
  <c r="AB275" i="1"/>
  <c r="Z275" i="1"/>
  <c r="J275" i="1"/>
  <c r="I275" i="1"/>
  <c r="H275" i="1"/>
  <c r="BJ269" i="1"/>
  <c r="BI269" i="1"/>
  <c r="BF269" i="1"/>
  <c r="BD269" i="1"/>
  <c r="BC269" i="1"/>
  <c r="AX269" i="1"/>
  <c r="AW269" i="1"/>
  <c r="AV269" i="1" s="1"/>
  <c r="AP269" i="1"/>
  <c r="AO269" i="1"/>
  <c r="BH269" i="1" s="1"/>
  <c r="AD269" i="1" s="1"/>
  <c r="AL269" i="1"/>
  <c r="AK269" i="1"/>
  <c r="AJ269" i="1"/>
  <c r="AH269" i="1"/>
  <c r="AG269" i="1"/>
  <c r="AF269" i="1"/>
  <c r="AE269" i="1"/>
  <c r="AC269" i="1"/>
  <c r="AB269" i="1"/>
  <c r="Z269" i="1"/>
  <c r="J269" i="1"/>
  <c r="I269" i="1"/>
  <c r="H269" i="1"/>
  <c r="BJ265" i="1"/>
  <c r="BF265" i="1"/>
  <c r="BD265" i="1"/>
  <c r="AX265" i="1"/>
  <c r="AP265" i="1"/>
  <c r="BI265" i="1" s="1"/>
  <c r="AE265" i="1" s="1"/>
  <c r="AO265" i="1"/>
  <c r="AK265" i="1"/>
  <c r="AJ265" i="1"/>
  <c r="AH265" i="1"/>
  <c r="AG265" i="1"/>
  <c r="AF265" i="1"/>
  <c r="AC265" i="1"/>
  <c r="AB265" i="1"/>
  <c r="Z265" i="1"/>
  <c r="J265" i="1"/>
  <c r="AL265" i="1" s="1"/>
  <c r="I265" i="1"/>
  <c r="BJ261" i="1"/>
  <c r="BF261" i="1"/>
  <c r="BD261" i="1"/>
  <c r="AP261" i="1"/>
  <c r="AO261" i="1"/>
  <c r="H261" i="1" s="1"/>
  <c r="AL261" i="1"/>
  <c r="AK261" i="1"/>
  <c r="AJ261" i="1"/>
  <c r="AH261" i="1"/>
  <c r="AG261" i="1"/>
  <c r="AF261" i="1"/>
  <c r="AC261" i="1"/>
  <c r="AB261" i="1"/>
  <c r="Z261" i="1"/>
  <c r="J261" i="1"/>
  <c r="BJ257" i="1"/>
  <c r="BH257" i="1"/>
  <c r="AD257" i="1" s="1"/>
  <c r="BF257" i="1"/>
  <c r="BD257" i="1"/>
  <c r="AP257" i="1"/>
  <c r="I257" i="1" s="1"/>
  <c r="AO257" i="1"/>
  <c r="H257" i="1" s="1"/>
  <c r="AK257" i="1"/>
  <c r="AJ257" i="1"/>
  <c r="AH257" i="1"/>
  <c r="AG257" i="1"/>
  <c r="AF257" i="1"/>
  <c r="AC257" i="1"/>
  <c r="AB257" i="1"/>
  <c r="Z257" i="1"/>
  <c r="J257" i="1"/>
  <c r="AL257" i="1" s="1"/>
  <c r="BJ254" i="1"/>
  <c r="BI254" i="1"/>
  <c r="AE254" i="1" s="1"/>
  <c r="BH254" i="1"/>
  <c r="AD254" i="1" s="1"/>
  <c r="BF254" i="1"/>
  <c r="BD254" i="1"/>
  <c r="AW254" i="1"/>
  <c r="AP254" i="1"/>
  <c r="I254" i="1" s="1"/>
  <c r="AO254" i="1"/>
  <c r="AK254" i="1"/>
  <c r="AJ254" i="1"/>
  <c r="AH254" i="1"/>
  <c r="AG254" i="1"/>
  <c r="AF254" i="1"/>
  <c r="AC254" i="1"/>
  <c r="AB254" i="1"/>
  <c r="Z254" i="1"/>
  <c r="J254" i="1"/>
  <c r="AL254" i="1" s="1"/>
  <c r="H254" i="1"/>
  <c r="BJ250" i="1"/>
  <c r="BI250" i="1"/>
  <c r="AE250" i="1" s="1"/>
  <c r="BH250" i="1"/>
  <c r="BF250" i="1"/>
  <c r="BD250" i="1"/>
  <c r="AX250" i="1"/>
  <c r="AV250" i="1" s="1"/>
  <c r="AW250" i="1"/>
  <c r="AP250" i="1"/>
  <c r="AO250" i="1"/>
  <c r="AL250" i="1"/>
  <c r="AK250" i="1"/>
  <c r="AJ250" i="1"/>
  <c r="AH250" i="1"/>
  <c r="AG250" i="1"/>
  <c r="AF250" i="1"/>
  <c r="AD250" i="1"/>
  <c r="AC250" i="1"/>
  <c r="AB250" i="1"/>
  <c r="Z250" i="1"/>
  <c r="J250" i="1"/>
  <c r="I250" i="1"/>
  <c r="H250" i="1"/>
  <c r="BJ247" i="1"/>
  <c r="BI247" i="1"/>
  <c r="BF247" i="1"/>
  <c r="BD247" i="1"/>
  <c r="BC247" i="1"/>
  <c r="AX247" i="1"/>
  <c r="AW247" i="1"/>
  <c r="AV247" i="1" s="1"/>
  <c r="AP247" i="1"/>
  <c r="AO247" i="1"/>
  <c r="BH247" i="1" s="1"/>
  <c r="AD247" i="1" s="1"/>
  <c r="AL247" i="1"/>
  <c r="AK247" i="1"/>
  <c r="AJ247" i="1"/>
  <c r="AS235" i="1" s="1"/>
  <c r="AH247" i="1"/>
  <c r="AG247" i="1"/>
  <c r="AF247" i="1"/>
  <c r="AE247" i="1"/>
  <c r="AC247" i="1"/>
  <c r="AB247" i="1"/>
  <c r="Z247" i="1"/>
  <c r="J247" i="1"/>
  <c r="I247" i="1"/>
  <c r="H247" i="1"/>
  <c r="BJ242" i="1"/>
  <c r="BF242" i="1"/>
  <c r="BD242" i="1"/>
  <c r="AX242" i="1"/>
  <c r="AP242" i="1"/>
  <c r="BI242" i="1" s="1"/>
  <c r="AE242" i="1" s="1"/>
  <c r="AO242" i="1"/>
  <c r="AK242" i="1"/>
  <c r="AJ242" i="1"/>
  <c r="AH242" i="1"/>
  <c r="AG242" i="1"/>
  <c r="AF242" i="1"/>
  <c r="AC242" i="1"/>
  <c r="AB242" i="1"/>
  <c r="Z242" i="1"/>
  <c r="J242" i="1"/>
  <c r="I242" i="1"/>
  <c r="BJ238" i="1"/>
  <c r="BF238" i="1"/>
  <c r="BD238" i="1"/>
  <c r="AP238" i="1"/>
  <c r="AO238" i="1"/>
  <c r="H238" i="1" s="1"/>
  <c r="AL238" i="1"/>
  <c r="AK238" i="1"/>
  <c r="AJ238" i="1"/>
  <c r="AH238" i="1"/>
  <c r="AG238" i="1"/>
  <c r="AF238" i="1"/>
  <c r="AC238" i="1"/>
  <c r="AB238" i="1"/>
  <c r="Z238" i="1"/>
  <c r="J238" i="1"/>
  <c r="BJ236" i="1"/>
  <c r="BH236" i="1"/>
  <c r="AD236" i="1" s="1"/>
  <c r="BF236" i="1"/>
  <c r="BD236" i="1"/>
  <c r="AP236" i="1"/>
  <c r="I236" i="1" s="1"/>
  <c r="AO236" i="1"/>
  <c r="H236" i="1" s="1"/>
  <c r="AK236" i="1"/>
  <c r="AJ236" i="1"/>
  <c r="AH236" i="1"/>
  <c r="AG236" i="1"/>
  <c r="AF236" i="1"/>
  <c r="AC236" i="1"/>
  <c r="AB236" i="1"/>
  <c r="Z236" i="1"/>
  <c r="J236" i="1"/>
  <c r="AL236" i="1" s="1"/>
  <c r="BJ233" i="1"/>
  <c r="BI233" i="1"/>
  <c r="BH233" i="1"/>
  <c r="BF233" i="1"/>
  <c r="BD233" i="1"/>
  <c r="AW233" i="1"/>
  <c r="AP233" i="1"/>
  <c r="I233" i="1" s="1"/>
  <c r="AO233" i="1"/>
  <c r="AK233" i="1"/>
  <c r="AJ233" i="1"/>
  <c r="AS211" i="1" s="1"/>
  <c r="AH233" i="1"/>
  <c r="AG233" i="1"/>
  <c r="AF233" i="1"/>
  <c r="AE233" i="1"/>
  <c r="AD233" i="1"/>
  <c r="AC233" i="1"/>
  <c r="AB233" i="1"/>
  <c r="Z233" i="1"/>
  <c r="J233" i="1"/>
  <c r="AL233" i="1" s="1"/>
  <c r="H233" i="1"/>
  <c r="BJ229" i="1"/>
  <c r="BI229" i="1"/>
  <c r="AE229" i="1" s="1"/>
  <c r="BH229" i="1"/>
  <c r="BF229" i="1"/>
  <c r="BD229" i="1"/>
  <c r="AX229" i="1"/>
  <c r="AV229" i="1" s="1"/>
  <c r="AW229" i="1"/>
  <c r="AP229" i="1"/>
  <c r="AO229" i="1"/>
  <c r="AL229" i="1"/>
  <c r="AK229" i="1"/>
  <c r="AT211" i="1" s="1"/>
  <c r="AJ229" i="1"/>
  <c r="AH229" i="1"/>
  <c r="AG229" i="1"/>
  <c r="AF229" i="1"/>
  <c r="AD229" i="1"/>
  <c r="AC229" i="1"/>
  <c r="AB229" i="1"/>
  <c r="Z229" i="1"/>
  <c r="J229" i="1"/>
  <c r="I229" i="1"/>
  <c r="H229" i="1"/>
  <c r="BJ225" i="1"/>
  <c r="BI225" i="1"/>
  <c r="BF225" i="1"/>
  <c r="BD225" i="1"/>
  <c r="BC225" i="1"/>
  <c r="AX225" i="1"/>
  <c r="AW225" i="1"/>
  <c r="AV225" i="1" s="1"/>
  <c r="AP225" i="1"/>
  <c r="AO225" i="1"/>
  <c r="BH225" i="1" s="1"/>
  <c r="AD225" i="1" s="1"/>
  <c r="AL225" i="1"/>
  <c r="AK225" i="1"/>
  <c r="AJ225" i="1"/>
  <c r="AH225" i="1"/>
  <c r="AG225" i="1"/>
  <c r="AF225" i="1"/>
  <c r="AE225" i="1"/>
  <c r="AC225" i="1"/>
  <c r="AB225" i="1"/>
  <c r="Z225" i="1"/>
  <c r="J225" i="1"/>
  <c r="I225" i="1"/>
  <c r="H225" i="1"/>
  <c r="BJ221" i="1"/>
  <c r="BF221" i="1"/>
  <c r="BD221" i="1"/>
  <c r="AX221" i="1"/>
  <c r="AP221" i="1"/>
  <c r="BI221" i="1" s="1"/>
  <c r="AE221" i="1" s="1"/>
  <c r="AO221" i="1"/>
  <c r="AK221" i="1"/>
  <c r="AJ221" i="1"/>
  <c r="AH221" i="1"/>
  <c r="AG221" i="1"/>
  <c r="AF221" i="1"/>
  <c r="AC221" i="1"/>
  <c r="AB221" i="1"/>
  <c r="Z221" i="1"/>
  <c r="J221" i="1"/>
  <c r="AL221" i="1" s="1"/>
  <c r="I221" i="1"/>
  <c r="BJ217" i="1"/>
  <c r="BF217" i="1"/>
  <c r="BD217" i="1"/>
  <c r="AP217" i="1"/>
  <c r="AO217" i="1"/>
  <c r="H217" i="1" s="1"/>
  <c r="AL217" i="1"/>
  <c r="AK217" i="1"/>
  <c r="AJ217" i="1"/>
  <c r="AH217" i="1"/>
  <c r="AG217" i="1"/>
  <c r="AF217" i="1"/>
  <c r="AC217" i="1"/>
  <c r="AB217" i="1"/>
  <c r="Z217" i="1"/>
  <c r="J217" i="1"/>
  <c r="BJ215" i="1"/>
  <c r="BH215" i="1"/>
  <c r="AD215" i="1" s="1"/>
  <c r="BF215" i="1"/>
  <c r="BD215" i="1"/>
  <c r="AP215" i="1"/>
  <c r="I215" i="1" s="1"/>
  <c r="AO215" i="1"/>
  <c r="H215" i="1" s="1"/>
  <c r="AK215" i="1"/>
  <c r="AJ215" i="1"/>
  <c r="AH215" i="1"/>
  <c r="AG215" i="1"/>
  <c r="AF215" i="1"/>
  <c r="AC215" i="1"/>
  <c r="AB215" i="1"/>
  <c r="Z215" i="1"/>
  <c r="J215" i="1"/>
  <c r="AL215" i="1" s="1"/>
  <c r="BJ212" i="1"/>
  <c r="BI212" i="1"/>
  <c r="AE212" i="1" s="1"/>
  <c r="BH212" i="1"/>
  <c r="AD212" i="1" s="1"/>
  <c r="BF212" i="1"/>
  <c r="BD212" i="1"/>
  <c r="AW212" i="1"/>
  <c r="AP212" i="1"/>
  <c r="I212" i="1" s="1"/>
  <c r="AO212" i="1"/>
  <c r="AK212" i="1"/>
  <c r="AJ212" i="1"/>
  <c r="AH212" i="1"/>
  <c r="AG212" i="1"/>
  <c r="AF212" i="1"/>
  <c r="AC212" i="1"/>
  <c r="AB212" i="1"/>
  <c r="Z212" i="1"/>
  <c r="J212" i="1"/>
  <c r="AL212" i="1" s="1"/>
  <c r="H212" i="1"/>
  <c r="AU211" i="1"/>
  <c r="BJ208" i="1"/>
  <c r="BF208" i="1"/>
  <c r="BD208" i="1"/>
  <c r="AP208" i="1"/>
  <c r="I208" i="1" s="1"/>
  <c r="AO208" i="1"/>
  <c r="AK208" i="1"/>
  <c r="AJ208" i="1"/>
  <c r="AH208" i="1"/>
  <c r="AG208" i="1"/>
  <c r="AF208" i="1"/>
  <c r="AE208" i="1"/>
  <c r="AD208" i="1"/>
  <c r="AC208" i="1"/>
  <c r="AB208" i="1"/>
  <c r="Z208" i="1"/>
  <c r="J208" i="1"/>
  <c r="AL208" i="1" s="1"/>
  <c r="BJ203" i="1"/>
  <c r="BF203" i="1"/>
  <c r="BD203" i="1"/>
  <c r="AP203" i="1"/>
  <c r="AO203" i="1"/>
  <c r="AK203" i="1"/>
  <c r="AJ203" i="1"/>
  <c r="AH203" i="1"/>
  <c r="AG203" i="1"/>
  <c r="AF203" i="1"/>
  <c r="AC203" i="1"/>
  <c r="AB203" i="1"/>
  <c r="Z203" i="1"/>
  <c r="J203" i="1"/>
  <c r="AL203" i="1" s="1"/>
  <c r="BJ199" i="1"/>
  <c r="BH199" i="1"/>
  <c r="AD199" i="1" s="1"/>
  <c r="BF199" i="1"/>
  <c r="BD199" i="1"/>
  <c r="AW199" i="1"/>
  <c r="AP199" i="1"/>
  <c r="AO199" i="1"/>
  <c r="AK199" i="1"/>
  <c r="AJ199" i="1"/>
  <c r="AH199" i="1"/>
  <c r="AG199" i="1"/>
  <c r="AF199" i="1"/>
  <c r="AC199" i="1"/>
  <c r="AB199" i="1"/>
  <c r="Z199" i="1"/>
  <c r="J199" i="1"/>
  <c r="AL199" i="1" s="1"/>
  <c r="AU195" i="1" s="1"/>
  <c r="H199" i="1"/>
  <c r="BJ196" i="1"/>
  <c r="BI196" i="1"/>
  <c r="AE196" i="1" s="1"/>
  <c r="BH196" i="1"/>
  <c r="BF196" i="1"/>
  <c r="BD196" i="1"/>
  <c r="AX196" i="1"/>
  <c r="AW196" i="1"/>
  <c r="AV196" i="1"/>
  <c r="AP196" i="1"/>
  <c r="AO196" i="1"/>
  <c r="AL196" i="1"/>
  <c r="AK196" i="1"/>
  <c r="AT195" i="1" s="1"/>
  <c r="AJ196" i="1"/>
  <c r="AH196" i="1"/>
  <c r="AG196" i="1"/>
  <c r="AF196" i="1"/>
  <c r="AD196" i="1"/>
  <c r="AC196" i="1"/>
  <c r="AB196" i="1"/>
  <c r="Z196" i="1"/>
  <c r="J196" i="1"/>
  <c r="I196" i="1"/>
  <c r="H196" i="1"/>
  <c r="BJ193" i="1"/>
  <c r="Z193" i="1" s="1"/>
  <c r="BI193" i="1"/>
  <c r="BF193" i="1"/>
  <c r="BD193" i="1"/>
  <c r="AX193" i="1"/>
  <c r="AW193" i="1"/>
  <c r="BC193" i="1" s="1"/>
  <c r="AP193" i="1"/>
  <c r="AO193" i="1"/>
  <c r="BH193" i="1" s="1"/>
  <c r="AL193" i="1"/>
  <c r="AK193" i="1"/>
  <c r="AJ193" i="1"/>
  <c r="AH193" i="1"/>
  <c r="AG193" i="1"/>
  <c r="AF193" i="1"/>
  <c r="AE193" i="1"/>
  <c r="AD193" i="1"/>
  <c r="AC193" i="1"/>
  <c r="AB193" i="1"/>
  <c r="J193" i="1"/>
  <c r="I193" i="1"/>
  <c r="H193" i="1"/>
  <c r="BJ191" i="1"/>
  <c r="BF191" i="1"/>
  <c r="BD191" i="1"/>
  <c r="AX191" i="1"/>
  <c r="AP191" i="1"/>
  <c r="BI191" i="1" s="1"/>
  <c r="AO191" i="1"/>
  <c r="AL191" i="1"/>
  <c r="AK191" i="1"/>
  <c r="AJ191" i="1"/>
  <c r="AH191" i="1"/>
  <c r="AG191" i="1"/>
  <c r="AF191" i="1"/>
  <c r="AE191" i="1"/>
  <c r="AC191" i="1"/>
  <c r="AB191" i="1"/>
  <c r="Z191" i="1"/>
  <c r="J191" i="1"/>
  <c r="I191" i="1"/>
  <c r="H191" i="1"/>
  <c r="BJ189" i="1"/>
  <c r="BF189" i="1"/>
  <c r="BD189" i="1"/>
  <c r="AP189" i="1"/>
  <c r="AO189" i="1"/>
  <c r="AK189" i="1"/>
  <c r="AJ189" i="1"/>
  <c r="AH189" i="1"/>
  <c r="AG189" i="1"/>
  <c r="AF189" i="1"/>
  <c r="AC189" i="1"/>
  <c r="AB189" i="1"/>
  <c r="Z189" i="1"/>
  <c r="J189" i="1"/>
  <c r="AL189" i="1" s="1"/>
  <c r="BJ184" i="1"/>
  <c r="BH184" i="1"/>
  <c r="AD184" i="1" s="1"/>
  <c r="BF184" i="1"/>
  <c r="BD184" i="1"/>
  <c r="AP184" i="1"/>
  <c r="AO184" i="1"/>
  <c r="AK184" i="1"/>
  <c r="AJ184" i="1"/>
  <c r="AH184" i="1"/>
  <c r="AG184" i="1"/>
  <c r="AF184" i="1"/>
  <c r="AC184" i="1"/>
  <c r="AB184" i="1"/>
  <c r="Z184" i="1"/>
  <c r="J184" i="1"/>
  <c r="AL184" i="1" s="1"/>
  <c r="BJ180" i="1"/>
  <c r="BH180" i="1"/>
  <c r="AD180" i="1" s="1"/>
  <c r="BF180" i="1"/>
  <c r="BD180" i="1"/>
  <c r="AW180" i="1"/>
  <c r="AP180" i="1"/>
  <c r="AO180" i="1"/>
  <c r="AK180" i="1"/>
  <c r="AJ180" i="1"/>
  <c r="AH180" i="1"/>
  <c r="AG180" i="1"/>
  <c r="AF180" i="1"/>
  <c r="AC180" i="1"/>
  <c r="AB180" i="1"/>
  <c r="Z180" i="1"/>
  <c r="J180" i="1"/>
  <c r="AL180" i="1" s="1"/>
  <c r="H180" i="1"/>
  <c r="BJ176" i="1"/>
  <c r="BI176" i="1"/>
  <c r="AE176" i="1" s="1"/>
  <c r="BH176" i="1"/>
  <c r="AD176" i="1" s="1"/>
  <c r="BF176" i="1"/>
  <c r="BD176" i="1"/>
  <c r="AX176" i="1"/>
  <c r="AW176" i="1"/>
  <c r="AV176" i="1" s="1"/>
  <c r="AP176" i="1"/>
  <c r="AO176" i="1"/>
  <c r="AL176" i="1"/>
  <c r="AK176" i="1"/>
  <c r="AJ176" i="1"/>
  <c r="AH176" i="1"/>
  <c r="AG176" i="1"/>
  <c r="AF176" i="1"/>
  <c r="AC176" i="1"/>
  <c r="AB176" i="1"/>
  <c r="Z176" i="1"/>
  <c r="J176" i="1"/>
  <c r="I176" i="1"/>
  <c r="H176" i="1"/>
  <c r="BJ173" i="1"/>
  <c r="BI173" i="1"/>
  <c r="AE173" i="1" s="1"/>
  <c r="BF173" i="1"/>
  <c r="BD173" i="1"/>
  <c r="AX173" i="1"/>
  <c r="AW173" i="1"/>
  <c r="AV173" i="1" s="1"/>
  <c r="AP173" i="1"/>
  <c r="AO173" i="1"/>
  <c r="BH173" i="1" s="1"/>
  <c r="AD173" i="1" s="1"/>
  <c r="AL173" i="1"/>
  <c r="AK173" i="1"/>
  <c r="AJ173" i="1"/>
  <c r="AH173" i="1"/>
  <c r="AG173" i="1"/>
  <c r="AF173" i="1"/>
  <c r="AC173" i="1"/>
  <c r="AB173" i="1"/>
  <c r="Z173" i="1"/>
  <c r="J173" i="1"/>
  <c r="I173" i="1"/>
  <c r="H173" i="1"/>
  <c r="BJ168" i="1"/>
  <c r="BF168" i="1"/>
  <c r="BD168" i="1"/>
  <c r="AX168" i="1"/>
  <c r="AP168" i="1"/>
  <c r="BI168" i="1" s="1"/>
  <c r="AO168" i="1"/>
  <c r="AL168" i="1"/>
  <c r="AK168" i="1"/>
  <c r="AJ168" i="1"/>
  <c r="AH168" i="1"/>
  <c r="AG168" i="1"/>
  <c r="AF168" i="1"/>
  <c r="AE168" i="1"/>
  <c r="AC168" i="1"/>
  <c r="AB168" i="1"/>
  <c r="Z168" i="1"/>
  <c r="J168" i="1"/>
  <c r="I168" i="1"/>
  <c r="H168" i="1"/>
  <c r="BJ164" i="1"/>
  <c r="BF164" i="1"/>
  <c r="BD164" i="1"/>
  <c r="AP164" i="1"/>
  <c r="AO164" i="1"/>
  <c r="AK164" i="1"/>
  <c r="AJ164" i="1"/>
  <c r="AH164" i="1"/>
  <c r="AG164" i="1"/>
  <c r="AF164" i="1"/>
  <c r="AC164" i="1"/>
  <c r="AB164" i="1"/>
  <c r="Z164" i="1"/>
  <c r="J164" i="1"/>
  <c r="AL164" i="1" s="1"/>
  <c r="BJ160" i="1"/>
  <c r="BH160" i="1"/>
  <c r="AD160" i="1" s="1"/>
  <c r="BF160" i="1"/>
  <c r="BD160" i="1"/>
  <c r="AP160" i="1"/>
  <c r="AO160" i="1"/>
  <c r="AK160" i="1"/>
  <c r="AJ160" i="1"/>
  <c r="AH160" i="1"/>
  <c r="AG160" i="1"/>
  <c r="AF160" i="1"/>
  <c r="AC160" i="1"/>
  <c r="AB160" i="1"/>
  <c r="Z160" i="1"/>
  <c r="J160" i="1"/>
  <c r="AL160" i="1" s="1"/>
  <c r="BJ157" i="1"/>
  <c r="BH157" i="1"/>
  <c r="AD157" i="1" s="1"/>
  <c r="BF157" i="1"/>
  <c r="BD157" i="1"/>
  <c r="AW157" i="1"/>
  <c r="AP157" i="1"/>
  <c r="AO157" i="1"/>
  <c r="AK157" i="1"/>
  <c r="AJ157" i="1"/>
  <c r="AH157" i="1"/>
  <c r="AG157" i="1"/>
  <c r="AF157" i="1"/>
  <c r="AC157" i="1"/>
  <c r="AB157" i="1"/>
  <c r="Z157" i="1"/>
  <c r="J157" i="1"/>
  <c r="AL157" i="1" s="1"/>
  <c r="H157" i="1"/>
  <c r="BJ154" i="1"/>
  <c r="BI154" i="1"/>
  <c r="AE154" i="1" s="1"/>
  <c r="BH154" i="1"/>
  <c r="AD154" i="1" s="1"/>
  <c r="BF154" i="1"/>
  <c r="BD154" i="1"/>
  <c r="AX154" i="1"/>
  <c r="AW154" i="1"/>
  <c r="AV154" i="1" s="1"/>
  <c r="AP154" i="1"/>
  <c r="AO154" i="1"/>
  <c r="AL154" i="1"/>
  <c r="AK154" i="1"/>
  <c r="AJ154" i="1"/>
  <c r="AH154" i="1"/>
  <c r="AG154" i="1"/>
  <c r="AF154" i="1"/>
  <c r="AC154" i="1"/>
  <c r="AB154" i="1"/>
  <c r="Z154" i="1"/>
  <c r="J154" i="1"/>
  <c r="I154" i="1"/>
  <c r="H154" i="1"/>
  <c r="BJ151" i="1"/>
  <c r="BI151" i="1"/>
  <c r="AE151" i="1" s="1"/>
  <c r="BF151" i="1"/>
  <c r="BD151" i="1"/>
  <c r="AX151" i="1"/>
  <c r="AW151" i="1"/>
  <c r="AV151" i="1" s="1"/>
  <c r="AP151" i="1"/>
  <c r="AO151" i="1"/>
  <c r="BH151" i="1" s="1"/>
  <c r="AD151" i="1" s="1"/>
  <c r="AL151" i="1"/>
  <c r="AK151" i="1"/>
  <c r="AJ151" i="1"/>
  <c r="AH151" i="1"/>
  <c r="AG151" i="1"/>
  <c r="AF151" i="1"/>
  <c r="AC151" i="1"/>
  <c r="AB151" i="1"/>
  <c r="Z151" i="1"/>
  <c r="J151" i="1"/>
  <c r="I151" i="1"/>
  <c r="H151" i="1"/>
  <c r="BJ148" i="1"/>
  <c r="BF148" i="1"/>
  <c r="BD148" i="1"/>
  <c r="AX148" i="1"/>
  <c r="AP148" i="1"/>
  <c r="BI148" i="1" s="1"/>
  <c r="AO148" i="1"/>
  <c r="AL148" i="1"/>
  <c r="AK148" i="1"/>
  <c r="AJ148" i="1"/>
  <c r="AH148" i="1"/>
  <c r="AG148" i="1"/>
  <c r="AF148" i="1"/>
  <c r="AE148" i="1"/>
  <c r="AC148" i="1"/>
  <c r="AB148" i="1"/>
  <c r="Z148" i="1"/>
  <c r="J148" i="1"/>
  <c r="I148" i="1"/>
  <c r="H148" i="1"/>
  <c r="BJ146" i="1"/>
  <c r="BF146" i="1"/>
  <c r="BD146" i="1"/>
  <c r="AP146" i="1"/>
  <c r="AO146" i="1"/>
  <c r="AK146" i="1"/>
  <c r="AJ146" i="1"/>
  <c r="AH146" i="1"/>
  <c r="AG146" i="1"/>
  <c r="AF146" i="1"/>
  <c r="AC146" i="1"/>
  <c r="AB146" i="1"/>
  <c r="Z146" i="1"/>
  <c r="J146" i="1"/>
  <c r="AL146" i="1" s="1"/>
  <c r="BJ143" i="1"/>
  <c r="BH143" i="1"/>
  <c r="AD143" i="1" s="1"/>
  <c r="BF143" i="1"/>
  <c r="BD143" i="1"/>
  <c r="AP143" i="1"/>
  <c r="AO143" i="1"/>
  <c r="AK143" i="1"/>
  <c r="AJ143" i="1"/>
  <c r="AH143" i="1"/>
  <c r="AG143" i="1"/>
  <c r="AF143" i="1"/>
  <c r="AC143" i="1"/>
  <c r="AB143" i="1"/>
  <c r="Z143" i="1"/>
  <c r="J143" i="1"/>
  <c r="AL143" i="1" s="1"/>
  <c r="BJ141" i="1"/>
  <c r="BH141" i="1"/>
  <c r="AD141" i="1" s="1"/>
  <c r="BF141" i="1"/>
  <c r="BD141" i="1"/>
  <c r="AW141" i="1"/>
  <c r="AP141" i="1"/>
  <c r="AO141" i="1"/>
  <c r="AK141" i="1"/>
  <c r="AJ141" i="1"/>
  <c r="AH141" i="1"/>
  <c r="AG141" i="1"/>
  <c r="AF141" i="1"/>
  <c r="AC141" i="1"/>
  <c r="AB141" i="1"/>
  <c r="Z141" i="1"/>
  <c r="J141" i="1"/>
  <c r="AL141" i="1" s="1"/>
  <c r="H141" i="1"/>
  <c r="BJ138" i="1"/>
  <c r="BI138" i="1"/>
  <c r="AE138" i="1" s="1"/>
  <c r="BH138" i="1"/>
  <c r="AD138" i="1" s="1"/>
  <c r="BF138" i="1"/>
  <c r="BD138" i="1"/>
  <c r="AX138" i="1"/>
  <c r="AW138" i="1"/>
  <c r="AV138" i="1" s="1"/>
  <c r="AP138" i="1"/>
  <c r="AO138" i="1"/>
  <c r="AL138" i="1"/>
  <c r="AK138" i="1"/>
  <c r="AJ138" i="1"/>
  <c r="AH138" i="1"/>
  <c r="AG138" i="1"/>
  <c r="AF138" i="1"/>
  <c r="AC138" i="1"/>
  <c r="AB138" i="1"/>
  <c r="Z138" i="1"/>
  <c r="J138" i="1"/>
  <c r="I138" i="1"/>
  <c r="H138" i="1"/>
  <c r="BJ135" i="1"/>
  <c r="BI135" i="1"/>
  <c r="AE135" i="1" s="1"/>
  <c r="BF135" i="1"/>
  <c r="BD135" i="1"/>
  <c r="AX135" i="1"/>
  <c r="AW135" i="1"/>
  <c r="AV135" i="1" s="1"/>
  <c r="AP135" i="1"/>
  <c r="AO135" i="1"/>
  <c r="BH135" i="1" s="1"/>
  <c r="AD135" i="1" s="1"/>
  <c r="AL135" i="1"/>
  <c r="AK135" i="1"/>
  <c r="AJ135" i="1"/>
  <c r="AH135" i="1"/>
  <c r="AG135" i="1"/>
  <c r="AF135" i="1"/>
  <c r="AC135" i="1"/>
  <c r="AB135" i="1"/>
  <c r="Z135" i="1"/>
  <c r="J135" i="1"/>
  <c r="I135" i="1"/>
  <c r="H135" i="1"/>
  <c r="BJ131" i="1"/>
  <c r="BF131" i="1"/>
  <c r="BD131" i="1"/>
  <c r="AX131" i="1"/>
  <c r="AP131" i="1"/>
  <c r="BI131" i="1" s="1"/>
  <c r="AO131" i="1"/>
  <c r="AL131" i="1"/>
  <c r="AK131" i="1"/>
  <c r="AJ131" i="1"/>
  <c r="AH131" i="1"/>
  <c r="AG131" i="1"/>
  <c r="AF131" i="1"/>
  <c r="AE131" i="1"/>
  <c r="AC131" i="1"/>
  <c r="AB131" i="1"/>
  <c r="Z131" i="1"/>
  <c r="J131" i="1"/>
  <c r="I131" i="1"/>
  <c r="H131" i="1"/>
  <c r="BJ127" i="1"/>
  <c r="BF127" i="1"/>
  <c r="BD127" i="1"/>
  <c r="AP127" i="1"/>
  <c r="AO127" i="1"/>
  <c r="AK127" i="1"/>
  <c r="AJ127" i="1"/>
  <c r="AH127" i="1"/>
  <c r="AG127" i="1"/>
  <c r="AF127" i="1"/>
  <c r="AC127" i="1"/>
  <c r="AB127" i="1"/>
  <c r="Z127" i="1"/>
  <c r="J127" i="1"/>
  <c r="AL127" i="1" s="1"/>
  <c r="BJ125" i="1"/>
  <c r="BH125" i="1"/>
  <c r="AD125" i="1" s="1"/>
  <c r="BF125" i="1"/>
  <c r="BD125" i="1"/>
  <c r="AP125" i="1"/>
  <c r="AO125" i="1"/>
  <c r="AK125" i="1"/>
  <c r="AJ125" i="1"/>
  <c r="AH125" i="1"/>
  <c r="AG125" i="1"/>
  <c r="AF125" i="1"/>
  <c r="AC125" i="1"/>
  <c r="AB125" i="1"/>
  <c r="Z125" i="1"/>
  <c r="J125" i="1"/>
  <c r="AL125" i="1" s="1"/>
  <c r="BJ123" i="1"/>
  <c r="BH123" i="1"/>
  <c r="BF123" i="1"/>
  <c r="BD123" i="1"/>
  <c r="AW123" i="1"/>
  <c r="AP123" i="1"/>
  <c r="AO123" i="1"/>
  <c r="AK123" i="1"/>
  <c r="AJ123" i="1"/>
  <c r="AH123" i="1"/>
  <c r="AG123" i="1"/>
  <c r="AF123" i="1"/>
  <c r="AD123" i="1"/>
  <c r="AC123" i="1"/>
  <c r="AB123" i="1"/>
  <c r="Z123" i="1"/>
  <c r="J123" i="1"/>
  <c r="AL123" i="1" s="1"/>
  <c r="H123" i="1"/>
  <c r="BJ121" i="1"/>
  <c r="BI121" i="1"/>
  <c r="BH121" i="1"/>
  <c r="BF121" i="1"/>
  <c r="BD121" i="1"/>
  <c r="BC121" i="1"/>
  <c r="AX121" i="1"/>
  <c r="AW121" i="1"/>
  <c r="AV121" i="1" s="1"/>
  <c r="AP121" i="1"/>
  <c r="AO121" i="1"/>
  <c r="AL121" i="1"/>
  <c r="AK121" i="1"/>
  <c r="AJ121" i="1"/>
  <c r="AH121" i="1"/>
  <c r="AG121" i="1"/>
  <c r="AF121" i="1"/>
  <c r="AE121" i="1"/>
  <c r="AD121" i="1"/>
  <c r="AC121" i="1"/>
  <c r="AB121" i="1"/>
  <c r="Z121" i="1"/>
  <c r="J121" i="1"/>
  <c r="I121" i="1"/>
  <c r="H121" i="1"/>
  <c r="BJ117" i="1"/>
  <c r="BI117" i="1"/>
  <c r="BF117" i="1"/>
  <c r="BD117" i="1"/>
  <c r="BC117" i="1"/>
  <c r="AX117" i="1"/>
  <c r="AW117" i="1"/>
  <c r="AV117" i="1" s="1"/>
  <c r="AP117" i="1"/>
  <c r="AO117" i="1"/>
  <c r="BH117" i="1" s="1"/>
  <c r="AL117" i="1"/>
  <c r="AK117" i="1"/>
  <c r="AJ117" i="1"/>
  <c r="AH117" i="1"/>
  <c r="AG117" i="1"/>
  <c r="AF117" i="1"/>
  <c r="AE117" i="1"/>
  <c r="AD117" i="1"/>
  <c r="AC117" i="1"/>
  <c r="AB117" i="1"/>
  <c r="Z117" i="1"/>
  <c r="J117" i="1"/>
  <c r="I117" i="1"/>
  <c r="H117" i="1"/>
  <c r="BJ115" i="1"/>
  <c r="Z115" i="1" s="1"/>
  <c r="BF115" i="1"/>
  <c r="BD115" i="1"/>
  <c r="AP115" i="1"/>
  <c r="BI115" i="1" s="1"/>
  <c r="AO115" i="1"/>
  <c r="AK115" i="1"/>
  <c r="AJ115" i="1"/>
  <c r="AH115" i="1"/>
  <c r="AG115" i="1"/>
  <c r="AF115" i="1"/>
  <c r="AE115" i="1"/>
  <c r="AD115" i="1"/>
  <c r="AC115" i="1"/>
  <c r="AB115" i="1"/>
  <c r="J115" i="1"/>
  <c r="AL115" i="1" s="1"/>
  <c r="I115" i="1"/>
  <c r="BJ109" i="1"/>
  <c r="BF109" i="1"/>
  <c r="BD109" i="1"/>
  <c r="BC109" i="1"/>
  <c r="AX109" i="1"/>
  <c r="AV109" i="1"/>
  <c r="AP109" i="1"/>
  <c r="BI109" i="1" s="1"/>
  <c r="AO109" i="1"/>
  <c r="AW109" i="1" s="1"/>
  <c r="AL109" i="1"/>
  <c r="AK109" i="1"/>
  <c r="AJ109" i="1"/>
  <c r="AH109" i="1"/>
  <c r="AG109" i="1"/>
  <c r="AF109" i="1"/>
  <c r="AE109" i="1"/>
  <c r="AC109" i="1"/>
  <c r="AB109" i="1"/>
  <c r="Z109" i="1"/>
  <c r="J109" i="1"/>
  <c r="I109" i="1"/>
  <c r="H109" i="1"/>
  <c r="BJ102" i="1"/>
  <c r="BI102" i="1"/>
  <c r="BF102" i="1"/>
  <c r="BD102" i="1"/>
  <c r="BC102" i="1"/>
  <c r="AW102" i="1"/>
  <c r="AV102" i="1"/>
  <c r="AP102" i="1"/>
  <c r="AX102" i="1" s="1"/>
  <c r="AO102" i="1"/>
  <c r="H102" i="1" s="1"/>
  <c r="AL102" i="1"/>
  <c r="AK102" i="1"/>
  <c r="AJ102" i="1"/>
  <c r="AH102" i="1"/>
  <c r="AG102" i="1"/>
  <c r="AF102" i="1"/>
  <c r="AE102" i="1"/>
  <c r="AC102" i="1"/>
  <c r="AB102" i="1"/>
  <c r="Z102" i="1"/>
  <c r="J102" i="1"/>
  <c r="I102" i="1"/>
  <c r="BJ99" i="1"/>
  <c r="BI99" i="1"/>
  <c r="AE99" i="1" s="1"/>
  <c r="BF99" i="1"/>
  <c r="BD99" i="1"/>
  <c r="AW99" i="1"/>
  <c r="AP99" i="1"/>
  <c r="I99" i="1" s="1"/>
  <c r="AO99" i="1"/>
  <c r="BH99" i="1" s="1"/>
  <c r="AD99" i="1" s="1"/>
  <c r="AK99" i="1"/>
  <c r="AJ99" i="1"/>
  <c r="AH99" i="1"/>
  <c r="AG99" i="1"/>
  <c r="AF99" i="1"/>
  <c r="AC99" i="1"/>
  <c r="AB99" i="1"/>
  <c r="Z99" i="1"/>
  <c r="J99" i="1"/>
  <c r="AL99" i="1" s="1"/>
  <c r="BJ94" i="1"/>
  <c r="BH94" i="1"/>
  <c r="BF94" i="1"/>
  <c r="BD94" i="1"/>
  <c r="AW94" i="1"/>
  <c r="AP94" i="1"/>
  <c r="I94" i="1" s="1"/>
  <c r="AO94" i="1"/>
  <c r="AL94" i="1"/>
  <c r="AK94" i="1"/>
  <c r="AJ94" i="1"/>
  <c r="AH94" i="1"/>
  <c r="AG94" i="1"/>
  <c r="AF94" i="1"/>
  <c r="AD94" i="1"/>
  <c r="AC94" i="1"/>
  <c r="AB94" i="1"/>
  <c r="Z94" i="1"/>
  <c r="J94" i="1"/>
  <c r="H94" i="1"/>
  <c r="BJ90" i="1"/>
  <c r="BI90" i="1"/>
  <c r="BH90" i="1"/>
  <c r="AD90" i="1" s="1"/>
  <c r="BF90" i="1"/>
  <c r="BD90" i="1"/>
  <c r="AX90" i="1"/>
  <c r="AP90" i="1"/>
  <c r="AO90" i="1"/>
  <c r="H90" i="1" s="1"/>
  <c r="AL90" i="1"/>
  <c r="AK90" i="1"/>
  <c r="AJ90" i="1"/>
  <c r="AH90" i="1"/>
  <c r="AG90" i="1"/>
  <c r="AF90" i="1"/>
  <c r="AE90" i="1"/>
  <c r="AC90" i="1"/>
  <c r="AB90" i="1"/>
  <c r="Z90" i="1"/>
  <c r="J90" i="1"/>
  <c r="I90" i="1"/>
  <c r="BJ86" i="1"/>
  <c r="BF86" i="1"/>
  <c r="BD86" i="1"/>
  <c r="AP86" i="1"/>
  <c r="I86" i="1" s="1"/>
  <c r="I81" i="1" s="1"/>
  <c r="AO86" i="1"/>
  <c r="BH86" i="1" s="1"/>
  <c r="AD86" i="1" s="1"/>
  <c r="AK86" i="1"/>
  <c r="AJ86" i="1"/>
  <c r="AH86" i="1"/>
  <c r="AG86" i="1"/>
  <c r="AF86" i="1"/>
  <c r="AC86" i="1"/>
  <c r="AB86" i="1"/>
  <c r="Z86" i="1"/>
  <c r="J86" i="1"/>
  <c r="AL86" i="1" s="1"/>
  <c r="BJ82" i="1"/>
  <c r="BF82" i="1"/>
  <c r="BD82" i="1"/>
  <c r="AX82" i="1"/>
  <c r="AP82" i="1"/>
  <c r="BI82" i="1" s="1"/>
  <c r="AO82" i="1"/>
  <c r="AW82" i="1" s="1"/>
  <c r="BC82" i="1" s="1"/>
  <c r="AK82" i="1"/>
  <c r="AJ82" i="1"/>
  <c r="AH82" i="1"/>
  <c r="AG82" i="1"/>
  <c r="AF82" i="1"/>
  <c r="C18" i="6" s="1"/>
  <c r="AE82" i="1"/>
  <c r="AC82" i="1"/>
  <c r="AB82" i="1"/>
  <c r="Z82" i="1"/>
  <c r="J82" i="1"/>
  <c r="AL82" i="1" s="1"/>
  <c r="I82" i="1"/>
  <c r="AT81" i="1"/>
  <c r="AS81" i="1"/>
  <c r="J81" i="1"/>
  <c r="BJ77" i="1"/>
  <c r="Z77" i="1" s="1"/>
  <c r="BI77" i="1"/>
  <c r="BF77" i="1"/>
  <c r="BD77" i="1"/>
  <c r="AX77" i="1"/>
  <c r="BC77" i="1" s="1"/>
  <c r="AW77" i="1"/>
  <c r="AV77" i="1" s="1"/>
  <c r="AP77" i="1"/>
  <c r="AO77" i="1"/>
  <c r="BH77" i="1" s="1"/>
  <c r="AL77" i="1"/>
  <c r="AK77" i="1"/>
  <c r="AJ77" i="1"/>
  <c r="AH77" i="1"/>
  <c r="AG77" i="1"/>
  <c r="AF77" i="1"/>
  <c r="AE77" i="1"/>
  <c r="AD77" i="1"/>
  <c r="AC77" i="1"/>
  <c r="AB77" i="1"/>
  <c r="J77" i="1"/>
  <c r="I77" i="1"/>
  <c r="H77" i="1"/>
  <c r="BJ74" i="1"/>
  <c r="Z74" i="1" s="1"/>
  <c r="BF74" i="1"/>
  <c r="BD74" i="1"/>
  <c r="AX74" i="1"/>
  <c r="AP74" i="1"/>
  <c r="BI74" i="1" s="1"/>
  <c r="AO74" i="1"/>
  <c r="H74" i="1" s="1"/>
  <c r="AL74" i="1"/>
  <c r="AK74" i="1"/>
  <c r="AJ74" i="1"/>
  <c r="AH74" i="1"/>
  <c r="AG74" i="1"/>
  <c r="AF74" i="1"/>
  <c r="AE74" i="1"/>
  <c r="AD74" i="1"/>
  <c r="AC74" i="1"/>
  <c r="AB74" i="1"/>
  <c r="J74" i="1"/>
  <c r="I74" i="1"/>
  <c r="BJ68" i="1"/>
  <c r="BF68" i="1"/>
  <c r="BD68" i="1"/>
  <c r="AP68" i="1"/>
  <c r="I68" i="1" s="1"/>
  <c r="AO68" i="1"/>
  <c r="H68" i="1" s="1"/>
  <c r="AK68" i="1"/>
  <c r="AJ68" i="1"/>
  <c r="AH68" i="1"/>
  <c r="AG68" i="1"/>
  <c r="AF68" i="1"/>
  <c r="AE68" i="1"/>
  <c r="AD68" i="1"/>
  <c r="AC68" i="1"/>
  <c r="AB68" i="1"/>
  <c r="Z68" i="1"/>
  <c r="J68" i="1"/>
  <c r="AL68" i="1" s="1"/>
  <c r="BJ64" i="1"/>
  <c r="BH64" i="1"/>
  <c r="BF64" i="1"/>
  <c r="BD64" i="1"/>
  <c r="AP64" i="1"/>
  <c r="I64" i="1" s="1"/>
  <c r="AO64" i="1"/>
  <c r="H64" i="1" s="1"/>
  <c r="AK64" i="1"/>
  <c r="AJ64" i="1"/>
  <c r="AH64" i="1"/>
  <c r="AG64" i="1"/>
  <c r="AF64" i="1"/>
  <c r="AE64" i="1"/>
  <c r="AD64" i="1"/>
  <c r="AC64" i="1"/>
  <c r="AB64" i="1"/>
  <c r="Z64" i="1"/>
  <c r="J64" i="1"/>
  <c r="AL64" i="1" s="1"/>
  <c r="BJ61" i="1"/>
  <c r="BI61" i="1"/>
  <c r="BH61" i="1"/>
  <c r="BF61" i="1"/>
  <c r="BD61" i="1"/>
  <c r="AW61" i="1"/>
  <c r="AP61" i="1"/>
  <c r="I61" i="1" s="1"/>
  <c r="AO61" i="1"/>
  <c r="AL61" i="1"/>
  <c r="AK61" i="1"/>
  <c r="AJ61" i="1"/>
  <c r="AH61" i="1"/>
  <c r="AG61" i="1"/>
  <c r="AF61" i="1"/>
  <c r="AE61" i="1"/>
  <c r="AD61" i="1"/>
  <c r="AC61" i="1"/>
  <c r="AB61" i="1"/>
  <c r="Z61" i="1"/>
  <c r="J61" i="1"/>
  <c r="H61" i="1"/>
  <c r="BJ58" i="1"/>
  <c r="Z58" i="1" s="1"/>
  <c r="BI58" i="1"/>
  <c r="BH58" i="1"/>
  <c r="BF58" i="1"/>
  <c r="BD58" i="1"/>
  <c r="AX58" i="1"/>
  <c r="AW58" i="1"/>
  <c r="AV58" i="1" s="1"/>
  <c r="AP58" i="1"/>
  <c r="AO58" i="1"/>
  <c r="AL58" i="1"/>
  <c r="AK58" i="1"/>
  <c r="AJ58" i="1"/>
  <c r="AS50" i="1" s="1"/>
  <c r="AH58" i="1"/>
  <c r="AG58" i="1"/>
  <c r="AF58" i="1"/>
  <c r="AE58" i="1"/>
  <c r="AD58" i="1"/>
  <c r="AC58" i="1"/>
  <c r="AB58" i="1"/>
  <c r="J58" i="1"/>
  <c r="I58" i="1"/>
  <c r="H58" i="1"/>
  <c r="BJ55" i="1"/>
  <c r="Z55" i="1" s="1"/>
  <c r="BI55" i="1"/>
  <c r="BF55" i="1"/>
  <c r="BD55" i="1"/>
  <c r="AX55" i="1"/>
  <c r="BC55" i="1" s="1"/>
  <c r="AW55" i="1"/>
  <c r="AV55" i="1" s="1"/>
  <c r="AP55" i="1"/>
  <c r="AO55" i="1"/>
  <c r="BH55" i="1" s="1"/>
  <c r="AL55" i="1"/>
  <c r="AK55" i="1"/>
  <c r="AJ55" i="1"/>
  <c r="AH55" i="1"/>
  <c r="AG55" i="1"/>
  <c r="AF55" i="1"/>
  <c r="AE55" i="1"/>
  <c r="AD55" i="1"/>
  <c r="AC55" i="1"/>
  <c r="AB55" i="1"/>
  <c r="J55" i="1"/>
  <c r="I55" i="1"/>
  <c r="H55" i="1"/>
  <c r="BJ53" i="1"/>
  <c r="Z53" i="1" s="1"/>
  <c r="BF53" i="1"/>
  <c r="BD53" i="1"/>
  <c r="AX53" i="1"/>
  <c r="AP53" i="1"/>
  <c r="BI53" i="1" s="1"/>
  <c r="AO53" i="1"/>
  <c r="H53" i="1" s="1"/>
  <c r="AL53" i="1"/>
  <c r="AK53" i="1"/>
  <c r="AT50" i="1" s="1"/>
  <c r="AJ53" i="1"/>
  <c r="AH53" i="1"/>
  <c r="AG53" i="1"/>
  <c r="AF53" i="1"/>
  <c r="AE53" i="1"/>
  <c r="AD53" i="1"/>
  <c r="AC53" i="1"/>
  <c r="AB53" i="1"/>
  <c r="J53" i="1"/>
  <c r="I53" i="1"/>
  <c r="BJ51" i="1"/>
  <c r="BF51" i="1"/>
  <c r="BD51" i="1"/>
  <c r="AP51" i="1"/>
  <c r="I51" i="1" s="1"/>
  <c r="AO51" i="1"/>
  <c r="H51" i="1" s="1"/>
  <c r="H50" i="1" s="1"/>
  <c r="AK51" i="1"/>
  <c r="AJ51" i="1"/>
  <c r="AH51" i="1"/>
  <c r="AG51" i="1"/>
  <c r="AF51" i="1"/>
  <c r="AE51" i="1"/>
  <c r="AD51" i="1"/>
  <c r="AC51" i="1"/>
  <c r="AB51" i="1"/>
  <c r="Z51" i="1"/>
  <c r="J51" i="1"/>
  <c r="AL51" i="1" s="1"/>
  <c r="J50" i="1"/>
  <c r="BJ49" i="1"/>
  <c r="BH49" i="1"/>
  <c r="AF49" i="1" s="1"/>
  <c r="BF49" i="1"/>
  <c r="BD49" i="1"/>
  <c r="AP49" i="1"/>
  <c r="I49" i="1" s="1"/>
  <c r="AO49" i="1"/>
  <c r="H49" i="1" s="1"/>
  <c r="AK49" i="1"/>
  <c r="AJ49" i="1"/>
  <c r="AH49" i="1"/>
  <c r="AE49" i="1"/>
  <c r="AD49" i="1"/>
  <c r="AC49" i="1"/>
  <c r="AB49" i="1"/>
  <c r="Z49" i="1"/>
  <c r="J49" i="1"/>
  <c r="AL49" i="1" s="1"/>
  <c r="BJ48" i="1"/>
  <c r="BI48" i="1"/>
  <c r="AG48" i="1" s="1"/>
  <c r="BH48" i="1"/>
  <c r="AF48" i="1" s="1"/>
  <c r="BF48" i="1"/>
  <c r="BD48" i="1"/>
  <c r="AW48" i="1"/>
  <c r="AP48" i="1"/>
  <c r="I48" i="1" s="1"/>
  <c r="AO48" i="1"/>
  <c r="AL48" i="1"/>
  <c r="AK48" i="1"/>
  <c r="AJ48" i="1"/>
  <c r="AH48" i="1"/>
  <c r="AE48" i="1"/>
  <c r="AD48" i="1"/>
  <c r="AC48" i="1"/>
  <c r="AB48" i="1"/>
  <c r="Z48" i="1"/>
  <c r="J48" i="1"/>
  <c r="H48" i="1"/>
  <c r="BJ47" i="1"/>
  <c r="BI47" i="1"/>
  <c r="AG47" i="1" s="1"/>
  <c r="BH47" i="1"/>
  <c r="AF47" i="1" s="1"/>
  <c r="BF47" i="1"/>
  <c r="BD47" i="1"/>
  <c r="AX47" i="1"/>
  <c r="AW47" i="1"/>
  <c r="AV47" i="1" s="1"/>
  <c r="AP47" i="1"/>
  <c r="AO47" i="1"/>
  <c r="AL47" i="1"/>
  <c r="AK47" i="1"/>
  <c r="AJ47" i="1"/>
  <c r="AH47" i="1"/>
  <c r="AE47" i="1"/>
  <c r="AD47" i="1"/>
  <c r="AC47" i="1"/>
  <c r="AB47" i="1"/>
  <c r="Z47" i="1"/>
  <c r="J47" i="1"/>
  <c r="I47" i="1"/>
  <c r="H47" i="1"/>
  <c r="BJ46" i="1"/>
  <c r="BI46" i="1"/>
  <c r="AG46" i="1" s="1"/>
  <c r="BF46" i="1"/>
  <c r="BD46" i="1"/>
  <c r="AX46" i="1"/>
  <c r="BC46" i="1" s="1"/>
  <c r="AW46" i="1"/>
  <c r="AV46" i="1" s="1"/>
  <c r="AP46" i="1"/>
  <c r="AO46" i="1"/>
  <c r="BH46" i="1" s="1"/>
  <c r="AF46" i="1" s="1"/>
  <c r="AL46" i="1"/>
  <c r="AK46" i="1"/>
  <c r="AJ46" i="1"/>
  <c r="AH46" i="1"/>
  <c r="AE46" i="1"/>
  <c r="AD46" i="1"/>
  <c r="AC46" i="1"/>
  <c r="AB46" i="1"/>
  <c r="Z46" i="1"/>
  <c r="J46" i="1"/>
  <c r="I46" i="1"/>
  <c r="H46" i="1"/>
  <c r="BJ45" i="1"/>
  <c r="BF45" i="1"/>
  <c r="BD45" i="1"/>
  <c r="AX45" i="1"/>
  <c r="AP45" i="1"/>
  <c r="BI45" i="1" s="1"/>
  <c r="AG45" i="1" s="1"/>
  <c r="AO45" i="1"/>
  <c r="H45" i="1" s="1"/>
  <c r="AL45" i="1"/>
  <c r="AK45" i="1"/>
  <c r="AJ45" i="1"/>
  <c r="AH45" i="1"/>
  <c r="AE45" i="1"/>
  <c r="AD45" i="1"/>
  <c r="AC45" i="1"/>
  <c r="AB45" i="1"/>
  <c r="Z45" i="1"/>
  <c r="J45" i="1"/>
  <c r="I45" i="1"/>
  <c r="BJ44" i="1"/>
  <c r="BF44" i="1"/>
  <c r="BD44" i="1"/>
  <c r="AP44" i="1"/>
  <c r="I44" i="1" s="1"/>
  <c r="AO44" i="1"/>
  <c r="H44" i="1" s="1"/>
  <c r="AK44" i="1"/>
  <c r="AJ44" i="1"/>
  <c r="AH44" i="1"/>
  <c r="AE44" i="1"/>
  <c r="AD44" i="1"/>
  <c r="AC44" i="1"/>
  <c r="AB44" i="1"/>
  <c r="Z44" i="1"/>
  <c r="J44" i="1"/>
  <c r="AL44" i="1" s="1"/>
  <c r="BJ43" i="1"/>
  <c r="BH43" i="1"/>
  <c r="AF43" i="1" s="1"/>
  <c r="BF43" i="1"/>
  <c r="BD43" i="1"/>
  <c r="AP43" i="1"/>
  <c r="I43" i="1" s="1"/>
  <c r="AO43" i="1"/>
  <c r="H43" i="1" s="1"/>
  <c r="AK43" i="1"/>
  <c r="AJ43" i="1"/>
  <c r="AH43" i="1"/>
  <c r="AE43" i="1"/>
  <c r="AD43" i="1"/>
  <c r="AC43" i="1"/>
  <c r="AB43" i="1"/>
  <c r="Z43" i="1"/>
  <c r="J43" i="1"/>
  <c r="AL43" i="1" s="1"/>
  <c r="BJ42" i="1"/>
  <c r="BI42" i="1"/>
  <c r="AG42" i="1" s="1"/>
  <c r="BH42" i="1"/>
  <c r="AF42" i="1" s="1"/>
  <c r="BF42" i="1"/>
  <c r="BD42" i="1"/>
  <c r="AW42" i="1"/>
  <c r="AP42" i="1"/>
  <c r="I42" i="1" s="1"/>
  <c r="AO42" i="1"/>
  <c r="AK42" i="1"/>
  <c r="AJ42" i="1"/>
  <c r="AS41" i="1" s="1"/>
  <c r="AH42" i="1"/>
  <c r="AE42" i="1"/>
  <c r="AD42" i="1"/>
  <c r="AC42" i="1"/>
  <c r="AB42" i="1"/>
  <c r="Z42" i="1"/>
  <c r="J42" i="1"/>
  <c r="AL42" i="1" s="1"/>
  <c r="H42" i="1"/>
  <c r="AT41" i="1"/>
  <c r="BJ33" i="1"/>
  <c r="BI33" i="1"/>
  <c r="BH33" i="1"/>
  <c r="BF33" i="1"/>
  <c r="BD33" i="1"/>
  <c r="AX33" i="1"/>
  <c r="AW33" i="1"/>
  <c r="AV33" i="1" s="1"/>
  <c r="AP33" i="1"/>
  <c r="AO33" i="1"/>
  <c r="AL33" i="1"/>
  <c r="AK33" i="1"/>
  <c r="AJ33" i="1"/>
  <c r="AS16" i="1" s="1"/>
  <c r="AH33" i="1"/>
  <c r="AG33" i="1"/>
  <c r="AF33" i="1"/>
  <c r="AE33" i="1"/>
  <c r="AD33" i="1"/>
  <c r="AC33" i="1"/>
  <c r="AB33" i="1"/>
  <c r="Z33" i="1"/>
  <c r="J33" i="1"/>
  <c r="I33" i="1"/>
  <c r="H33" i="1"/>
  <c r="BJ29" i="1"/>
  <c r="BI29" i="1"/>
  <c r="BF29" i="1"/>
  <c r="BD29" i="1"/>
  <c r="AX29" i="1"/>
  <c r="BC29" i="1" s="1"/>
  <c r="AW29" i="1"/>
  <c r="AV29" i="1" s="1"/>
  <c r="AP29" i="1"/>
  <c r="AO29" i="1"/>
  <c r="BH29" i="1" s="1"/>
  <c r="AB29" i="1" s="1"/>
  <c r="AL29" i="1"/>
  <c r="AK29" i="1"/>
  <c r="AJ29" i="1"/>
  <c r="AH29" i="1"/>
  <c r="AG29" i="1"/>
  <c r="AF29" i="1"/>
  <c r="AE29" i="1"/>
  <c r="AD29" i="1"/>
  <c r="AC29" i="1"/>
  <c r="Z29" i="1"/>
  <c r="J29" i="1"/>
  <c r="I29" i="1"/>
  <c r="H29" i="1"/>
  <c r="BJ26" i="1"/>
  <c r="Z26" i="1" s="1"/>
  <c r="BF26" i="1"/>
  <c r="BD26" i="1"/>
  <c r="AX26" i="1"/>
  <c r="AP26" i="1"/>
  <c r="BI26" i="1" s="1"/>
  <c r="AO26" i="1"/>
  <c r="H26" i="1" s="1"/>
  <c r="AL26" i="1"/>
  <c r="AK26" i="1"/>
  <c r="AT16" i="1" s="1"/>
  <c r="AJ26" i="1"/>
  <c r="AH26" i="1"/>
  <c r="AG26" i="1"/>
  <c r="AF26" i="1"/>
  <c r="AE26" i="1"/>
  <c r="AD26" i="1"/>
  <c r="AC26" i="1"/>
  <c r="AB26" i="1"/>
  <c r="J26" i="1"/>
  <c r="I26" i="1"/>
  <c r="BJ17" i="1"/>
  <c r="BF17" i="1"/>
  <c r="BD17" i="1"/>
  <c r="AP17" i="1"/>
  <c r="I17" i="1" s="1"/>
  <c r="I16" i="1" s="1"/>
  <c r="AO17" i="1"/>
  <c r="H17" i="1" s="1"/>
  <c r="H16" i="1" s="1"/>
  <c r="AK17" i="1"/>
  <c r="AJ17" i="1"/>
  <c r="AH17" i="1"/>
  <c r="AG17" i="1"/>
  <c r="AF17" i="1"/>
  <c r="AE17" i="1"/>
  <c r="AD17" i="1"/>
  <c r="Z17" i="1"/>
  <c r="J17" i="1"/>
  <c r="AL17" i="1" s="1"/>
  <c r="AU16" i="1" s="1"/>
  <c r="BJ14" i="1"/>
  <c r="BH14" i="1"/>
  <c r="AF14" i="1" s="1"/>
  <c r="BF14" i="1"/>
  <c r="BD14" i="1"/>
  <c r="AP14" i="1"/>
  <c r="I14" i="1" s="1"/>
  <c r="I13" i="1" s="1"/>
  <c r="AO14" i="1"/>
  <c r="H14" i="1" s="1"/>
  <c r="H13" i="1" s="1"/>
  <c r="AK14" i="1"/>
  <c r="AJ14" i="1"/>
  <c r="AH14" i="1"/>
  <c r="AE14" i="1"/>
  <c r="AD14" i="1"/>
  <c r="AC14" i="1"/>
  <c r="AB14" i="1"/>
  <c r="Z14" i="1"/>
  <c r="J14" i="1"/>
  <c r="AL14" i="1" s="1"/>
  <c r="AU13" i="1" s="1"/>
  <c r="AT13" i="1"/>
  <c r="AS13" i="1"/>
  <c r="J13" i="1"/>
  <c r="AU1" i="1"/>
  <c r="AT1" i="1"/>
  <c r="AS1" i="1"/>
  <c r="H12" i="1" l="1"/>
  <c r="AU41" i="1"/>
  <c r="C27" i="4" s="1"/>
  <c r="F27" i="4" s="1"/>
  <c r="H41" i="1"/>
  <c r="I41" i="1"/>
  <c r="I12" i="1" s="1"/>
  <c r="AU50" i="1"/>
  <c r="I50" i="1"/>
  <c r="AU81" i="1"/>
  <c r="AU116" i="1"/>
  <c r="C21" i="6"/>
  <c r="C19" i="6"/>
  <c r="BH82" i="1"/>
  <c r="AD82" i="1" s="1"/>
  <c r="AW86" i="1"/>
  <c r="AW90" i="1"/>
  <c r="AX99" i="1"/>
  <c r="BC99" i="1" s="1"/>
  <c r="AW131" i="1"/>
  <c r="BH131" i="1"/>
  <c r="AD131" i="1" s="1"/>
  <c r="AW148" i="1"/>
  <c r="BH148" i="1"/>
  <c r="AD148" i="1" s="1"/>
  <c r="AW168" i="1"/>
  <c r="BH168" i="1"/>
  <c r="AD168" i="1" s="1"/>
  <c r="AW191" i="1"/>
  <c r="BH191" i="1"/>
  <c r="AD191" i="1" s="1"/>
  <c r="AS195" i="1"/>
  <c r="BC196" i="1"/>
  <c r="I199" i="1"/>
  <c r="AX199" i="1"/>
  <c r="AV199" i="1" s="1"/>
  <c r="BI199" i="1"/>
  <c r="AE199" i="1" s="1"/>
  <c r="I203" i="1"/>
  <c r="AX203" i="1"/>
  <c r="BI203" i="1"/>
  <c r="AE203" i="1" s="1"/>
  <c r="BC229" i="1"/>
  <c r="AL242" i="1"/>
  <c r="AU235" i="1" s="1"/>
  <c r="C27" i="8" s="1"/>
  <c r="F27" i="8" s="1"/>
  <c r="J235" i="1"/>
  <c r="BC291" i="1"/>
  <c r="BC313" i="1"/>
  <c r="AW324" i="1"/>
  <c r="BH324" i="1"/>
  <c r="AD324" i="1" s="1"/>
  <c r="H324" i="1"/>
  <c r="H307" i="1" s="1"/>
  <c r="BC359" i="1"/>
  <c r="AV359" i="1"/>
  <c r="AV374" i="1"/>
  <c r="BC374" i="1"/>
  <c r="I425" i="1"/>
  <c r="I424" i="1" s="1"/>
  <c r="AX425" i="1"/>
  <c r="BI425" i="1"/>
  <c r="AE425" i="1" s="1"/>
  <c r="AW575" i="1"/>
  <c r="BH575" i="1"/>
  <c r="AF575" i="1" s="1"/>
  <c r="J16" i="1"/>
  <c r="J12" i="1" s="1"/>
  <c r="AX189" i="1"/>
  <c r="BI189" i="1"/>
  <c r="AE189" i="1" s="1"/>
  <c r="H429" i="1"/>
  <c r="H428" i="1" s="1"/>
  <c r="AW429" i="1"/>
  <c r="BH429" i="1"/>
  <c r="AD429" i="1" s="1"/>
  <c r="C26" i="4"/>
  <c r="F26" i="4" s="1"/>
  <c r="BC33" i="1"/>
  <c r="AX42" i="1"/>
  <c r="AV42" i="1" s="1"/>
  <c r="AW43" i="1"/>
  <c r="BI43" i="1"/>
  <c r="AG43" i="1" s="1"/>
  <c r="BH44" i="1"/>
  <c r="AF44" i="1" s="1"/>
  <c r="C18" i="4" s="1"/>
  <c r="BC47" i="1"/>
  <c r="AX48" i="1"/>
  <c r="AV48" i="1" s="1"/>
  <c r="AW49" i="1"/>
  <c r="BI49" i="1"/>
  <c r="AG49" i="1" s="1"/>
  <c r="BH51" i="1"/>
  <c r="BC58" i="1"/>
  <c r="AX61" i="1"/>
  <c r="AV61" i="1" s="1"/>
  <c r="AW64" i="1"/>
  <c r="BI64" i="1"/>
  <c r="BH68" i="1"/>
  <c r="C26" i="6"/>
  <c r="F26" i="6" s="1"/>
  <c r="C14" i="6"/>
  <c r="C20" i="6"/>
  <c r="AV82" i="1"/>
  <c r="AX86" i="1"/>
  <c r="BI94" i="1"/>
  <c r="AE94" i="1" s="1"/>
  <c r="BH102" i="1"/>
  <c r="AD102" i="1" s="1"/>
  <c r="C16" i="2" s="1"/>
  <c r="BH109" i="1"/>
  <c r="AD109" i="1" s="1"/>
  <c r="AX115" i="1"/>
  <c r="BC135" i="1"/>
  <c r="BC151" i="1"/>
  <c r="BC173" i="1"/>
  <c r="H208" i="1"/>
  <c r="AW208" i="1"/>
  <c r="BH208" i="1"/>
  <c r="I238" i="1"/>
  <c r="AX238" i="1"/>
  <c r="BI238" i="1"/>
  <c r="AE238" i="1" s="1"/>
  <c r="BC363" i="1"/>
  <c r="AV363" i="1"/>
  <c r="BC527" i="1"/>
  <c r="AV527" i="1"/>
  <c r="C14" i="4"/>
  <c r="AW14" i="1"/>
  <c r="C16" i="4"/>
  <c r="C28" i="2"/>
  <c r="F28" i="2" s="1"/>
  <c r="AX14" i="1"/>
  <c r="AW17" i="1"/>
  <c r="BI17" i="1"/>
  <c r="AC17" i="1" s="1"/>
  <c r="C15" i="2" s="1"/>
  <c r="BH26" i="1"/>
  <c r="AX43" i="1"/>
  <c r="AW44" i="1"/>
  <c r="BI44" i="1"/>
  <c r="AG44" i="1" s="1"/>
  <c r="BH45" i="1"/>
  <c r="AF45" i="1" s="1"/>
  <c r="AX49" i="1"/>
  <c r="AW51" i="1"/>
  <c r="BI51" i="1"/>
  <c r="BH53" i="1"/>
  <c r="AX64" i="1"/>
  <c r="AW68" i="1"/>
  <c r="BI68" i="1"/>
  <c r="BH74" i="1"/>
  <c r="H86" i="1"/>
  <c r="AX94" i="1"/>
  <c r="J116" i="1"/>
  <c r="BC199" i="1"/>
  <c r="AX208" i="1"/>
  <c r="BI208" i="1"/>
  <c r="I235" i="1"/>
  <c r="I261" i="1"/>
  <c r="AX261" i="1"/>
  <c r="BI261" i="1"/>
  <c r="AE261" i="1" s="1"/>
  <c r="AS307" i="1"/>
  <c r="C25" i="8" s="1"/>
  <c r="I26" i="8" s="1"/>
  <c r="I27" i="8" s="1"/>
  <c r="AX407" i="1"/>
  <c r="BI407" i="1"/>
  <c r="AE407" i="1" s="1"/>
  <c r="I407" i="1"/>
  <c r="C21" i="2"/>
  <c r="C21" i="4"/>
  <c r="BI86" i="1"/>
  <c r="AE86" i="1" s="1"/>
  <c r="AW115" i="1"/>
  <c r="BH115" i="1"/>
  <c r="AX127" i="1"/>
  <c r="BI127" i="1"/>
  <c r="AE127" i="1" s="1"/>
  <c r="AX146" i="1"/>
  <c r="BI146" i="1"/>
  <c r="AE146" i="1" s="1"/>
  <c r="H203" i="1"/>
  <c r="AW203" i="1"/>
  <c r="H221" i="1"/>
  <c r="H211" i="1" s="1"/>
  <c r="H210" i="1" s="1"/>
  <c r="AW221" i="1"/>
  <c r="BH221" i="1"/>
  <c r="AD221" i="1" s="1"/>
  <c r="AV254" i="1"/>
  <c r="C27" i="2"/>
  <c r="BI14" i="1"/>
  <c r="AG14" i="1" s="1"/>
  <c r="BH17" i="1"/>
  <c r="AB17" i="1" s="1"/>
  <c r="C14" i="2" s="1"/>
  <c r="C17" i="4"/>
  <c r="AX17" i="1"/>
  <c r="AW26" i="1"/>
  <c r="J41" i="1"/>
  <c r="J753" i="1" s="1"/>
  <c r="AX44" i="1"/>
  <c r="AW45" i="1"/>
  <c r="AX51" i="1"/>
  <c r="AW53" i="1"/>
  <c r="AX68" i="1"/>
  <c r="AW74" i="1"/>
  <c r="H82" i="1"/>
  <c r="H81" i="1" s="1"/>
  <c r="H99" i="1"/>
  <c r="H115" i="1"/>
  <c r="AS116" i="1"/>
  <c r="C25" i="6" s="1"/>
  <c r="H125" i="1"/>
  <c r="H116" i="1" s="1"/>
  <c r="AW125" i="1"/>
  <c r="H143" i="1"/>
  <c r="AW143" i="1"/>
  <c r="H160" i="1"/>
  <c r="AW160" i="1"/>
  <c r="H184" i="1"/>
  <c r="AW184" i="1"/>
  <c r="C16" i="8"/>
  <c r="I217" i="1"/>
  <c r="I211" i="1" s="1"/>
  <c r="I210" i="1" s="1"/>
  <c r="AX217" i="1"/>
  <c r="BI217" i="1"/>
  <c r="AE217" i="1" s="1"/>
  <c r="BC233" i="1"/>
  <c r="H242" i="1"/>
  <c r="H235" i="1" s="1"/>
  <c r="AW242" i="1"/>
  <c r="BH242" i="1"/>
  <c r="AD242" i="1" s="1"/>
  <c r="AT307" i="1"/>
  <c r="C26" i="8" s="1"/>
  <c r="F26" i="8" s="1"/>
  <c r="BC400" i="1"/>
  <c r="AV400" i="1"/>
  <c r="C25" i="4"/>
  <c r="AX164" i="1"/>
  <c r="BI164" i="1"/>
  <c r="AE164" i="1" s="1"/>
  <c r="AX338" i="1"/>
  <c r="BI338" i="1"/>
  <c r="AE338" i="1" s="1"/>
  <c r="I338" i="1"/>
  <c r="I385" i="1"/>
  <c r="AX385" i="1"/>
  <c r="BI385" i="1"/>
  <c r="AE385" i="1" s="1"/>
  <c r="C20" i="2"/>
  <c r="C20" i="4"/>
  <c r="C17" i="6"/>
  <c r="AT116" i="1"/>
  <c r="I123" i="1"/>
  <c r="I116" i="1" s="1"/>
  <c r="AX123" i="1"/>
  <c r="AV123" i="1" s="1"/>
  <c r="BI123" i="1"/>
  <c r="AE123" i="1" s="1"/>
  <c r="I125" i="1"/>
  <c r="AX125" i="1"/>
  <c r="BI125" i="1"/>
  <c r="AE125" i="1" s="1"/>
  <c r="C17" i="2" s="1"/>
  <c r="I127" i="1"/>
  <c r="H127" i="1"/>
  <c r="AW127" i="1"/>
  <c r="BH127" i="1"/>
  <c r="AD127" i="1" s="1"/>
  <c r="BC138" i="1"/>
  <c r="I141" i="1"/>
  <c r="AX141" i="1"/>
  <c r="AV141" i="1" s="1"/>
  <c r="BI141" i="1"/>
  <c r="AE141" i="1" s="1"/>
  <c r="I143" i="1"/>
  <c r="AX143" i="1"/>
  <c r="BI143" i="1"/>
  <c r="AE143" i="1" s="1"/>
  <c r="I146" i="1"/>
  <c r="H146" i="1"/>
  <c r="AW146" i="1"/>
  <c r="BH146" i="1"/>
  <c r="AD146" i="1" s="1"/>
  <c r="BC154" i="1"/>
  <c r="I157" i="1"/>
  <c r="AX157" i="1"/>
  <c r="AV157" i="1" s="1"/>
  <c r="BI157" i="1"/>
  <c r="AE157" i="1" s="1"/>
  <c r="I160" i="1"/>
  <c r="AX160" i="1"/>
  <c r="BI160" i="1"/>
  <c r="AE160" i="1" s="1"/>
  <c r="I164" i="1"/>
  <c r="H164" i="1"/>
  <c r="AW164" i="1"/>
  <c r="BH164" i="1"/>
  <c r="AD164" i="1" s="1"/>
  <c r="BC176" i="1"/>
  <c r="I180" i="1"/>
  <c r="AX180" i="1"/>
  <c r="AV180" i="1" s="1"/>
  <c r="BI180" i="1"/>
  <c r="AE180" i="1" s="1"/>
  <c r="I184" i="1"/>
  <c r="AX184" i="1"/>
  <c r="BI184" i="1"/>
  <c r="AE184" i="1" s="1"/>
  <c r="I189" i="1"/>
  <c r="H189" i="1"/>
  <c r="AW189" i="1"/>
  <c r="BH189" i="1"/>
  <c r="AD189" i="1" s="1"/>
  <c r="AV193" i="1"/>
  <c r="BH203" i="1"/>
  <c r="AD203" i="1" s="1"/>
  <c r="C15" i="8"/>
  <c r="BC250" i="1"/>
  <c r="H265" i="1"/>
  <c r="AW265" i="1"/>
  <c r="BH265" i="1"/>
  <c r="AD265" i="1" s="1"/>
  <c r="AU307" i="1"/>
  <c r="BC318" i="1"/>
  <c r="AV318" i="1"/>
  <c r="BH326" i="1"/>
  <c r="AD326" i="1" s="1"/>
  <c r="H326" i="1"/>
  <c r="AW326" i="1"/>
  <c r="H336" i="1"/>
  <c r="AW336" i="1"/>
  <c r="BH336" i="1"/>
  <c r="AD336" i="1" s="1"/>
  <c r="AS396" i="1"/>
  <c r="AU396" i="1"/>
  <c r="BH482" i="1"/>
  <c r="AD482" i="1" s="1"/>
  <c r="AW482" i="1"/>
  <c r="H482" i="1"/>
  <c r="AX212" i="1"/>
  <c r="AV212" i="1" s="1"/>
  <c r="AW215" i="1"/>
  <c r="BI215" i="1"/>
  <c r="AE215" i="1" s="1"/>
  <c r="BH217" i="1"/>
  <c r="AD217" i="1" s="1"/>
  <c r="AX233" i="1"/>
  <c r="AV233" i="1" s="1"/>
  <c r="AW236" i="1"/>
  <c r="BI236" i="1"/>
  <c r="AE236" i="1" s="1"/>
  <c r="C17" i="8" s="1"/>
  <c r="BH238" i="1"/>
  <c r="AD238" i="1" s="1"/>
  <c r="AX254" i="1"/>
  <c r="BC254" i="1" s="1"/>
  <c r="AW257" i="1"/>
  <c r="BI257" i="1"/>
  <c r="AE257" i="1" s="1"/>
  <c r="BH261" i="1"/>
  <c r="AD261" i="1" s="1"/>
  <c r="AW308" i="1"/>
  <c r="AX311" i="1"/>
  <c r="AV311" i="1" s="1"/>
  <c r="BI324" i="1"/>
  <c r="AE324" i="1" s="1"/>
  <c r="I324" i="1"/>
  <c r="AW341" i="1"/>
  <c r="BH341" i="1"/>
  <c r="AD341" i="1" s="1"/>
  <c r="BH344" i="1"/>
  <c r="AD344" i="1" s="1"/>
  <c r="H344" i="1"/>
  <c r="AV347" i="1"/>
  <c r="AX353" i="1"/>
  <c r="BI353" i="1"/>
  <c r="AE353" i="1" s="1"/>
  <c r="AT396" i="1"/>
  <c r="I403" i="1"/>
  <c r="I396" i="1" s="1"/>
  <c r="AX403" i="1"/>
  <c r="BI403" i="1"/>
  <c r="AE403" i="1" s="1"/>
  <c r="AX429" i="1"/>
  <c r="BI429" i="1"/>
  <c r="AE429" i="1" s="1"/>
  <c r="I429" i="1"/>
  <c r="I428" i="1" s="1"/>
  <c r="AW445" i="1"/>
  <c r="BH445" i="1"/>
  <c r="AF445" i="1" s="1"/>
  <c r="H572" i="1"/>
  <c r="AW572" i="1"/>
  <c r="BH572" i="1"/>
  <c r="AF572" i="1" s="1"/>
  <c r="I18" i="13"/>
  <c r="F29" i="13" s="1"/>
  <c r="F16" i="12"/>
  <c r="C15" i="6"/>
  <c r="J195" i="1"/>
  <c r="J80" i="1" s="1"/>
  <c r="AX215" i="1"/>
  <c r="AW217" i="1"/>
  <c r="AX236" i="1"/>
  <c r="AW238" i="1"/>
  <c r="AX257" i="1"/>
  <c r="AW261" i="1"/>
  <c r="H311" i="1"/>
  <c r="I313" i="1"/>
  <c r="AX324" i="1"/>
  <c r="H341" i="1"/>
  <c r="BI341" i="1"/>
  <c r="AE341" i="1" s="1"/>
  <c r="I341" i="1"/>
  <c r="BH351" i="1"/>
  <c r="AD351" i="1" s="1"/>
  <c r="AW355" i="1"/>
  <c r="BH355" i="1"/>
  <c r="AD355" i="1" s="1"/>
  <c r="BH357" i="1"/>
  <c r="AD357" i="1" s="1"/>
  <c r="H357" i="1"/>
  <c r="BC394" i="1"/>
  <c r="AW442" i="1"/>
  <c r="BH442" i="1"/>
  <c r="AF442" i="1" s="1"/>
  <c r="C18" i="8" s="1"/>
  <c r="H442" i="1"/>
  <c r="H441" i="1" s="1"/>
  <c r="AL457" i="1"/>
  <c r="AU450" i="1" s="1"/>
  <c r="C27" i="10" s="1"/>
  <c r="F27" i="10" s="1"/>
  <c r="BC475" i="1"/>
  <c r="AT477" i="1"/>
  <c r="H494" i="1"/>
  <c r="AW494" i="1"/>
  <c r="AV496" i="1"/>
  <c r="H506" i="1"/>
  <c r="AW506" i="1"/>
  <c r="BH506" i="1"/>
  <c r="AD506" i="1" s="1"/>
  <c r="AL515" i="1"/>
  <c r="AU514" i="1" s="1"/>
  <c r="J514" i="1"/>
  <c r="J211" i="1"/>
  <c r="AV305" i="1"/>
  <c r="I311" i="1"/>
  <c r="I307" i="1" s="1"/>
  <c r="AX333" i="1"/>
  <c r="BC333" i="1" s="1"/>
  <c r="AW344" i="1"/>
  <c r="BC349" i="1"/>
  <c r="AV349" i="1"/>
  <c r="AV351" i="1"/>
  <c r="BI355" i="1"/>
  <c r="AE355" i="1" s="1"/>
  <c r="I355" i="1"/>
  <c r="BI361" i="1"/>
  <c r="AE361" i="1" s="1"/>
  <c r="AX366" i="1"/>
  <c r="BI366" i="1"/>
  <c r="AE366" i="1" s="1"/>
  <c r="AW372" i="1"/>
  <c r="BH372" i="1"/>
  <c r="AD372" i="1" s="1"/>
  <c r="H372" i="1"/>
  <c r="AW390" i="1"/>
  <c r="BH390" i="1"/>
  <c r="AD390" i="1" s="1"/>
  <c r="H390" i="1"/>
  <c r="J449" i="1"/>
  <c r="BH457" i="1"/>
  <c r="AW457" i="1"/>
  <c r="H457" i="1"/>
  <c r="H450" i="1" s="1"/>
  <c r="J458" i="1"/>
  <c r="AU477" i="1"/>
  <c r="BI496" i="1"/>
  <c r="AE496" i="1" s="1"/>
  <c r="AX496" i="1"/>
  <c r="BC496" i="1" s="1"/>
  <c r="I496" i="1"/>
  <c r="I477" i="1" s="1"/>
  <c r="AV500" i="1"/>
  <c r="BC534" i="1"/>
  <c r="AV534" i="1"/>
  <c r="BH630" i="1"/>
  <c r="AF630" i="1" s="1"/>
  <c r="H630" i="1"/>
  <c r="AW630" i="1"/>
  <c r="C21" i="8"/>
  <c r="C19" i="8"/>
  <c r="AW369" i="1"/>
  <c r="BH369" i="1"/>
  <c r="AD369" i="1" s="1"/>
  <c r="BC378" i="1"/>
  <c r="AV378" i="1"/>
  <c r="H388" i="1"/>
  <c r="AW388" i="1"/>
  <c r="BH388" i="1"/>
  <c r="AD388" i="1" s="1"/>
  <c r="AW411" i="1"/>
  <c r="BH411" i="1"/>
  <c r="AD411" i="1" s="1"/>
  <c r="H411" i="1"/>
  <c r="BC491" i="1"/>
  <c r="AV491" i="1"/>
  <c r="C14" i="8"/>
  <c r="C20" i="8"/>
  <c r="BH308" i="1"/>
  <c r="AD308" i="1" s="1"/>
  <c r="BH311" i="1"/>
  <c r="AD311" i="1" s="1"/>
  <c r="AV313" i="1"/>
  <c r="AX321" i="1"/>
  <c r="BI321" i="1"/>
  <c r="AE321" i="1" s="1"/>
  <c r="BC357" i="1"/>
  <c r="BC361" i="1"/>
  <c r="AV361" i="1"/>
  <c r="H369" i="1"/>
  <c r="AX369" i="1"/>
  <c r="BI369" i="1"/>
  <c r="AE369" i="1" s="1"/>
  <c r="I369" i="1"/>
  <c r="AX388" i="1"/>
  <c r="BI388" i="1"/>
  <c r="AE388" i="1" s="1"/>
  <c r="I388" i="1"/>
  <c r="BC397" i="1"/>
  <c r="AV397" i="1"/>
  <c r="H407" i="1"/>
  <c r="H396" i="1" s="1"/>
  <c r="AW407" i="1"/>
  <c r="BH407" i="1"/>
  <c r="AD407" i="1" s="1"/>
  <c r="BC419" i="1"/>
  <c r="AV419" i="1"/>
  <c r="C26" i="10"/>
  <c r="F26" i="10" s="1"/>
  <c r="C17" i="10"/>
  <c r="H458" i="1"/>
  <c r="AX464" i="1"/>
  <c r="BI464" i="1"/>
  <c r="AE464" i="1" s="1"/>
  <c r="I464" i="1"/>
  <c r="I458" i="1" s="1"/>
  <c r="H485" i="1"/>
  <c r="AW485" i="1"/>
  <c r="BH485" i="1"/>
  <c r="AD485" i="1" s="1"/>
  <c r="H469" i="1"/>
  <c r="BI475" i="1"/>
  <c r="AX488" i="1"/>
  <c r="H491" i="1"/>
  <c r="H515" i="1"/>
  <c r="H514" i="1" s="1"/>
  <c r="AW515" i="1"/>
  <c r="BH515" i="1"/>
  <c r="AD515" i="1" s="1"/>
  <c r="AW544" i="1"/>
  <c r="H544" i="1"/>
  <c r="C21" i="14"/>
  <c r="AT562" i="1"/>
  <c r="C26" i="14" s="1"/>
  <c r="F26" i="14" s="1"/>
  <c r="AX590" i="1"/>
  <c r="BI590" i="1"/>
  <c r="AG590" i="1" s="1"/>
  <c r="I590" i="1"/>
  <c r="I624" i="1"/>
  <c r="AX624" i="1"/>
  <c r="AV624" i="1" s="1"/>
  <c r="BI624" i="1"/>
  <c r="AG624" i="1" s="1"/>
  <c r="C18" i="10"/>
  <c r="AS458" i="1"/>
  <c r="C25" i="10" s="1"/>
  <c r="I26" i="10" s="1"/>
  <c r="I27" i="10" s="1"/>
  <c r="I475" i="1"/>
  <c r="H504" i="1"/>
  <c r="AW504" i="1"/>
  <c r="BH504" i="1"/>
  <c r="AD504" i="1" s="1"/>
  <c r="C14" i="12"/>
  <c r="AV524" i="1"/>
  <c r="BC524" i="1"/>
  <c r="BC530" i="1"/>
  <c r="AV530" i="1"/>
  <c r="AW551" i="1"/>
  <c r="BH551" i="1"/>
  <c r="AF551" i="1" s="1"/>
  <c r="C18" i="12" s="1"/>
  <c r="H551" i="1"/>
  <c r="H550" i="1" s="1"/>
  <c r="AX572" i="1"/>
  <c r="BI572" i="1"/>
  <c r="AG572" i="1" s="1"/>
  <c r="I572" i="1"/>
  <c r="BC672" i="1"/>
  <c r="AV672" i="1"/>
  <c r="J396" i="1"/>
  <c r="C19" i="10"/>
  <c r="C15" i="10"/>
  <c r="BH451" i="1"/>
  <c r="AB451" i="1" s="1"/>
  <c r="C14" i="10" s="1"/>
  <c r="BH478" i="1"/>
  <c r="AD478" i="1" s="1"/>
  <c r="C16" i="10" s="1"/>
  <c r="H498" i="1"/>
  <c r="I504" i="1"/>
  <c r="AX504" i="1"/>
  <c r="BI504" i="1"/>
  <c r="AE504" i="1" s="1"/>
  <c r="AV508" i="1"/>
  <c r="AV511" i="1"/>
  <c r="BC511" i="1"/>
  <c r="I548" i="1"/>
  <c r="AX548" i="1"/>
  <c r="BC548" i="1" s="1"/>
  <c r="BI548" i="1"/>
  <c r="AX553" i="1"/>
  <c r="I553" i="1"/>
  <c r="BI553" i="1"/>
  <c r="AG553" i="1" s="1"/>
  <c r="AW593" i="1"/>
  <c r="BH593" i="1"/>
  <c r="AF593" i="1" s="1"/>
  <c r="H607" i="1"/>
  <c r="AW607" i="1"/>
  <c r="AX749" i="1"/>
  <c r="BI749" i="1"/>
  <c r="AC749" i="1" s="1"/>
  <c r="I749" i="1"/>
  <c r="C21" i="10"/>
  <c r="C20" i="10"/>
  <c r="AV498" i="1"/>
  <c r="BC498" i="1"/>
  <c r="I502" i="1"/>
  <c r="AX502" i="1"/>
  <c r="BI502" i="1"/>
  <c r="AE502" i="1" s="1"/>
  <c r="AS514" i="1"/>
  <c r="H590" i="1"/>
  <c r="AW590" i="1"/>
  <c r="BH590" i="1"/>
  <c r="AF590" i="1" s="1"/>
  <c r="I603" i="1"/>
  <c r="AX603" i="1"/>
  <c r="AV603" i="1" s="1"/>
  <c r="BI603" i="1"/>
  <c r="AG603" i="1" s="1"/>
  <c r="H627" i="1"/>
  <c r="AW627" i="1"/>
  <c r="H660" i="1"/>
  <c r="AW660" i="1"/>
  <c r="BH660" i="1"/>
  <c r="AF660" i="1" s="1"/>
  <c r="C18" i="14" s="1"/>
  <c r="AU728" i="1"/>
  <c r="C21" i="12"/>
  <c r="C19" i="12"/>
  <c r="BH538" i="1"/>
  <c r="I541" i="1"/>
  <c r="I540" i="1" s="1"/>
  <c r="H541" i="1"/>
  <c r="BH541" i="1"/>
  <c r="AD541" i="1" s="1"/>
  <c r="BI541" i="1"/>
  <c r="AE541" i="1" s="1"/>
  <c r="C17" i="12" s="1"/>
  <c r="I550" i="1"/>
  <c r="AV558" i="1"/>
  <c r="BC563" i="1"/>
  <c r="BC581" i="1"/>
  <c r="BC599" i="1"/>
  <c r="AL607" i="1"/>
  <c r="AU602" i="1" s="1"/>
  <c r="J602" i="1"/>
  <c r="I607" i="1"/>
  <c r="AX607" i="1"/>
  <c r="BI607" i="1"/>
  <c r="AG607" i="1" s="1"/>
  <c r="AV617" i="1"/>
  <c r="BC624" i="1"/>
  <c r="BI627" i="1"/>
  <c r="AG627" i="1" s="1"/>
  <c r="I627" i="1"/>
  <c r="AX627" i="1"/>
  <c r="I630" i="1"/>
  <c r="AX630" i="1"/>
  <c r="H651" i="1"/>
  <c r="AW651" i="1"/>
  <c r="BH651" i="1"/>
  <c r="AF651" i="1" s="1"/>
  <c r="AV663" i="1"/>
  <c r="AW729" i="1"/>
  <c r="BH729" i="1"/>
  <c r="AD729" i="1" s="1"/>
  <c r="C16" i="16" s="1"/>
  <c r="H729" i="1"/>
  <c r="H728" i="1" s="1"/>
  <c r="C20" i="12"/>
  <c r="I538" i="1"/>
  <c r="I529" i="1" s="1"/>
  <c r="I513" i="1" s="1"/>
  <c r="BI538" i="1"/>
  <c r="C27" i="14"/>
  <c r="F27" i="14" s="1"/>
  <c r="C15" i="14"/>
  <c r="AS562" i="1"/>
  <c r="C25" i="14" s="1"/>
  <c r="I566" i="1"/>
  <c r="I562" i="1" s="1"/>
  <c r="AX566" i="1"/>
  <c r="AV566" i="1" s="1"/>
  <c r="BI566" i="1"/>
  <c r="AG566" i="1" s="1"/>
  <c r="C19" i="14" s="1"/>
  <c r="I584" i="1"/>
  <c r="AX584" i="1"/>
  <c r="AV584" i="1" s="1"/>
  <c r="BI584" i="1"/>
  <c r="AG584" i="1" s="1"/>
  <c r="H610" i="1"/>
  <c r="AW610" i="1"/>
  <c r="BH610" i="1"/>
  <c r="AF610" i="1" s="1"/>
  <c r="BC633" i="1"/>
  <c r="BC639" i="1"/>
  <c r="H642" i="1"/>
  <c r="AW642" i="1"/>
  <c r="BH642" i="1"/>
  <c r="AF642" i="1" s="1"/>
  <c r="I657" i="1"/>
  <c r="BI657" i="1"/>
  <c r="AG657" i="1" s="1"/>
  <c r="AX657" i="1"/>
  <c r="BI663" i="1"/>
  <c r="AG663" i="1" s="1"/>
  <c r="AX663" i="1"/>
  <c r="BC663" i="1" s="1"/>
  <c r="AW684" i="1"/>
  <c r="BH684" i="1"/>
  <c r="AF684" i="1" s="1"/>
  <c r="H684" i="1"/>
  <c r="C15" i="12"/>
  <c r="AS529" i="1"/>
  <c r="AV541" i="1"/>
  <c r="C16" i="14"/>
  <c r="H569" i="1"/>
  <c r="H562" i="1" s="1"/>
  <c r="AW569" i="1"/>
  <c r="H587" i="1"/>
  <c r="AW587" i="1"/>
  <c r="AX610" i="1"/>
  <c r="BI610" i="1"/>
  <c r="AG610" i="1" s="1"/>
  <c r="AW613" i="1"/>
  <c r="BH613" i="1"/>
  <c r="AF613" i="1" s="1"/>
  <c r="AW645" i="1"/>
  <c r="H645" i="1"/>
  <c r="BH645" i="1"/>
  <c r="AF645" i="1" s="1"/>
  <c r="BI648" i="1"/>
  <c r="AG648" i="1" s="1"/>
  <c r="I648" i="1"/>
  <c r="AX648" i="1"/>
  <c r="AV657" i="1"/>
  <c r="BC657" i="1"/>
  <c r="AV669" i="1"/>
  <c r="BC669" i="1"/>
  <c r="AL710" i="1"/>
  <c r="AU709" i="1" s="1"/>
  <c r="C27" i="16" s="1"/>
  <c r="F27" i="16" s="1"/>
  <c r="J709" i="1"/>
  <c r="AV742" i="1"/>
  <c r="BC742" i="1"/>
  <c r="AX538" i="1"/>
  <c r="AV538" i="1" s="1"/>
  <c r="BC541" i="1"/>
  <c r="J550" i="1"/>
  <c r="AS550" i="1"/>
  <c r="C17" i="14"/>
  <c r="BC566" i="1"/>
  <c r="AL569" i="1"/>
  <c r="AU562" i="1" s="1"/>
  <c r="J562" i="1"/>
  <c r="I569" i="1"/>
  <c r="AX569" i="1"/>
  <c r="BI569" i="1"/>
  <c r="AG569" i="1" s="1"/>
  <c r="AV578" i="1"/>
  <c r="BC584" i="1"/>
  <c r="I587" i="1"/>
  <c r="AX587" i="1"/>
  <c r="BI587" i="1"/>
  <c r="AG587" i="1" s="1"/>
  <c r="AV596" i="1"/>
  <c r="BC621" i="1"/>
  <c r="BC648" i="1"/>
  <c r="AV648" i="1"/>
  <c r="BC752" i="1"/>
  <c r="AV752" i="1"/>
  <c r="AV693" i="1"/>
  <c r="BC696" i="1"/>
  <c r="AV705" i="1"/>
  <c r="AV713" i="1"/>
  <c r="J728" i="1"/>
  <c r="AX737" i="1"/>
  <c r="BC737" i="1" s="1"/>
  <c r="BI737" i="1"/>
  <c r="AE737" i="1" s="1"/>
  <c r="C17" i="16" s="1"/>
  <c r="I737" i="1"/>
  <c r="BC739" i="1"/>
  <c r="I672" i="1"/>
  <c r="BI672" i="1"/>
  <c r="AG672" i="1" s="1"/>
  <c r="AW701" i="1"/>
  <c r="BH701" i="1"/>
  <c r="AF701" i="1" s="1"/>
  <c r="C15" i="16"/>
  <c r="BC723" i="1"/>
  <c r="AV723" i="1"/>
  <c r="AV737" i="1"/>
  <c r="I739" i="1"/>
  <c r="AX739" i="1"/>
  <c r="AV739" i="1" s="1"/>
  <c r="C14" i="14"/>
  <c r="AV639" i="1"/>
  <c r="BI639" i="1"/>
  <c r="AG639" i="1" s="1"/>
  <c r="H648" i="1"/>
  <c r="H602" i="1" s="1"/>
  <c r="BC666" i="1"/>
  <c r="AV666" i="1"/>
  <c r="H675" i="1"/>
  <c r="BH675" i="1"/>
  <c r="AF675" i="1" s="1"/>
  <c r="AX687" i="1"/>
  <c r="BI687" i="1"/>
  <c r="AG687" i="1" s="1"/>
  <c r="AX710" i="1"/>
  <c r="BC710" i="1" s="1"/>
  <c r="I710" i="1"/>
  <c r="I709" i="1" s="1"/>
  <c r="I718" i="1"/>
  <c r="I717" i="1" s="1"/>
  <c r="AX718" i="1"/>
  <c r="AV718" i="1" s="1"/>
  <c r="BI718" i="1"/>
  <c r="AC718" i="1" s="1"/>
  <c r="BH731" i="1"/>
  <c r="AD731" i="1" s="1"/>
  <c r="H731" i="1"/>
  <c r="AW731" i="1"/>
  <c r="I22" i="2"/>
  <c r="I22" i="8"/>
  <c r="I23" i="2" s="1"/>
  <c r="I27" i="9"/>
  <c r="F29" i="9" s="1"/>
  <c r="I27" i="15"/>
  <c r="AX675" i="1"/>
  <c r="BC675" i="1" s="1"/>
  <c r="I675" i="1"/>
  <c r="AW678" i="1"/>
  <c r="BH678" i="1"/>
  <c r="AF678" i="1" s="1"/>
  <c r="H678" i="1"/>
  <c r="AV687" i="1"/>
  <c r="I690" i="1"/>
  <c r="AX690" i="1"/>
  <c r="AV690" i="1" s="1"/>
  <c r="BI690" i="1"/>
  <c r="AG690" i="1" s="1"/>
  <c r="AV710" i="1"/>
  <c r="AX731" i="1"/>
  <c r="I731" i="1"/>
  <c r="I728" i="1" s="1"/>
  <c r="BH749" i="1"/>
  <c r="AB749" i="1" s="1"/>
  <c r="AW749" i="1"/>
  <c r="H749" i="1"/>
  <c r="H741" i="1" s="1"/>
  <c r="I25" i="2"/>
  <c r="I22" i="10"/>
  <c r="AX681" i="1"/>
  <c r="BC681" i="1" s="1"/>
  <c r="BC687" i="1"/>
  <c r="BH693" i="1"/>
  <c r="AF693" i="1" s="1"/>
  <c r="BH696" i="1"/>
  <c r="AF696" i="1" s="1"/>
  <c r="AW699" i="1"/>
  <c r="C25" i="16"/>
  <c r="AX705" i="1"/>
  <c r="BC705" i="1" s="1"/>
  <c r="J722" i="1"/>
  <c r="J703" i="1" s="1"/>
  <c r="BI723" i="1"/>
  <c r="AC723" i="1" s="1"/>
  <c r="AW727" i="1"/>
  <c r="AX746" i="1"/>
  <c r="BC746" i="1" s="1"/>
  <c r="I18" i="11"/>
  <c r="BC690" i="1"/>
  <c r="H696" i="1"/>
  <c r="I699" i="1"/>
  <c r="I705" i="1"/>
  <c r="I704" i="1" s="1"/>
  <c r="C18" i="16"/>
  <c r="AL742" i="1"/>
  <c r="AU741" i="1" s="1"/>
  <c r="I746" i="1"/>
  <c r="I741" i="1" s="1"/>
  <c r="I27" i="5"/>
  <c r="F29" i="5" s="1"/>
  <c r="F22" i="12"/>
  <c r="F29" i="17"/>
  <c r="C19" i="16"/>
  <c r="I27" i="3"/>
  <c r="F29" i="3" s="1"/>
  <c r="F22" i="8"/>
  <c r="F23" i="2" s="1"/>
  <c r="C29" i="2" s="1"/>
  <c r="F29" i="2" s="1"/>
  <c r="I22" i="16"/>
  <c r="AV681" i="1"/>
  <c r="C21" i="16"/>
  <c r="C20" i="16"/>
  <c r="I722" i="1"/>
  <c r="BI727" i="1"/>
  <c r="BH742" i="1"/>
  <c r="AB742" i="1" s="1"/>
  <c r="C14" i="16" s="1"/>
  <c r="C22" i="16" s="1"/>
  <c r="F22" i="14"/>
  <c r="F29" i="15"/>
  <c r="I27" i="11"/>
  <c r="I27" i="17"/>
  <c r="I449" i="1" l="1"/>
  <c r="H556" i="1"/>
  <c r="I26" i="14"/>
  <c r="I27" i="14" s="1"/>
  <c r="H703" i="1"/>
  <c r="AV651" i="1"/>
  <c r="BC651" i="1"/>
  <c r="BC627" i="1"/>
  <c r="AV627" i="1"/>
  <c r="AV590" i="1"/>
  <c r="BC590" i="1"/>
  <c r="AV593" i="1"/>
  <c r="BC593" i="1"/>
  <c r="AV372" i="1"/>
  <c r="BC372" i="1"/>
  <c r="AV442" i="1"/>
  <c r="BC442" i="1"/>
  <c r="AV445" i="1"/>
  <c r="BC445" i="1"/>
  <c r="BC308" i="1"/>
  <c r="AV308" i="1"/>
  <c r="AV164" i="1"/>
  <c r="BC164" i="1"/>
  <c r="F29" i="11"/>
  <c r="BC569" i="1"/>
  <c r="AV569" i="1"/>
  <c r="AV746" i="1"/>
  <c r="BC603" i="1"/>
  <c r="AV548" i="1"/>
  <c r="BC538" i="1"/>
  <c r="C25" i="12"/>
  <c r="I26" i="12" s="1"/>
  <c r="I27" i="12" s="1"/>
  <c r="BC718" i="1"/>
  <c r="AV464" i="1"/>
  <c r="BC464" i="1"/>
  <c r="BC321" i="1"/>
  <c r="AV321" i="1"/>
  <c r="AV675" i="1"/>
  <c r="AV366" i="1"/>
  <c r="BC366" i="1"/>
  <c r="J210" i="1"/>
  <c r="AV572" i="1"/>
  <c r="BC572" i="1"/>
  <c r="AV341" i="1"/>
  <c r="BC341" i="1"/>
  <c r="AV482" i="1"/>
  <c r="BC482" i="1"/>
  <c r="AV99" i="1"/>
  <c r="BC26" i="1"/>
  <c r="AV26" i="1"/>
  <c r="I28" i="2"/>
  <c r="I29" i="2" s="1"/>
  <c r="BC221" i="1"/>
  <c r="AV221" i="1"/>
  <c r="BC14" i="1"/>
  <c r="AV14" i="1"/>
  <c r="AV208" i="1"/>
  <c r="BC208" i="1"/>
  <c r="C15" i="4"/>
  <c r="BC157" i="1"/>
  <c r="BC123" i="1"/>
  <c r="BC42" i="1"/>
  <c r="AV613" i="1"/>
  <c r="BC613" i="1"/>
  <c r="BC607" i="1"/>
  <c r="AV607" i="1"/>
  <c r="BC553" i="1"/>
  <c r="AV553" i="1"/>
  <c r="AV630" i="1"/>
  <c r="BC630" i="1"/>
  <c r="AV390" i="1"/>
  <c r="BC390" i="1"/>
  <c r="AV344" i="1"/>
  <c r="BC344" i="1"/>
  <c r="BC261" i="1"/>
  <c r="AV261" i="1"/>
  <c r="BC353" i="1"/>
  <c r="AV353" i="1"/>
  <c r="BC257" i="1"/>
  <c r="AV257" i="1"/>
  <c r="AV326" i="1"/>
  <c r="BC326" i="1"/>
  <c r="BC385" i="1"/>
  <c r="AV385" i="1"/>
  <c r="BC160" i="1"/>
  <c r="AV160" i="1"/>
  <c r="AV53" i="1"/>
  <c r="BC53" i="1"/>
  <c r="J556" i="1"/>
  <c r="BC660" i="1"/>
  <c r="AV660" i="1"/>
  <c r="I602" i="1"/>
  <c r="I556" i="1" s="1"/>
  <c r="C22" i="10"/>
  <c r="BC544" i="1"/>
  <c r="AV544" i="1"/>
  <c r="AV488" i="1"/>
  <c r="BC488" i="1"/>
  <c r="AV485" i="1"/>
  <c r="BC485" i="1"/>
  <c r="AV388" i="1"/>
  <c r="BC388" i="1"/>
  <c r="AV457" i="1"/>
  <c r="BC457" i="1"/>
  <c r="J513" i="1"/>
  <c r="AV333" i="1"/>
  <c r="BC265" i="1"/>
  <c r="AV265" i="1"/>
  <c r="AV127" i="1"/>
  <c r="BC127" i="1"/>
  <c r="I26" i="4"/>
  <c r="I27" i="4" s="1"/>
  <c r="BC242" i="1"/>
  <c r="AV242" i="1"/>
  <c r="BC311" i="1"/>
  <c r="BC43" i="1"/>
  <c r="AV43" i="1"/>
  <c r="AV191" i="1"/>
  <c r="BC191" i="1"/>
  <c r="AV148" i="1"/>
  <c r="BC148" i="1"/>
  <c r="BC90" i="1"/>
  <c r="AV90" i="1"/>
  <c r="C18" i="2"/>
  <c r="C22" i="2" s="1"/>
  <c r="BC48" i="1"/>
  <c r="C22" i="14"/>
  <c r="AV369" i="1"/>
  <c r="BC369" i="1"/>
  <c r="BC68" i="1"/>
  <c r="AV68" i="1"/>
  <c r="BC17" i="1"/>
  <c r="AV17" i="1"/>
  <c r="BC425" i="1"/>
  <c r="AV425" i="1"/>
  <c r="I703" i="1"/>
  <c r="AV699" i="1"/>
  <c r="BC699" i="1"/>
  <c r="AV727" i="1"/>
  <c r="BC727" i="1"/>
  <c r="AV701" i="1"/>
  <c r="BC701" i="1"/>
  <c r="AV684" i="1"/>
  <c r="BC684" i="1"/>
  <c r="AV610" i="1"/>
  <c r="BC610" i="1"/>
  <c r="AV729" i="1"/>
  <c r="BC729" i="1"/>
  <c r="H540" i="1"/>
  <c r="H513" i="1" s="1"/>
  <c r="BC502" i="1"/>
  <c r="AV502" i="1"/>
  <c r="C16" i="12"/>
  <c r="C22" i="12" s="1"/>
  <c r="AV407" i="1"/>
  <c r="BC407" i="1"/>
  <c r="C27" i="12"/>
  <c r="F27" i="12" s="1"/>
  <c r="BC494" i="1"/>
  <c r="AV494" i="1"/>
  <c r="AV355" i="1"/>
  <c r="BC355" i="1"/>
  <c r="BC238" i="1"/>
  <c r="AV238" i="1"/>
  <c r="BC403" i="1"/>
  <c r="AV403" i="1"/>
  <c r="BC215" i="1"/>
  <c r="AV215" i="1"/>
  <c r="AV146" i="1"/>
  <c r="BC146" i="1"/>
  <c r="BC143" i="1"/>
  <c r="AV143" i="1"/>
  <c r="BC45" i="1"/>
  <c r="AV45" i="1"/>
  <c r="BC203" i="1"/>
  <c r="AV203" i="1"/>
  <c r="BC94" i="1"/>
  <c r="AV94" i="1"/>
  <c r="BC44" i="1"/>
  <c r="AV44" i="1"/>
  <c r="BC49" i="1"/>
  <c r="AV49" i="1"/>
  <c r="AV429" i="1"/>
  <c r="BC429" i="1"/>
  <c r="AV324" i="1"/>
  <c r="BC324" i="1"/>
  <c r="BC212" i="1"/>
  <c r="BC180" i="1"/>
  <c r="BC141" i="1"/>
  <c r="AV86" i="1"/>
  <c r="BC86" i="1"/>
  <c r="H195" i="1"/>
  <c r="H80" i="1" s="1"/>
  <c r="AV115" i="1"/>
  <c r="BC115" i="1"/>
  <c r="BC64" i="1"/>
  <c r="AV64" i="1"/>
  <c r="I195" i="1"/>
  <c r="I80" i="1" s="1"/>
  <c r="C16" i="6"/>
  <c r="C22" i="6" s="1"/>
  <c r="I26" i="16"/>
  <c r="I27" i="16" s="1"/>
  <c r="AV731" i="1"/>
  <c r="BC731" i="1"/>
  <c r="BC587" i="1"/>
  <c r="AV587" i="1"/>
  <c r="BC642" i="1"/>
  <c r="AV642" i="1"/>
  <c r="BC551" i="1"/>
  <c r="AV551" i="1"/>
  <c r="AV515" i="1"/>
  <c r="BC515" i="1"/>
  <c r="AV749" i="1"/>
  <c r="BC749" i="1"/>
  <c r="AV678" i="1"/>
  <c r="BC678" i="1"/>
  <c r="BC645" i="1"/>
  <c r="AV645" i="1"/>
  <c r="BC504" i="1"/>
  <c r="AV504" i="1"/>
  <c r="C22" i="8"/>
  <c r="AV411" i="1"/>
  <c r="BC411" i="1"/>
  <c r="AV506" i="1"/>
  <c r="BC506" i="1"/>
  <c r="BC217" i="1"/>
  <c r="AV217" i="1"/>
  <c r="BC236" i="1"/>
  <c r="AV236" i="1"/>
  <c r="H477" i="1"/>
  <c r="H449" i="1" s="1"/>
  <c r="BC336" i="1"/>
  <c r="AV336" i="1"/>
  <c r="AV189" i="1"/>
  <c r="BC189" i="1"/>
  <c r="BC338" i="1"/>
  <c r="AV338" i="1"/>
  <c r="BC184" i="1"/>
  <c r="AV184" i="1"/>
  <c r="BC125" i="1"/>
  <c r="AV125" i="1"/>
  <c r="BC74" i="1"/>
  <c r="AV74" i="1"/>
  <c r="C19" i="4"/>
  <c r="C22" i="4" s="1"/>
  <c r="C19" i="2"/>
  <c r="BC51" i="1"/>
  <c r="AV51" i="1"/>
  <c r="AV575" i="1"/>
  <c r="BC575" i="1"/>
  <c r="AV168" i="1"/>
  <c r="BC168" i="1"/>
  <c r="AV131" i="1"/>
  <c r="BC131" i="1"/>
  <c r="C27" i="6"/>
  <c r="F27" i="6" s="1"/>
  <c r="BC61" i="1"/>
  <c r="I26" i="6" l="1"/>
  <c r="I27" i="6" s="1"/>
</calcChain>
</file>

<file path=xl/sharedStrings.xml><?xml version="1.0" encoding="utf-8"?>
<sst xmlns="http://schemas.openxmlformats.org/spreadsheetml/2006/main" count="5063" uniqueCount="1241">
  <si>
    <t>Slepý stavební rozpočet</t>
  </si>
  <si>
    <t>Název stavby:</t>
  </si>
  <si>
    <t>REKONSTRUKCE STŘECHY ZŠ T.G.MASARYKA V IVANČICÍCH</t>
  </si>
  <si>
    <t>Doba výstavby:</t>
  </si>
  <si>
    <t>1 den</t>
  </si>
  <si>
    <t>Objednatel:</t>
  </si>
  <si>
    <t>Město Ivančice</t>
  </si>
  <si>
    <t>Druh stavby:</t>
  </si>
  <si>
    <t>oprava střešní konstrukce</t>
  </si>
  <si>
    <t>Začátek výstavby:</t>
  </si>
  <si>
    <t>13.01.2025</t>
  </si>
  <si>
    <t>Projektant:</t>
  </si>
  <si>
    <t>Tomáš Sýkora</t>
  </si>
  <si>
    <t>Lokalita:</t>
  </si>
  <si>
    <t>ZŠ TGM Ivančice, Na Brněnce 1, 664 91 Ivančice</t>
  </si>
  <si>
    <t>Konec výstavby:</t>
  </si>
  <si>
    <t>Zhotovitel:</t>
  </si>
  <si>
    <t> </t>
  </si>
  <si>
    <t>JKSO:</t>
  </si>
  <si>
    <t>8013212</t>
  </si>
  <si>
    <t>Zpracováno dne:</t>
  </si>
  <si>
    <t>Zpracoval:</t>
  </si>
  <si>
    <t>Č</t>
  </si>
  <si>
    <t>Kód</t>
  </si>
  <si>
    <t>Zkrácený popis</t>
  </si>
  <si>
    <t>MJ</t>
  </si>
  <si>
    <t>Množství</t>
  </si>
  <si>
    <t>Cena/MJ</t>
  </si>
  <si>
    <t>Náklady (Kč)</t>
  </si>
  <si>
    <t>Cenová</t>
  </si>
  <si>
    <t>ISWORK</t>
  </si>
  <si>
    <t>GROUPCODE</t>
  </si>
  <si>
    <t>VATTAX</t>
  </si>
  <si>
    <t xml:space="preserve"> </t>
  </si>
  <si>
    <t>Rozměry</t>
  </si>
  <si>
    <t>(Kč)</t>
  </si>
  <si>
    <t>Dodávka</t>
  </si>
  <si>
    <t>Montáž</t>
  </si>
  <si>
    <t>Celkem</t>
  </si>
  <si>
    <t>soustava</t>
  </si>
  <si>
    <t>Přesuny</t>
  </si>
  <si>
    <t>Typ skupiny</t>
  </si>
  <si>
    <t>HSV mat</t>
  </si>
  <si>
    <t>HSV prac</t>
  </si>
  <si>
    <t>PSV mat</t>
  </si>
  <si>
    <t>PSV prac</t>
  </si>
  <si>
    <t>Mont mat</t>
  </si>
  <si>
    <t>Mont prac</t>
  </si>
  <si>
    <t>Ostatní mat.</t>
  </si>
  <si>
    <t>MAT</t>
  </si>
  <si>
    <t>WORK</t>
  </si>
  <si>
    <t>CELK</t>
  </si>
  <si>
    <t/>
  </si>
  <si>
    <t>Staveniště</t>
  </si>
  <si>
    <t>M000VD</t>
  </si>
  <si>
    <t>Preambule</t>
  </si>
  <si>
    <t>00</t>
  </si>
  <si>
    <t>1</t>
  </si>
  <si>
    <t>0001</t>
  </si>
  <si>
    <t>!!!UPOZORNĚNÍ k nacenění rozpočtu, čtěte popis této položky!!!</t>
  </si>
  <si>
    <t>2</t>
  </si>
  <si>
    <t>M000VD_</t>
  </si>
  <si>
    <t>00_9_</t>
  </si>
  <si>
    <t>00_</t>
  </si>
  <si>
    <t xml:space="preserve">Rozpočet je zpracován dle projektové dokumentace ""REKONSTRUKCE STŘECHY 
ZŠ T.G.MASARYKA V IVANČICÍCH"
"
- technické zprávy
-výkresové dokumentace
</t>
  </si>
  <si>
    <t>94</t>
  </si>
  <si>
    <t>Lešení a stavební výtahy</t>
  </si>
  <si>
    <t>941941032RT4</t>
  </si>
  <si>
    <t>Montáž lešení lehkého řadového s podlahami, š. do 1 m, výšky do 30 m</t>
  </si>
  <si>
    <t>m2</t>
  </si>
  <si>
    <t>RTS II / 2024</t>
  </si>
  <si>
    <t>94_</t>
  </si>
  <si>
    <t>lešení rámové pronajaté
cena za lešení bude zohledňovat skutečné množství podlah. Podlahy budou v nejvyšším podlaží u okapu a v místech svodů bleskosvodu
v ceně je i doprava lešení</t>
  </si>
  <si>
    <t>12,05*8,70+(+4,72+1,0+1,0+1,57+1,0+6,25+1,0+1,57+52,32+1,0)*14,82</t>
  </si>
  <si>
    <t>jižní a východní fasáda</t>
  </si>
  <si>
    <t>(35,90*1,0*2)*12,93+14,0*3,70</t>
  </si>
  <si>
    <t>severení fasáda</t>
  </si>
  <si>
    <t>(15,25+1,0*2)*11,98</t>
  </si>
  <si>
    <t>západní fasáda</t>
  </si>
  <si>
    <t>(61,30+1,0*6)*12,85</t>
  </si>
  <si>
    <t>vnitroblok</t>
  </si>
  <si>
    <t>(40,35*2+10,90*2+3,1*2+16*1,0)*6,79</t>
  </si>
  <si>
    <t>tělocvična</t>
  </si>
  <si>
    <t>-(4,0*3,25+10,0*3,25)</t>
  </si>
  <si>
    <t>odečet krček a štít</t>
  </si>
  <si>
    <t>RTS komentář:</t>
  </si>
  <si>
    <t>Položka je kalkulována pro fasádní rámové lešení a nečlenitou fasádu. Pro fasádu členitou je vhodné použít individuální kalkulaci</t>
  </si>
  <si>
    <t>3</t>
  </si>
  <si>
    <t>998009101R00</t>
  </si>
  <si>
    <t>Přesun hmot lešení samostatně budovaného</t>
  </si>
  <si>
    <t>t</t>
  </si>
  <si>
    <t>5</t>
  </si>
  <si>
    <t>4016,2746*0,01838</t>
  </si>
  <si>
    <t>Položka je určena pro přesun hmot lešení bez ohledu na výšku</t>
  </si>
  <si>
    <t>4</t>
  </si>
  <si>
    <t>941941192RT4</t>
  </si>
  <si>
    <t>Příplatek za použití lešení lehkého řadového s podlahami, š. do 1 m, výšky do 30 m</t>
  </si>
  <si>
    <t>lešení rámové pronajaté
cena za lešení bude zohledňovat skutečné množství podlah. Podlahy budou v nejvyšším podlaží u okapu a v místech svodů bleskosvodu</t>
  </si>
  <si>
    <t>4016,2746*3</t>
  </si>
  <si>
    <t>V ceně je zahrnuto protokolární předání a převzetí lešení a veškeré revize stavu lešení</t>
  </si>
  <si>
    <t>941944832R00</t>
  </si>
  <si>
    <t>Demontáž lešení leh.řad.bez podlah,š.1 m,H 30 m</t>
  </si>
  <si>
    <t>cena za lešení bude zohledňovat skutečné množství podlah. Podlahy budou v nejvyšším podlaží u okapu a v místech svodů bleskosvodu
v ceně je i doprava lešení</t>
  </si>
  <si>
    <t>M005VD</t>
  </si>
  <si>
    <t>Vedlejší náklady</t>
  </si>
  <si>
    <t>6</t>
  </si>
  <si>
    <t>005121010R</t>
  </si>
  <si>
    <t>Vybudování zařízení staveniště</t>
  </si>
  <si>
    <t>Soubor</t>
  </si>
  <si>
    <t>vlastní</t>
  </si>
  <si>
    <t>M005VD_</t>
  </si>
  <si>
    <t>7</t>
  </si>
  <si>
    <t>005121020R</t>
  </si>
  <si>
    <t>Provoz zařízení staveniště</t>
  </si>
  <si>
    <t>8</t>
  </si>
  <si>
    <t>005121030R</t>
  </si>
  <si>
    <t>Odstranění zařízení staveniště</t>
  </si>
  <si>
    <t>9</t>
  </si>
  <si>
    <t>005122010R</t>
  </si>
  <si>
    <t>Provoz objednatele</t>
  </si>
  <si>
    <t>10</t>
  </si>
  <si>
    <t>005124010R</t>
  </si>
  <si>
    <t>Koordinační činnost</t>
  </si>
  <si>
    <t>11</t>
  </si>
  <si>
    <t>005124011R</t>
  </si>
  <si>
    <t>Výrobní dokumentace</t>
  </si>
  <si>
    <t>12</t>
  </si>
  <si>
    <t>005124012R</t>
  </si>
  <si>
    <t>Dokumentace skutečného provedení stavby</t>
  </si>
  <si>
    <t>13</t>
  </si>
  <si>
    <t>00512401RVD1</t>
  </si>
  <si>
    <t>Zvýšené zabezpečení proti zatečení do objektu</t>
  </si>
  <si>
    <t>S</t>
  </si>
  <si>
    <t>Přesuny sutí</t>
  </si>
  <si>
    <t>14</t>
  </si>
  <si>
    <t>979011111R00</t>
  </si>
  <si>
    <t>Svislá doprava suti a vybour. hmot za 2.NP a 1.PP</t>
  </si>
  <si>
    <t>S_</t>
  </si>
  <si>
    <t>Položka je určena pro dopravu suti a vybouraných hmot za prvé podlaží nad nebo pod základním podlažím. Svislá doprava suti ze základního podlaží se neoceňuje. Základním podlažím je zpravidla přízemí</t>
  </si>
  <si>
    <t>15</t>
  </si>
  <si>
    <t>979011121R00</t>
  </si>
  <si>
    <t>Příplatek za každé další podlaží</t>
  </si>
  <si>
    <t>76,34449*3</t>
  </si>
  <si>
    <t>16</t>
  </si>
  <si>
    <t>979082111R00</t>
  </si>
  <si>
    <t>Vnitrostaveništní doprava suti do 10 m</t>
  </si>
  <si>
    <t>RTS I / 2019</t>
  </si>
  <si>
    <t>76,34449</t>
  </si>
  <si>
    <t>Poznámka:</t>
  </si>
  <si>
    <t>+2</t>
  </si>
  <si>
    <t>17</t>
  </si>
  <si>
    <t>979082121R00</t>
  </si>
  <si>
    <t>Příplatek k vnitrost. dopravě suti za dalších 5 m</t>
  </si>
  <si>
    <t>76,34449*12;vzdálenost 60 m</t>
  </si>
  <si>
    <t>+3</t>
  </si>
  <si>
    <t>18</t>
  </si>
  <si>
    <t>979081111R00</t>
  </si>
  <si>
    <t>Odvoz suti a vybour. hmot na skládku do 1 km</t>
  </si>
  <si>
    <t>19</t>
  </si>
  <si>
    <t>979081121RT3</t>
  </si>
  <si>
    <t>Příplatek k odvozu za každý další 1 km</t>
  </si>
  <si>
    <t>kontejnerem 7 t</t>
  </si>
  <si>
    <t>76,34449*16;vzdálenost 10 km</t>
  </si>
  <si>
    <t>20</t>
  </si>
  <si>
    <t>979990101R00</t>
  </si>
  <si>
    <t>Poplatek za sklád.suti-směs bet.a cihel do 30x30cm</t>
  </si>
  <si>
    <t>163,82316</t>
  </si>
  <si>
    <t>-25,62</t>
  </si>
  <si>
    <t>krytina</t>
  </si>
  <si>
    <t>-10,6</t>
  </si>
  <si>
    <t>-19,93</t>
  </si>
  <si>
    <t>21</t>
  </si>
  <si>
    <t>979999996R00</t>
  </si>
  <si>
    <t>Poplatek za recyklaci asfaltu, kusovost nad 1600 cm2 (skup.170302)</t>
  </si>
  <si>
    <t>25,62+10,6</t>
  </si>
  <si>
    <t>Thermoservis - transport s.r.o. Roviny 4 643 00 Brno – Chrlice, ČR IČ: 269 12 643 DIČ: CZ 269 12 64</t>
  </si>
  <si>
    <t>22</t>
  </si>
  <si>
    <t>979990161R00</t>
  </si>
  <si>
    <t>Poplatek za uložení - dřevo, skupina odpadu 170201</t>
  </si>
  <si>
    <t>19,93</t>
  </si>
  <si>
    <t>záklop</t>
  </si>
  <si>
    <t>Střecha nad tělocvičnou</t>
  </si>
  <si>
    <t>762</t>
  </si>
  <si>
    <t>Konstrukce tesařské</t>
  </si>
  <si>
    <t>01</t>
  </si>
  <si>
    <t>23</t>
  </si>
  <si>
    <t>762811811R00</t>
  </si>
  <si>
    <t>Demontáž záklopů z hrubých prken tl. do 3,2 cm</t>
  </si>
  <si>
    <t>762_</t>
  </si>
  <si>
    <t>01_76_</t>
  </si>
  <si>
    <t>01_</t>
  </si>
  <si>
    <t>včetně zadlabání (zaříznutí) námětku (pro srovnání výškového rozdílu po provedení oplechování)</t>
  </si>
  <si>
    <t>0,30*(12,41+7,71+3,10+8,40+3,10+10,90+40,35+10,90)</t>
  </si>
  <si>
    <t>okap střechy nad tělocvičnou</t>
  </si>
  <si>
    <t>0,10*2*(29,79+3,59)</t>
  </si>
  <si>
    <t>hřeben pro odvětrávání</t>
  </si>
  <si>
    <t>24</t>
  </si>
  <si>
    <t>762811210RT3</t>
  </si>
  <si>
    <t>Montáž záklopu, vrchní na sraz, hrubá prkna</t>
  </si>
  <si>
    <t>včetně dodávky řeziva, prkna tl. 24 mm</t>
  </si>
  <si>
    <t>0,285*(29,80+2,90+3,60)*2</t>
  </si>
  <si>
    <t>K51,K55, K142</t>
  </si>
  <si>
    <t>25</t>
  </si>
  <si>
    <t>76234220VD01</t>
  </si>
  <si>
    <t>Montáž nárožních kontralatí přibitím</t>
  </si>
  <si>
    <t>m</t>
  </si>
  <si>
    <t>8,95*2*2</t>
  </si>
  <si>
    <t>K47</t>
  </si>
  <si>
    <t>6,90*2</t>
  </si>
  <si>
    <t>K50</t>
  </si>
  <si>
    <t>V položce nejsou zakalkulovány náklady na dodávku řeziva.Tato dodávka se oceňuje ve specifikaci ztratné se doporučuje ve výši 10 %</t>
  </si>
  <si>
    <t>26</t>
  </si>
  <si>
    <t>60515810</t>
  </si>
  <si>
    <t>Hranol konstrukční KVH NSi, SM, C24, 60 x 60 mm, 5 m</t>
  </si>
  <si>
    <t>m3</t>
  </si>
  <si>
    <t>8,95*2*2*(0,06*0,06)</t>
  </si>
  <si>
    <t>6,90*2*(0,06*0,06)</t>
  </si>
  <si>
    <t>;ztratné 15%; 0,026784</t>
  </si>
  <si>
    <t>Stavební masivní dřevo KVH  Vizuálně nebo strojově dle pevnosti tříděné, technicky sušené a kalibrované masivní dřevo s definovanou rozměrovou stálostí pro viditelné a neviditelné úseky.  Masivní konstrukční dřevo (KVH) jsou profily z jehličnatého dřeva (převážně smrku) pro použití v moderních dřevěných stavbách. KVH profily jsou čtyřstranně hoblované a mají sražené hrany. Délkovým nastavováním jednotlivých profilů pomocí zubovitého spoje lze dosahovat délek až 18 m. Profily jsou technicky vysušeny na vlhkost 15 ± 3 %. Podle účelu použití se rozlišují dva druhy KVH profilů, které se však od sebe odlišují pouze vlastnostmi povrchu:  * KVH-Si pro pohledové konstrukce  * KVH-NSi pro nepohledové konstrukce</t>
  </si>
  <si>
    <t>27</t>
  </si>
  <si>
    <t>762342911VD1</t>
  </si>
  <si>
    <t>Montovaný prvek vynášející hřeben střechy D+M</t>
  </si>
  <si>
    <t>Ks</t>
  </si>
  <si>
    <t>RTS II / 2021</t>
  </si>
  <si>
    <t>latě 3/5 cm, OSB ECO typ 3 tl. 25 mm
2KS/KROKEV</t>
  </si>
  <si>
    <t>38*2</t>
  </si>
  <si>
    <t>K51,K55, K142,</t>
  </si>
  <si>
    <t>28</t>
  </si>
  <si>
    <t>762911111R00</t>
  </si>
  <si>
    <t>Impregnace řeziva máčením Bochemit QB</t>
  </si>
  <si>
    <t>(0,30*(12,41+7,71+3,10+8,40+3,10+10,90+40,35+10,90))*2*1,1</t>
  </si>
  <si>
    <t>(0,285*(29,80+2,90+3,60)*2)*2*1,1</t>
  </si>
  <si>
    <t>8,95*2*2*(0,06*4)</t>
  </si>
  <si>
    <t>6,90*2*(0,06*4)</t>
  </si>
  <si>
    <t>;ztratné 15%; 18,20376</t>
  </si>
  <si>
    <t>Koncentrovaný vodou ředitelný fungicidní a insekticidní přípravek na dřevo i zdivo. Přípravek poskytuje dlouhodobou ochranu proti dřevokaznému hmyzu, dřevokazným houbám a plísním. Aplikuje se máčením (1x).</t>
  </si>
  <si>
    <t>29</t>
  </si>
  <si>
    <t>762395000R00</t>
  </si>
  <si>
    <t>Spojovací a ochranné prostředky pro střechy</t>
  </si>
  <si>
    <t>0,30*(12,41+7,71+3,10+8,40+3,10+10,90+40,35+10,90)*0,024</t>
  </si>
  <si>
    <t>0,10*2*(29,79+3,59)*0,024</t>
  </si>
  <si>
    <t>Položka je určena pouze pro soubory:  762 33 Montáž vázaných konstrukcí krovů 762 34 Montáž bednění a laťování, 762 35 Montáž nadstřešních konstrukcí, 762 36 Montáž spádových klínů.</t>
  </si>
  <si>
    <t>30</t>
  </si>
  <si>
    <t>998762103R00</t>
  </si>
  <si>
    <t>Přesun hmot pro tesařské konstrukce, výšky do 24 m</t>
  </si>
  <si>
    <t>764</t>
  </si>
  <si>
    <t>Konstrukce klempířské</t>
  </si>
  <si>
    <t>31</t>
  </si>
  <si>
    <t>764900035RAAVD01</t>
  </si>
  <si>
    <t>Demontáž podokapních žlabů půlkruhových</t>
  </si>
  <si>
    <t>764_</t>
  </si>
  <si>
    <t>z plechu TiZn, včetně háků</t>
  </si>
  <si>
    <t>7,71+3,275+8,75+3,275+2,175+11,25+40,70+11,25+12,58</t>
  </si>
  <si>
    <t>X04</t>
  </si>
  <si>
    <t>V položce není kalkulován poplatek za skládku pro vybouranou suť. Tyto náklady se oceňují individuálně podle místních podmínek. Orientační hmotnost vybouraných konstrukcí je 0,005 t/m konstrukce.</t>
  </si>
  <si>
    <t>32</t>
  </si>
  <si>
    <t>764323820R00</t>
  </si>
  <si>
    <t>Demontáž oplechování okapů, živičná krytina, rš 250 mm</t>
  </si>
  <si>
    <t>X08</t>
  </si>
  <si>
    <t>33</t>
  </si>
  <si>
    <t>764337850R00</t>
  </si>
  <si>
    <t>Demontáž lemování zdí ze segmentů,rš do 500 mm</t>
  </si>
  <si>
    <t>(5,38+1,30)*2</t>
  </si>
  <si>
    <t>34</t>
  </si>
  <si>
    <t>764392841R00</t>
  </si>
  <si>
    <t>Demontáž úžlabí, rš 500 mm, sklon do 45°</t>
  </si>
  <si>
    <t>6,0*2</t>
  </si>
  <si>
    <t>X10</t>
  </si>
  <si>
    <t>35</t>
  </si>
  <si>
    <t>764218111R00</t>
  </si>
  <si>
    <t>Strukturní oddělovací vrstva s paropropustnou folií a lepící páskou v přesahu</t>
  </si>
  <si>
    <t>systémový výrobek dodavatele krytiny</t>
  </si>
  <si>
    <t>37,33+192,40+15,93+22,62*2+22,09+37,33+238,48</t>
  </si>
  <si>
    <t>K22,K23,K24,K25,K26 -  nad tělocvičnou</t>
  </si>
  <si>
    <t xml:space="preserve">Strukturní dělicí vrstva pro krytiny z plechu TiZn </t>
  </si>
  <si>
    <t>36</t>
  </si>
  <si>
    <t>764212623RT3</t>
  </si>
  <si>
    <t>Krytina TiZn, svitky rš 670 mm, do 45° - VIZ VÝPIS KLEMPÍŘSKÝCH VÝROBKŮ</t>
  </si>
  <si>
    <t>plech v předzvětralém vzhledu z výroby (břidlicově šedá úprava)</t>
  </si>
  <si>
    <t>(37,33+192,40+15,93+22,62*2+22,09+37,33+238,48+15,93)*1,1</t>
  </si>
  <si>
    <t>K22,K23,K24,K25,K26,K27 -  nad tělocvičnou</t>
  </si>
  <si>
    <t xml:space="preserve">Střešní krytina z plechu TiZn hladká ze svitku tl.0,7 mm, RŠ 670 mm, systém dvojité stojaté drážky, se sklonem od 30° do 45°. </t>
  </si>
  <si>
    <t>37</t>
  </si>
  <si>
    <t>764222491R00</t>
  </si>
  <si>
    <t>Montáž oplechování okapů TiZn,- VIZ VÝPIS KLEMPÍŘSKÝCH VÝROBKŮ</t>
  </si>
  <si>
    <t>R.Š. 333 mm
TiZn plechu tl. 0,7 mm ve předzvětralém vzhledu z výroby (břidlicově šedá úprava)</t>
  </si>
  <si>
    <t>7,71+3,10*2+8,40+2,00+10,90*2+40,35+12,41</t>
  </si>
  <si>
    <t>K08,K09,K10,K11,K12,K13,K14 - zatahovací (okapnicový) pás</t>
  </si>
  <si>
    <t>38</t>
  </si>
  <si>
    <t>1911331023VD1</t>
  </si>
  <si>
    <t>Svit.š.670mm,TiZn plechu tl. 0,7 mm ve předzvětralém vzhledu z výroby (břidlicově šedá úprava),</t>
  </si>
  <si>
    <t>;ztratné 10%; 9,887</t>
  </si>
  <si>
    <t>39</t>
  </si>
  <si>
    <t>764394230R00</t>
  </si>
  <si>
    <t>Vyztužovací pás z Pz plechu rš 250 mm D+M tl. 0,8 mm - VIZ VÝPIS KLEMPÍŘSKÝCH VÝROBKŮ</t>
  </si>
  <si>
    <t>K01,K02,K03,K04,K05,K06,K07 - zatahovací (okapnicový) pás</t>
  </si>
  <si>
    <t>40</t>
  </si>
  <si>
    <t>764252605VD1</t>
  </si>
  <si>
    <t>Žlab podokapní půlkulatý TiZn RHEINZINK rš. 333 mm - VIZ VÝPIS KLEMPÍŘSKÝCH VÝROBKŮ</t>
  </si>
  <si>
    <t>12,41+7,71+3,40*2+8,70+2,30+11,20*2+4,65</t>
  </si>
  <si>
    <t>K28,K29,K30,K31,K32,K33,K34</t>
  </si>
  <si>
    <t>41</t>
  </si>
  <si>
    <t>764248493VD1</t>
  </si>
  <si>
    <t>Montáž zachytače sněhu z Ti Zn podélného - VIZ VÝPIS KLEMPÍŘSKÝCH VÝROBKŮ</t>
  </si>
  <si>
    <t>K35,K36,K37,K38,K39,K40,K41</t>
  </si>
  <si>
    <t>42</t>
  </si>
  <si>
    <t>19115101VD1</t>
  </si>
  <si>
    <t>Montážní svorka na uchycení trubkového zachytávače sněhu</t>
  </si>
  <si>
    <t>kus</t>
  </si>
  <si>
    <t>108,28333</t>
  </si>
  <si>
    <t>;ztratné 3%; 3,2484999</t>
  </si>
  <si>
    <t>43</t>
  </si>
  <si>
    <t>19115101VD2</t>
  </si>
  <si>
    <t>AL trubka zachytávače sněhu</t>
  </si>
  <si>
    <t>64,97</t>
  </si>
  <si>
    <t>;ztratné 5%; 3,2485</t>
  </si>
  <si>
    <t>44</t>
  </si>
  <si>
    <t>19115101VD3</t>
  </si>
  <si>
    <t>spojka trubek</t>
  </si>
  <si>
    <t>10,82833</t>
  </si>
  <si>
    <t>;ztratné 10%; 1,082833</t>
  </si>
  <si>
    <t>45</t>
  </si>
  <si>
    <t>19115101VD4</t>
  </si>
  <si>
    <t>zachytávač ledu</t>
  </si>
  <si>
    <t>;ztratné 5%; 5,4141665</t>
  </si>
  <si>
    <t>46</t>
  </si>
  <si>
    <t>764292651RT3</t>
  </si>
  <si>
    <t>Lemování TiZn, napojení na stěnu - VIZ VÝPIS KLEMPÍŘSKÝCH VÝROBKŮ</t>
  </si>
  <si>
    <t>PŘEDZVĚTRALY TiZn TL. 0,7 MM</t>
  </si>
  <si>
    <t>7,2*2</t>
  </si>
  <si>
    <t>K42,K137</t>
  </si>
  <si>
    <t>Boční lemování z plechu TiZn na střechách s plechovou krytinou z TiZn, systém dvojité stojaté drážky, boční napojení na stěnu DVOJDÍLNÉ 0,926 kg krycí lišta, RŠ 167 mm, tl. 0,7 mm 0,832 kg oplechování zdi RŠ 125 mm, tl. 0,7 mm</t>
  </si>
  <si>
    <t>47</t>
  </si>
  <si>
    <t>764292633RT3</t>
  </si>
  <si>
    <t>Úžlabí TiZn TL. 0,7 MM,rš.800,ležatá drážka,nad 10° - VIZ VÝPIS VÝPLNÍ OTVORŮ</t>
  </si>
  <si>
    <t>PŘEDZVĚTRALÝ Z VÝROBY - ŠEDÝ
včetně PŘÍDAVNÉHO "Z" PROFILU PŘIPÁJKOVANÉHO</t>
  </si>
  <si>
    <t>6,00*2</t>
  </si>
  <si>
    <t>K43,K44</t>
  </si>
  <si>
    <t>6,85*2</t>
  </si>
  <si>
    <t>K45,K46</t>
  </si>
  <si>
    <t>48</t>
  </si>
  <si>
    <t>764394320VD1</t>
  </si>
  <si>
    <t>Podkladní pás z FeZn plechu rš 167 mm D+M tl. 0,8 mm D+M</t>
  </si>
  <si>
    <t>VIZ VÝPIS KLEMPÍŘSKÝCH VÝROBKŮ</t>
  </si>
  <si>
    <t>K48</t>
  </si>
  <si>
    <t>;ztratné 15%; 7,44</t>
  </si>
  <si>
    <t>49</t>
  </si>
  <si>
    <t>764521491VD1</t>
  </si>
  <si>
    <t>Montáž oplechování nárožní lišty R.š. 200 mm</t>
  </si>
  <si>
    <t>K49</t>
  </si>
  <si>
    <t>50</t>
  </si>
  <si>
    <t>Svit.š.670mm, PŘEDZVĚTRALÝ TL. 0,7 MM - VIZ VÝPIS KLEMPÍŘSKÝCH VÝROBKŮ</t>
  </si>
  <si>
    <t>51</t>
  </si>
  <si>
    <t>764292611RT3</t>
  </si>
  <si>
    <t>Oplechování hřebene TiZn, s odvětráním - VIZ VÝPIS KLEMPÍŘSKÝCH VÝROBKŮ</t>
  </si>
  <si>
    <t>PŘEDZVĚTRALÝ BŘIDLICOVĚ ŠEDÝ Z VÝROBY
R.Š. 750 MM</t>
  </si>
  <si>
    <t>29,80+3,60</t>
  </si>
  <si>
    <t>K51,K55</t>
  </si>
  <si>
    <t>2,90</t>
  </si>
  <si>
    <t>K142</t>
  </si>
  <si>
    <t>52</t>
  </si>
  <si>
    <t>Podkladní pás z Pz plechu rš 250 mm - VIZ VÝPIS KLEMPÍŘSKÝCH VÝROBKŮ</t>
  </si>
  <si>
    <t xml:space="preserve">FeZn TL. 0,80 MM
</t>
  </si>
  <si>
    <t>29,80*2</t>
  </si>
  <si>
    <t>K53</t>
  </si>
  <si>
    <t>3,60*2</t>
  </si>
  <si>
    <t>K57</t>
  </si>
  <si>
    <t>3,20*2</t>
  </si>
  <si>
    <t>K143</t>
  </si>
  <si>
    <t>53</t>
  </si>
  <si>
    <t>764530492VD1</t>
  </si>
  <si>
    <t>Montáž oplechování čela hřebene Ti Zn</t>
  </si>
  <si>
    <t>K54</t>
  </si>
  <si>
    <t>54</t>
  </si>
  <si>
    <t>19113310342</t>
  </si>
  <si>
    <t>Svit.š.570mm,TiZn TL. 0,7 MM, PŘEDZVĚTRALÝ BŘIDLOCOVĚ ŠEDÝ Z VÝROBY</t>
  </si>
  <si>
    <t>0,5*3</t>
  </si>
  <si>
    <t>55</t>
  </si>
  <si>
    <t>998764202R00</t>
  </si>
  <si>
    <t>Přesun hmot pro klempířské konstr., výšky do 12 m</t>
  </si>
  <si>
    <t>%</t>
  </si>
  <si>
    <t>2062000*0,01</t>
  </si>
  <si>
    <t>765</t>
  </si>
  <si>
    <t>Krytina tvrdá</t>
  </si>
  <si>
    <t>56</t>
  </si>
  <si>
    <t>765361810R00</t>
  </si>
  <si>
    <t>Demontáž šindelové krytiny, do suti</t>
  </si>
  <si>
    <t>765_</t>
  </si>
  <si>
    <t>včetně pojistné HI</t>
  </si>
  <si>
    <t>X01 - nad tělocvičnou</t>
  </si>
  <si>
    <t>57</t>
  </si>
  <si>
    <t>765312785VD1</t>
  </si>
  <si>
    <t>Pás ochranný větrací okapní kotvený do záklopu - VIZ VÝPIS KLEMPÍŘSKÝCH VÝROBKŮ</t>
  </si>
  <si>
    <t>K15,K16,K17,K18,K19,K20,K21</t>
  </si>
  <si>
    <t>29,80*2+3,60*2</t>
  </si>
  <si>
    <t>K52,K56</t>
  </si>
  <si>
    <t>2,90*2</t>
  </si>
  <si>
    <t>K144</t>
  </si>
  <si>
    <t>58</t>
  </si>
  <si>
    <t>191135105</t>
  </si>
  <si>
    <t>Tahokov,AERO63, svitek,TiZn PŘÍRODNÍ TL. 1,0 mm</t>
  </si>
  <si>
    <t>;ztratné 10%; 17,147</t>
  </si>
  <si>
    <t>59</t>
  </si>
  <si>
    <t>998765201R00</t>
  </si>
  <si>
    <t>Přesun hmot pro krytiny tvrdé, výšky do 6 m</t>
  </si>
  <si>
    <t>230000*0,01</t>
  </si>
  <si>
    <t>Střecha nad hlavní budovou</t>
  </si>
  <si>
    <t>713</t>
  </si>
  <si>
    <t>Izolace tepelné</t>
  </si>
  <si>
    <t>02</t>
  </si>
  <si>
    <t>60</t>
  </si>
  <si>
    <t>713105122R00</t>
  </si>
  <si>
    <t>Odstranění tepelné izolace střech šikmých, volně uložené, z desek minerálních, tl. 100 - 200 mm</t>
  </si>
  <si>
    <t>713_</t>
  </si>
  <si>
    <t>02_71_</t>
  </si>
  <si>
    <t>02_</t>
  </si>
  <si>
    <t>(5,1*(62,9+8,00+34,50)+5,1*(18,55+11,50+18,40+4,0*4,0))*0,88</t>
  </si>
  <si>
    <t>X01</t>
  </si>
  <si>
    <t>-(0,78*1,40)*131</t>
  </si>
  <si>
    <t>OKNA</t>
  </si>
  <si>
    <t>61</t>
  </si>
  <si>
    <t>713111130RVD1</t>
  </si>
  <si>
    <t>Montáž tepelné izolace krovů shora, vložená mezi krokve</t>
  </si>
  <si>
    <t>NS02</t>
  </si>
  <si>
    <t>62</t>
  </si>
  <si>
    <t>6315085951</t>
  </si>
  <si>
    <t>Pás izolační UNIROL PROFI, tl. 160 mm</t>
  </si>
  <si>
    <t>;ztratné 10%; 76,22868</t>
  </si>
  <si>
    <t>Rozměry 2900x1200x160 mm  Izolační rolované pásy vyrobené ze skelné plsti mají po celém povrchu hydrofobizované vlákna. Výroba je založena na metodě rozvlákňování taveniny skla a dalších příměsí a přísad. Vytvořená minerální vlákna se v rámci výrobní linky zpracují do finálního tvaru pásu. Izolaci je nutné v konstrukci chránit vhodným způsobem (parotěsnicí fólie, vhodná ochrana proti usazování prachu u volně ložených izolací, další vrstvy dvojitých konstrukcí). Izolace je ekologicky a hygienicky nezávadná a odolná vůči plísním, houbám a dřevokaznému hmyzu.  Skelné izolační pásy s vynikajícími tepelně-izolačními vlastnostmi jsou určené jako tepelná a akustická izolace šikmých střech a stropů. Zvláště energeticky úsporný typ izolace.  Balení 3,48 m2  Lambda ?D = 0,033 W·m-1·K-1</t>
  </si>
  <si>
    <t>63</t>
  </si>
  <si>
    <t>713161111R00</t>
  </si>
  <si>
    <t>Montáž tepelné izolace krovů shora, z dřevovláknitých desek, pojistná hydroizolace, kontralatě</t>
  </si>
  <si>
    <t>vč. dodávky kontralatí 40×60 mm</t>
  </si>
  <si>
    <t>82,60+442,40+350,10+213,93+205,08+68,95+30,24+30,24</t>
  </si>
  <si>
    <t>Položka obsahuje montáž dřevovláknité desky, pojistné hydroizolace s přelepením spojů, kontralatí o rozteči 1000 mm a nerezových samořezných vrutů. Položka neobsahuje dodávku dřevovláknitých desek a pojistné hydroizolace.  17. 9. 2019 opravena spotřeba vrutů z 12,24 na 1,675 ks/m2</t>
  </si>
  <si>
    <t>64</t>
  </si>
  <si>
    <t>60715326</t>
  </si>
  <si>
    <t>Deska dřevovláknitá Special dry, tl. 80 mm, P+D</t>
  </si>
  <si>
    <t>;ztratné 2%; 28,4708</t>
  </si>
  <si>
    <t>Dřevovláknitá deska určená k renovaci podkroví a stěn, možnost ukládání izolace přímo na krokve bez deskování, ochraňuje před větrem, vlhkostí a hlukem. hydrofobizovaná izolační stěnová deska vyráběná suchým způsobem  rozměr 1800 x 600 mm Objemová hmotnost 140 kg/m3 Součinitel tepelné vodivosti 0,040 W/m</t>
  </si>
  <si>
    <t>65</t>
  </si>
  <si>
    <t>67352181.A</t>
  </si>
  <si>
    <t>Fólie hydroizolační PE-HD, Solid tl. 0,22 mm, difúzní</t>
  </si>
  <si>
    <t>;ztratné 13%; 185,0602</t>
  </si>
  <si>
    <t xml:space="preserve">Difúzní kontaktní pojistná hydroizolace pro šikmé střešní konstrukce s pokládkou na bednění či na tepelnou izolaci. Opatřena antireflexním potiskem pro snazší instalaci. Funkční vrstva 0,220 mm ze stabilizovaného polyethylenu pro lepší odolnost vůči UV záření.  Balení: role 1,5 x 50 </t>
  </si>
  <si>
    <t>66</t>
  </si>
  <si>
    <t>998713203R00</t>
  </si>
  <si>
    <t>Přesun hmot pro izolace tepelné, výšky do 24 m</t>
  </si>
  <si>
    <t>2189000*0,01</t>
  </si>
  <si>
    <t>67</t>
  </si>
  <si>
    <t>Demontáž záklopů z hrubých prken tl. do 3,2 cm - X01</t>
  </si>
  <si>
    <t>02_76_</t>
  </si>
  <si>
    <t>68</t>
  </si>
  <si>
    <t>11,20+12,70+12,70*2</t>
  </si>
  <si>
    <t>K120,K122,K124</t>
  </si>
  <si>
    <t>69</t>
  </si>
  <si>
    <t>(11,20+12,70+12,70*2)*(0,06*0,06)</t>
  </si>
  <si>
    <t>;ztratné 15%; 0,053406</t>
  </si>
  <si>
    <t>70</t>
  </si>
  <si>
    <t>latě 3/5 cm, OSB ECO typ 3 tl. 25 mm</t>
  </si>
  <si>
    <t>(5,20+48,10+1,80+20,90+7,20)/1*2</t>
  </si>
  <si>
    <t>K105,K106,K107,K108,K114</t>
  </si>
  <si>
    <t>71</t>
  </si>
  <si>
    <t>762340010RAI</t>
  </si>
  <si>
    <t>Bednění střech z prken na sraz</t>
  </si>
  <si>
    <t>pouze montáž, řezivo ve specifikaci</t>
  </si>
  <si>
    <t>0,285*(5,20+48,10+1,80+20,90+7,20)*2</t>
  </si>
  <si>
    <t>72</t>
  </si>
  <si>
    <t>605960021</t>
  </si>
  <si>
    <t>Prkno boční SM/JD/BO jakost I-III tl. 23 - 24 mm, š. nad 80 mm, 4 m</t>
  </si>
  <si>
    <t>35,30314</t>
  </si>
  <si>
    <t>;ztratné 5%; 1,765157</t>
  </si>
  <si>
    <t>73</t>
  </si>
  <si>
    <t>762342206VD1</t>
  </si>
  <si>
    <t>Montáž okrajových hranolů na vruty</t>
  </si>
  <si>
    <t>kotvení do krokví 
 - osazení v rovině dřevovláknitých desek</t>
  </si>
  <si>
    <t>(8,80*2+11,88+4,55+52,15+22,20+1,55+15,25+22,35+34,30)</t>
  </si>
  <si>
    <t>V položce jsou zakalkulovány náklady na dodávku vrutů. V položce nejsou zakalkulovány náklady na dodávku řeziva.Tato dodávka se oceňuje ve specifikaci ztratné se doporučuje ve výši 10 %</t>
  </si>
  <si>
    <t>74</t>
  </si>
  <si>
    <t>60515791</t>
  </si>
  <si>
    <t>Hranolek stavební SM tl. 80 mm, š. 80 mm, 3 - 5 m</t>
  </si>
  <si>
    <t>(8,80*2+11,88+4,55+52,15+22,20+1,55+15,25+22,35+34,30)*0,08*0,08</t>
  </si>
  <si>
    <t>;ztratné 10%; 0,116371</t>
  </si>
  <si>
    <t>80×80 mm</t>
  </si>
  <si>
    <t>75</t>
  </si>
  <si>
    <t>762341922R00</t>
  </si>
  <si>
    <t>Vyřezání otvorů střech, v bednění pl. do 2 m2</t>
  </si>
  <si>
    <t>včetně dřevovláknité izolace</t>
  </si>
  <si>
    <t>(0,78*1,40)*131</t>
  </si>
  <si>
    <t>T01</t>
  </si>
  <si>
    <t>Množství vyřezání střešní vazby se určuje v m délky prvků, bez čepů</t>
  </si>
  <si>
    <t>76</t>
  </si>
  <si>
    <t>762341220R00</t>
  </si>
  <si>
    <t>Montáž bedn.střech rovn. z aglomer.desek šroubováním</t>
  </si>
  <si>
    <t>2,92</t>
  </si>
  <si>
    <t>K131</t>
  </si>
  <si>
    <t>4,50</t>
  </si>
  <si>
    <t>K132</t>
  </si>
  <si>
    <t>6,20</t>
  </si>
  <si>
    <t>K133</t>
  </si>
  <si>
    <t>3,65</t>
  </si>
  <si>
    <t>K134</t>
  </si>
  <si>
    <t>V položce nejsou zakalkulovány náklady na dodávku desek. Tato dodávka se oceňuje ve specifikaci, ztratné se doporučuje ve výši 10 %. Spojovací a ochranné prostředky se ocení položkou 762 39-5000.</t>
  </si>
  <si>
    <t>77</t>
  </si>
  <si>
    <t>60726123</t>
  </si>
  <si>
    <t>Deska dřevoštěpková OSB 3, E0 broušená 4PD tl. 25 mm</t>
  </si>
  <si>
    <t>;ztratné 5%; 0,8635</t>
  </si>
  <si>
    <t>řada OSB3 - konstrukční deska pro použití ve vlhkém prostředí  B - broušená strana 4PD - pero/drážka po celém obvodu desky  rozměr 2500 x 675 m</t>
  </si>
  <si>
    <t>78</t>
  </si>
  <si>
    <t>(8,80*2+11,88+4,55+52,15+22,20+1,55+15,25+22,35+34,30)*(0,08*4)</t>
  </si>
  <si>
    <t>(82,60+442,40+350,10+213,93+205,08+68,95+30,24+30,24)*2*1,1</t>
  </si>
  <si>
    <t>(0,285*(5,20+48,10+1,80+20,90+7,20)*2)*2*1,1</t>
  </si>
  <si>
    <t>(11,20+12,70+12,70*2)*(0,06*4)</t>
  </si>
  <si>
    <t>;ztratné 15%; 497,70636</t>
  </si>
  <si>
    <t>79</t>
  </si>
  <si>
    <t>(8,95*2*2)*(0,06*0,04)</t>
  </si>
  <si>
    <t>(6,90*2)*(0,06*0,04)</t>
  </si>
  <si>
    <t>(11,20+12,70+12,70*2)*(0,06*0,04)</t>
  </si>
  <si>
    <t>((5,20+48,10+1,80+20,90+7,20)/1*2)*(0,14*0,03)</t>
  </si>
  <si>
    <t>(82,60+442,40+350,10+213,93+205,08+68,95+30,24+30,24)*0,024</t>
  </si>
  <si>
    <t>0,285*(5,20+48,10+1,80+20,90+7,20)*2*0,024</t>
  </si>
  <si>
    <t>2,92*0,025</t>
  </si>
  <si>
    <t>4,50*0,025</t>
  </si>
  <si>
    <t>6,20*0,025</t>
  </si>
  <si>
    <t>3,65*0,025</t>
  </si>
  <si>
    <t>;ztratné 5%; 1,891742</t>
  </si>
  <si>
    <t>80</t>
  </si>
  <si>
    <t>998762203R00</t>
  </si>
  <si>
    <t>909304*0,01</t>
  </si>
  <si>
    <t>81</t>
  </si>
  <si>
    <t>11,73+4,55+52,15+22,20+12,15+1,55+15,25+22,35+34,30</t>
  </si>
  <si>
    <t>82</t>
  </si>
  <si>
    <t>83</t>
  </si>
  <si>
    <t>(442,40+82,60+350,10+213,93+68,95+205,08+30,24*2)*1,1</t>
  </si>
  <si>
    <t>K58,K59,K60,K61,K62,K63,K64 - STŘECHA NAD HLAVNÍ BUDOVOU</t>
  </si>
  <si>
    <t>-(6+13*4+6+4+6+4*2+3+14*2+6+12)*(0,78*1,40)</t>
  </si>
  <si>
    <t>X02 - OKNA</t>
  </si>
  <si>
    <t>2,92+4,50</t>
  </si>
  <si>
    <t>K131,K132</t>
  </si>
  <si>
    <t>84</t>
  </si>
  <si>
    <t>11,73+4,55+52,15+22,20+1,525+15,25+22,35+34,30</t>
  </si>
  <si>
    <t>K73,K74,K75,K76,K77,K78,K79,K80 - zatahovací (okapnicový) pás</t>
  </si>
  <si>
    <t>85</t>
  </si>
  <si>
    <t>;ztratné 15%; 24,60825</t>
  </si>
  <si>
    <t>86</t>
  </si>
  <si>
    <t>11,80+4,60+52,15+22,20+1,55+15,25+22,35+34,30</t>
  </si>
  <si>
    <t>K65,K66,K67,K68,K69,K70,K71,K72 - zatahovací (okapnicový) pás</t>
  </si>
  <si>
    <t>87</t>
  </si>
  <si>
    <t>12,05+4,72+52,32+22,38+1,72+15,60+22,48+34,20</t>
  </si>
  <si>
    <t>K89,K90,K91,K92,K93,K94,K95,K96</t>
  </si>
  <si>
    <t>88</t>
  </si>
  <si>
    <t>11,20*2</t>
  </si>
  <si>
    <t>K123,K127</t>
  </si>
  <si>
    <t>10,80*2</t>
  </si>
  <si>
    <t>K128,K129</t>
  </si>
  <si>
    <t>89</t>
  </si>
  <si>
    <t>(11,20+12,70+12,70)*1,15</t>
  </si>
  <si>
    <t>K121,K122,K125</t>
  </si>
  <si>
    <t>90</t>
  </si>
  <si>
    <t>11,20+12,70+12,70</t>
  </si>
  <si>
    <t>K120,K123,K124</t>
  </si>
  <si>
    <t>91</t>
  </si>
  <si>
    <t>;ztratné 15%; 5,49</t>
  </si>
  <si>
    <t>92</t>
  </si>
  <si>
    <t>5,20+48,10+1,80+20,90+7,20</t>
  </si>
  <si>
    <t>93</t>
  </si>
  <si>
    <t>(5,20+48,10+1,80+20,90+7,20)*2</t>
  </si>
  <si>
    <t>K109,K110,K111,K112,K113</t>
  </si>
  <si>
    <t>95</t>
  </si>
  <si>
    <t>0,5*2</t>
  </si>
  <si>
    <t>96</t>
  </si>
  <si>
    <t>11,50+4,95+52,55+22,00+1,30+14,75+22,35+34,80</t>
  </si>
  <si>
    <t>K97,K98,K99,K100,K101,K102,K103,K104</t>
  </si>
  <si>
    <t>97</t>
  </si>
  <si>
    <t>164,2/0,60</t>
  </si>
  <si>
    <t>98</t>
  </si>
  <si>
    <t>164,2</t>
  </si>
  <si>
    <t>99</t>
  </si>
  <si>
    <t>100</t>
  </si>
  <si>
    <t>101</t>
  </si>
  <si>
    <t>764422810R00</t>
  </si>
  <si>
    <t>Demontáž oplechování říms,rš od 600 do 800 mm</t>
  </si>
  <si>
    <t>2,80*2+4,95</t>
  </si>
  <si>
    <t>X05</t>
  </si>
  <si>
    <t>102</t>
  </si>
  <si>
    <t>764900060RA0</t>
  </si>
  <si>
    <t>Demontáž oplechování zdí - ATIKY</t>
  </si>
  <si>
    <t>2,15*2+4,05</t>
  </si>
  <si>
    <t>X06</t>
  </si>
  <si>
    <t>V položce není kalkulován poplatek za skládku pro vybouranou suť. Tyto náklady se oceňují individuálně podle místních podmínek. Orientační hmotnost vybouraných konstrukcí je 0,002 t/m konstrukce.</t>
  </si>
  <si>
    <t>103</t>
  </si>
  <si>
    <t>764900020RA0</t>
  </si>
  <si>
    <t>Demontáž oplechování zdí</t>
  </si>
  <si>
    <t>4,95*1,70</t>
  </si>
  <si>
    <t>X07</t>
  </si>
  <si>
    <t>104</t>
  </si>
  <si>
    <t>Demontáž oplechování zdí - ŠTÍTOVÉ LEMOVÁNÍ</t>
  </si>
  <si>
    <t>8,60*2</t>
  </si>
  <si>
    <t>X09</t>
  </si>
  <si>
    <t>105</t>
  </si>
  <si>
    <t>764392851R00</t>
  </si>
  <si>
    <t>Demontáž úžlabí, rš 660 mm, sklon do 45°</t>
  </si>
  <si>
    <t>11,80*2+11,20*2</t>
  </si>
  <si>
    <t>106</t>
  </si>
  <si>
    <t>764521690RT3</t>
  </si>
  <si>
    <t>Oplechování říms TiZn RHEINZINK, rš 800 mm - VIZ VÝPIS KLEMPÍŘSKÝCH KONSTRUKCÍ</t>
  </si>
  <si>
    <t>PŘEDZVĚTRALÝ BŘIDLICOVĚ ŠEDÝ TiZn TL. 0,7 MM</t>
  </si>
  <si>
    <t>2,80*2+5,0</t>
  </si>
  <si>
    <t>Oplechování římsy z plechu TiZn RHEINZINK. Celoplošné lepení. Včetně dilatací po 3 m.  5,069 kg parapetní plech 0,453 kg dilatac</t>
  </si>
  <si>
    <t>107</t>
  </si>
  <si>
    <t>764530450RT2</t>
  </si>
  <si>
    <t>Oplechování zdí z Ti Zn plechu, rš 600 mm - VIZ VÝPIS KLEMPÍŘSKÝCH VÝROBKŮ</t>
  </si>
  <si>
    <t>nalepení Enkolitem
PŘEDZVETRALÝ BŘIDLICOVĚ ŠEDÝ TL. 0,7 MM</t>
  </si>
  <si>
    <t>1,56*2+4,95</t>
  </si>
  <si>
    <t xml:space="preserve">Položka je kalkulována pro oplechování zdí a nadezdívek včetně rohů. </t>
  </si>
  <si>
    <t>108</t>
  </si>
  <si>
    <t>764554410RAD</t>
  </si>
  <si>
    <t>Odpadní trouby z TiZn plechu kruhové - VIZ VÝPIS KLEMPÍŘSKÝCH VÝROBKŮ</t>
  </si>
  <si>
    <t>průměru 150 mm
PŘEDZVETRALÝ BŘIDLICOVĚ ŠEDÝ TL. 0,7 MM</t>
  </si>
  <si>
    <t>14,0*2</t>
  </si>
  <si>
    <t>K135</t>
  </si>
  <si>
    <t>109</t>
  </si>
  <si>
    <t>764291420R00</t>
  </si>
  <si>
    <t>Závětrná lišta z Ti Zn plechu, rš 330 mm - VIZ VÝPIS KLEMPÍŘSKÝCH VÝROBKŮ</t>
  </si>
  <si>
    <t>PŘEDZVETRALÝ BŘIDLICOVĚ ŠEDÝ TL. 0,7 MM</t>
  </si>
  <si>
    <t>8,9*2</t>
  </si>
  <si>
    <t>K138</t>
  </si>
  <si>
    <t>110</t>
  </si>
  <si>
    <t>764394240VD1</t>
  </si>
  <si>
    <t>Podkladní pás z Pz plechu tl. 0,8 mm, rš 330 mm - VIZ VÝPIS KLEMPÍŘSKÝCH VÝROBKŮ</t>
  </si>
  <si>
    <t>8,90*2</t>
  </si>
  <si>
    <t>K139</t>
  </si>
  <si>
    <t>111</t>
  </si>
  <si>
    <t>764292661VD1</t>
  </si>
  <si>
    <t>Oplechování masky okapní hrany z TiZn RHEINZINK tl. 0,7 mm - VIZ VÝPIS KLEMPÍŘSKÝCH VÝROBKŮ</t>
  </si>
  <si>
    <t>krycí plech TiZn TL. 0,7 MM - předzvětralý břidlicově šedý z výroby. K153-K160
VÝZTUŽNÝ PÁS - FeZn TL. 0,8 MM, PŘÍRODNÍ PROVEDENÍ K145-K152</t>
  </si>
  <si>
    <t>11,73+4,55+52,15+22,20+1,55+15,25+22,35+34,30</t>
  </si>
  <si>
    <t>K145,K146,K147,K148,K149,K150,K151,K152,K153,K154,K155,K156,K157,K158,K159,K160</t>
  </si>
  <si>
    <t>VČETNĚ VÝZTUŽNÉHO PÁSU</t>
  </si>
  <si>
    <t>112</t>
  </si>
  <si>
    <t>998764203R00</t>
  </si>
  <si>
    <t>Přesun hmot pro klempířské konstr., výšky do 24 m</t>
  </si>
  <si>
    <t>4311000*0,01</t>
  </si>
  <si>
    <t>113</t>
  </si>
  <si>
    <t>114</t>
  </si>
  <si>
    <t>12,41+4,56+52,15+22,20+1,55+15,25+22,35+34,30</t>
  </si>
  <si>
    <t>K81,K82,K83,K84,K85,K86,K87,K88</t>
  </si>
  <si>
    <t>(5,20+48,05+1,80+20,88+7,20)*2</t>
  </si>
  <si>
    <t>K115,K116,K117,K118,K119</t>
  </si>
  <si>
    <t>115</t>
  </si>
  <si>
    <t>;ztratné 10%; 33,103</t>
  </si>
  <si>
    <t>116</t>
  </si>
  <si>
    <t>765799311VD1</t>
  </si>
  <si>
    <t>Montáž fólie na krokve přibitím se slepením spojů</t>
  </si>
  <si>
    <t>Folie  bude pokládána z vnější strany přes krokve (na vnější stranu vnitřního obkladu</t>
  </si>
  <si>
    <t>5,2*(62,9+8,00+34,50+18,55+11,50+18,40+4,0*4)*1,35</t>
  </si>
  <si>
    <t>Položka je určena pro montáž fólie na krokve na střeše o sklonu do 35°. Montáž fólie ve sklonu přes 35° do 45° se oceňuje s příplatkem za sklon položkou č. 765 79-9315.R00. Montáž fólie ve sklonu přes 45° se stanovuje individuálně. Bez dodávky fólie</t>
  </si>
  <si>
    <t>117</t>
  </si>
  <si>
    <t>63150817</t>
  </si>
  <si>
    <t>Fólie parobrzdná PA, UV tl. 0,20 mm</t>
  </si>
  <si>
    <t>;ztratné 13%; 155,00511</t>
  </si>
  <si>
    <t>Parozábrana na bázi polyamidu s proměnnou ekvivalentní difuzní tloušťkou a přilnavým rounem.  Balení: role 1,5 x 40. TECHNICKÁ SPECIFIKACE VIZ TZ</t>
  </si>
  <si>
    <t>118</t>
  </si>
  <si>
    <t>631508081</t>
  </si>
  <si>
    <t>Páska lepicí KB1 š. 60 mm</t>
  </si>
  <si>
    <t>(5,2*(62,9+8,00+34,50+18,55+11,50+18,40+4,0*4)*1,35)/1,5</t>
  </si>
  <si>
    <t>;ztratné 10%; 79,4898</t>
  </si>
  <si>
    <t>Lepicí páska pro vzduchotěsné přelepení přesahů parobrzdy. rozměry: tl. cca 0,026 mm, š 60 mm, l = 40 m. TECHNICKÁ SPECIFIKACE VIZ TZ</t>
  </si>
  <si>
    <t>119</t>
  </si>
  <si>
    <t>765799315R00</t>
  </si>
  <si>
    <t>Příplatek za sklon od 30° do 45°,fólie na bednění</t>
  </si>
  <si>
    <t xml:space="preserve">Položka je určena pro montáž fólie nebo lepenky. </t>
  </si>
  <si>
    <t>120</t>
  </si>
  <si>
    <t>998765203R00</t>
  </si>
  <si>
    <t>Přesun hmot pro krytiny tvrdé, výšky do 24 m</t>
  </si>
  <si>
    <t>825000*0,01</t>
  </si>
  <si>
    <t>766</t>
  </si>
  <si>
    <t>Konstrukce truhlářské</t>
  </si>
  <si>
    <t>121</t>
  </si>
  <si>
    <t>766624814R00</t>
  </si>
  <si>
    <t>Demontáž střešního okna vel. do 780 x 1480 mm</t>
  </si>
  <si>
    <t>766_</t>
  </si>
  <si>
    <t>6+13*4+6+4+6+4*2+3+14*2+6+12</t>
  </si>
  <si>
    <t>X02</t>
  </si>
  <si>
    <t>Včetně demontáže vnějšího lemování a obkladu ostění ze sádrokartonu. Položka neobsahuje náklady na rozkrytí střešní krytiny</t>
  </si>
  <si>
    <t>784</t>
  </si>
  <si>
    <t>Malby</t>
  </si>
  <si>
    <t>122</t>
  </si>
  <si>
    <t>784195412R00</t>
  </si>
  <si>
    <t>Malba Primalex Polar, bílá, bez penetrace, 2 x</t>
  </si>
  <si>
    <t>784_</t>
  </si>
  <si>
    <t>02_78_</t>
  </si>
  <si>
    <t>4,15*(8,97+8,70+5,66+6,0+3,52+16,55)</t>
  </si>
  <si>
    <t>severní křídlo - šikminy</t>
  </si>
  <si>
    <t>-(0,78*1,40)*(18+28)</t>
  </si>
  <si>
    <t>severní křídlo - odečet oken</t>
  </si>
  <si>
    <t>2,20*18+4,11*14</t>
  </si>
  <si>
    <t>severní křídlo - ostění oken</t>
  </si>
  <si>
    <t>182,9</t>
  </si>
  <si>
    <t>severní křídlo strop</t>
  </si>
  <si>
    <t>4,93*10+(3,56+11,48+33,0+21,41+21,1)*3,05</t>
  </si>
  <si>
    <t>severní křídlo stěny</t>
  </si>
  <si>
    <t>-(0,78*1,40)*(85)</t>
  </si>
  <si>
    <t>východní křídlo - odečet oken</t>
  </si>
  <si>
    <t>2,20*23+3,91*62</t>
  </si>
  <si>
    <t>východní křídlo - ostění oken</t>
  </si>
  <si>
    <t>300,64</t>
  </si>
  <si>
    <t>východní křídlo strop</t>
  </si>
  <si>
    <t>4,33*26+(11,68+19,56+9,48+22,68+18,61+10,24+3,35+55,064+17,33)*2,90</t>
  </si>
  <si>
    <t>4,05*(10,76+12,85+2,75+11,94+7,90+2,94+26,16+14,45)</t>
  </si>
  <si>
    <t>východní křídlo - šikminy</t>
  </si>
  <si>
    <t>Otěruvzdorný tekutý malířský vnitřní nátěr s výbornou kryvostí a vynikající bělostí. Ředí se vodou 0,5 - 0,75 l čisté vody na 1 kg barvy. Bez vyspravení sádrou a bez penetrace.</t>
  </si>
  <si>
    <t>M21</t>
  </si>
  <si>
    <t>Elektromontáže</t>
  </si>
  <si>
    <t>123</t>
  </si>
  <si>
    <t>210VD02</t>
  </si>
  <si>
    <t>DEMONTÁŽ STÁVAJÍCÍHO HROMOSVODU</t>
  </si>
  <si>
    <t>ks</t>
  </si>
  <si>
    <t>M21_</t>
  </si>
  <si>
    <t>02_9_</t>
  </si>
  <si>
    <t>ÚPRAVA FASÁDY PO ODSTRANĚNÝCH KOTVÁCH</t>
  </si>
  <si>
    <t>M950VD</t>
  </si>
  <si>
    <t>Přípravné práce</t>
  </si>
  <si>
    <t>124</t>
  </si>
  <si>
    <t>950003</t>
  </si>
  <si>
    <t>Demontáž a zpětná montáž klima jednotek,, (včetně vypuštění a opětovné naplnění chladivem)</t>
  </si>
  <si>
    <t>M950VD_</t>
  </si>
  <si>
    <t>demontáž stávajících vynášecích konzol; osazení nových D+M</t>
  </si>
  <si>
    <t>X03</t>
  </si>
  <si>
    <t>Dokumentace:</t>
  </si>
  <si>
    <t>Viz výkresy bouracích prací a TZ</t>
  </si>
  <si>
    <t>Střešní okna</t>
  </si>
  <si>
    <t>Stropy a stropní konstrukce (pro pozemní stavby)</t>
  </si>
  <si>
    <t>03</t>
  </si>
  <si>
    <t>125</t>
  </si>
  <si>
    <t>416091071VD1</t>
  </si>
  <si>
    <t>Příplatek za opláštění ostění střešního okna</t>
  </si>
  <si>
    <t>41_</t>
  </si>
  <si>
    <t>03_4_</t>
  </si>
  <si>
    <t>03_</t>
  </si>
  <si>
    <t>včetně dodávky materiálu
použití sdk desky RF(DF) 15 mm
PRÁCE + MAT. PRO 1,40 M2 OSTĚNÍ</t>
  </si>
  <si>
    <t>2,20/1,40*41</t>
  </si>
  <si>
    <t>T01 - SAMOSTATNÉ OKNO</t>
  </si>
  <si>
    <t>3,91/1,40*31</t>
  </si>
  <si>
    <t>T01 - SESTAVA OKEN - HL.KŘÍDLO</t>
  </si>
  <si>
    <t>4,11/1,4*14</t>
  </si>
  <si>
    <t>T01 - SESTAVA OKEN - SEV.KŘ.</t>
  </si>
  <si>
    <t>Napojení SDK podhledu na střešní okno. Položka obsahuje přetmelení spár, osazení rohových lišt, včetně jejich přetmelení a vložení siťoviny a následné přestěrkování plochy ostění</t>
  </si>
  <si>
    <t>126</t>
  </si>
  <si>
    <t>998011003R00</t>
  </si>
  <si>
    <t>Přesun hmot pro budovy zděné výšky do 24 m</t>
  </si>
  <si>
    <t>127</t>
  </si>
  <si>
    <t>713134211RK4</t>
  </si>
  <si>
    <t>Montáž parozábrany na stěny s přelepením spojů - OSTĚNÍ STŘEŠNÍCH OKEN</t>
  </si>
  <si>
    <t>03_71_</t>
  </si>
  <si>
    <t>parotěsná zábrana Jutafol N 140 speciál</t>
  </si>
  <si>
    <t>2,20*41</t>
  </si>
  <si>
    <t>3,91*31</t>
  </si>
  <si>
    <t>4,11*14</t>
  </si>
  <si>
    <t>128</t>
  </si>
  <si>
    <t>713131130R00</t>
  </si>
  <si>
    <t>Montáž tepelné izolace stěn vložením do nosné rámové konstrukce - OSTĚNÍ STŘEŠNÍCH OKEN</t>
  </si>
  <si>
    <t>2,20*41*0,97</t>
  </si>
  <si>
    <t>3,91*31*0,97</t>
  </si>
  <si>
    <t>4,11*14*0,97</t>
  </si>
  <si>
    <t>Vložení do nosné konstrukce dřevostaveb. V položce není zakalkulována dodávka izolačního materiálu. Tato dodávka se oceňuje ve specifikaci. Při stanovení množství tepelné izolace se z celkového množství neodečítají otvory nebo neizolované plochy menší než 1 m2. Měrnou jednotkou je pohledová plocha stěny. Doporučená spotřeba minerálních desek je 0,97 m2/m2 plochy stěny</t>
  </si>
  <si>
    <t>129</t>
  </si>
  <si>
    <t>63151381</t>
  </si>
  <si>
    <t>Deska izolační MINERÁLNÍ tl. 30 mm</t>
  </si>
  <si>
    <t>;ztratné 5%; 13,044075</t>
  </si>
  <si>
    <t>Izolační desky vyrobené ze skelné minerální plsti. Výroba je založena na metodě rozvlákňování taveniny směsi hornin a dalších příměsí a přísad. Vlákna jsou po celém povrchu hydrofobizována. Desky je nutné v konstrukci chránit vhodným způsobem proti povětrnostním vlivům (vnější opláštění, ev. difuzní fólie)  Desky MULTIMAX 30 jsou vhodné pro izolace vnějších stěn předvěšených fasádních systémů, vkládají se pod obklad do roštu nebo mechanicky kotvené, do  vícevrstvého zdiva. Desky je možné ke  stěně mechanicky kotvit držáky pro měkké MW izolace. Izolační desky se k podkladu nelepí. V případě použití materiálu MULTIMAX 30 na izolování podhledů je také nutné předem uvažovat s použitím kovových hmoždinek z důvodu požární bezpečnosti a jejich umístění nesmí být na kraji desky.  Rozměry: 1200 x 600 x 30 mm Balení: 12,96 m2 Lambda ?D = 0,030 W·m-1·K-1</t>
  </si>
  <si>
    <t>130</t>
  </si>
  <si>
    <t>110000*0,01</t>
  </si>
  <si>
    <t>131</t>
  </si>
  <si>
    <t>766624043R00</t>
  </si>
  <si>
    <t>Montáž střešních oken rozměr 78/140 - 160 cm - viz výpis truhlářských výrobků</t>
  </si>
  <si>
    <t>03_76_</t>
  </si>
  <si>
    <t>VČETNĚ STÍNÍCÍCH DOPLŇKU K OKNŮM
VČETNĚ ELEKTRO INSTALACE, NAPROGRAMOVÁNÍ BEZDRÁTOVÝCH OVLADAČŮ DO JEDNOTLIVÝCH CELKŮ A ZAŠKOLENÍ UŽIVATELŮ
VČETNĚ KLEMPÍŘSKÉHO LEMOVÁNÍ OKEN</t>
  </si>
  <si>
    <t>Položka obsahuje montáž střešního okna včetně lemování a spojovacího materiálu.</t>
  </si>
  <si>
    <t>132</t>
  </si>
  <si>
    <t>6114022056_T01</t>
  </si>
  <si>
    <t>Okno střešní GGUK MK08 046621A 780 x 1400 mm výklopně-kyvné, bezúdržbové</t>
  </si>
  <si>
    <t>VLASTNÍ</t>
  </si>
  <si>
    <t>TECHNICKÝ POPIS - VIZ VÝPIS TRUHLÁŘSKÝCH VÝROBKŮ</t>
  </si>
  <si>
    <t>133</t>
  </si>
  <si>
    <t>61140554_V01</t>
  </si>
  <si>
    <t>LEHKÁ VENKOVNÍ ROLETA NA SOLÁRNÍ POHON SSS MK08 0000SA - VIZ VÝPIS VÝROBKŮ</t>
  </si>
  <si>
    <t>V01</t>
  </si>
  <si>
    <t>TECHNICKÝ POPIS - VIZ VÝPIS VÝROBKŮ</t>
  </si>
  <si>
    <t>134</t>
  </si>
  <si>
    <t>61140544_V02</t>
  </si>
  <si>
    <t>Roleta zastiňovací RML MK08 1028SWL - ELEKTRICKÝ POHON</t>
  </si>
  <si>
    <t>V02</t>
  </si>
  <si>
    <t>135</t>
  </si>
  <si>
    <t>61140305_VD01</t>
  </si>
  <si>
    <t>Sada lemování 2000 + BBX, BFX, BDX MK08, rozměr 780 x 1400 mm - K130 - SPECIAL EKWK MK08 2401H (DÍLCE DLE POZIC NA STŘEŠE)</t>
  </si>
  <si>
    <t>K130_EKW MK08 2401H</t>
  </si>
  <si>
    <t>-PRO FALCOVANOU KRYTINU TiZn S PŘEDZVĚTRALOU ÚPRAVOU Z VÝROBY - BŘIDLICOVĚ ŠEDÁ. KLEMPÍŘSKÉ PRVKY DLE KRYTINY. VIZ VÝPIS KLEMPÍŘSKÝCH VÝROBKŮ</t>
  </si>
  <si>
    <t>136</t>
  </si>
  <si>
    <t>61140305_VD02</t>
  </si>
  <si>
    <t>Sada lemování 2000 + BBX, BFX, BDX MK08, rozměr 780 x 1400 mm - K130 - SPECIAL EKWK MK08 2402H (DÍLCE DLE POZIC NA STŘEŠE)</t>
  </si>
  <si>
    <t>K130_EKW MK08 2402H</t>
  </si>
  <si>
    <t>137</t>
  </si>
  <si>
    <t>61140305_VD03</t>
  </si>
  <si>
    <t>Sada lemování 2000 + BBX, BFX, BDX MK08, rozměr 780 x 1400 mm - K130 - SPECIAL EKWK MK08 24039 (DÍLCE DLE POZIC NA STŘEŠE)</t>
  </si>
  <si>
    <t>K130_EKW MK08 24039</t>
  </si>
  <si>
    <t>138</t>
  </si>
  <si>
    <t>61140305_VD04</t>
  </si>
  <si>
    <t>Sada lemování 2000 + BBX, BFX, BDX MK08, rozměr 780 x 1400 mm - K130 - SPECIAL EDW MK08 2400 (DÍLCE DLE POZIC NA STŘEŠE)</t>
  </si>
  <si>
    <t>K130_EDW MK08 2400</t>
  </si>
  <si>
    <t>139</t>
  </si>
  <si>
    <t>61140305_VD05</t>
  </si>
  <si>
    <t>Sada lemování 2000 + BBX, BFX, BDX MK08, rozměr 780 x 1400 mm - K130 - SPECIAL EKWK MK08 2407E (DÍLCE DLE POZIC NA STŘEŠE)</t>
  </si>
  <si>
    <t>K130_EKW MK08 2407E</t>
  </si>
  <si>
    <t>140</t>
  </si>
  <si>
    <t>61140305_VD06</t>
  </si>
  <si>
    <t>Sada lemování 2000 + BBX, BFX, BDX MK08, rozměr 780 x 1400 mm - K130 - SPECIAL EKWK MK08 2404HE (DÍLCE DLE POZIC NA STŘEŠE)</t>
  </si>
  <si>
    <t>141</t>
  </si>
  <si>
    <t>61140305_VD07</t>
  </si>
  <si>
    <t>Sada lemování 2000 + BBX, BFX, BDX MK08, rozměr 780 x 1400 mm - K130 - SPECIAL EKXK MK08 2405HE (DÍLCE DLE POZIC NA STŘEŠE)</t>
  </si>
  <si>
    <t>K130_EKX MK08 2405HE</t>
  </si>
  <si>
    <t>142</t>
  </si>
  <si>
    <t>61140305_VD08</t>
  </si>
  <si>
    <t>Sada lemování 2000 + BBX, BFX, BDX MK08, rozměr 780 x 1400 mm - K130 - SPECIAL EKVK MK08 24069E (DÍLCE DLE POZIC NA STŘEŠE)</t>
  </si>
  <si>
    <t>143</t>
  </si>
  <si>
    <t>998766203R00</t>
  </si>
  <si>
    <t>Přesun hmot pro truhlářské konstr., výšky do 24 m</t>
  </si>
  <si>
    <t>8278000*0,01</t>
  </si>
  <si>
    <t>144</t>
  </si>
  <si>
    <t>941955001R00</t>
  </si>
  <si>
    <t>Lešení lehké pomocné, výška podlahy do 1,2 m</t>
  </si>
  <si>
    <t>03_9_</t>
  </si>
  <si>
    <t>0,78*131</t>
  </si>
  <si>
    <t>pro montáž oken a sdk ostění</t>
  </si>
  <si>
    <t>Klima jednotky - stavební připravenost</t>
  </si>
  <si>
    <t>763</t>
  </si>
  <si>
    <t>Dřevostavby</t>
  </si>
  <si>
    <t>04</t>
  </si>
  <si>
    <t>145</t>
  </si>
  <si>
    <t>763734111R00</t>
  </si>
  <si>
    <t>Montáž ostatních prvků plochy do 50 cm2</t>
  </si>
  <si>
    <t>763_</t>
  </si>
  <si>
    <t>04_76_</t>
  </si>
  <si>
    <t>04_</t>
  </si>
  <si>
    <t>vynesení konzoly klima</t>
  </si>
  <si>
    <t>1,05*2</t>
  </si>
  <si>
    <t>Trámek 60×80</t>
  </si>
  <si>
    <t>0,65*2</t>
  </si>
  <si>
    <t>KONTRALAŤ 60×40 (naležato)</t>
  </si>
  <si>
    <t>Montáž ostatních prvků - krokví, vaznic, ztužidel, zavětrování, atd.</t>
  </si>
  <si>
    <t>146</t>
  </si>
  <si>
    <t>60517116</t>
  </si>
  <si>
    <t>Lať SM/JD/BO 40 x 60 mm</t>
  </si>
  <si>
    <t>0,65*2*22</t>
  </si>
  <si>
    <t>;ztratné 10%; 2,86</t>
  </si>
  <si>
    <t xml:space="preserve">Délka do 5 </t>
  </si>
  <si>
    <t>147</t>
  </si>
  <si>
    <t>605157099</t>
  </si>
  <si>
    <t>Hranolek stavební SM tl. 60×80 mm, 2 - 5 m</t>
  </si>
  <si>
    <t>(0,06*0,08)*1,05*2*22</t>
  </si>
  <si>
    <t>;ztratné 10%; 0,022176</t>
  </si>
  <si>
    <t>148</t>
  </si>
  <si>
    <t>998763201R00</t>
  </si>
  <si>
    <t>Přesun hmot pro dřevostavby, výšky do 12 m</t>
  </si>
  <si>
    <t>2943*0,01</t>
  </si>
  <si>
    <t>149</t>
  </si>
  <si>
    <t>764242411VD1</t>
  </si>
  <si>
    <t>Lemování trub průměr 75 MM - VIZ VÝPIS KLEMPÍŘSKÝCH VÝROBKŮ</t>
  </si>
  <si>
    <t>TiZn PŘEDZVĚTRALÝ BŘIDLICOVĚ ŠEDÝ</t>
  </si>
  <si>
    <t>K136</t>
  </si>
  <si>
    <t>Lemování prostupů kruhových průměr 75 mm z plechu TiZn TL. 0,7 MM</t>
  </si>
  <si>
    <t>150</t>
  </si>
  <si>
    <t>764242411VD2</t>
  </si>
  <si>
    <t>Lemování trub průměr 35 MM - VIZ VÝPIS KLEMPÍŘSKÝCH VÝROBKŮ</t>
  </si>
  <si>
    <t>22*4</t>
  </si>
  <si>
    <t>K161</t>
  </si>
  <si>
    <t>151</t>
  </si>
  <si>
    <t>87000*0,01</t>
  </si>
  <si>
    <t>767</t>
  </si>
  <si>
    <t>Konstrukce doplňkové stavební (zámečnické)</t>
  </si>
  <si>
    <t>152</t>
  </si>
  <si>
    <t>76783310VD01</t>
  </si>
  <si>
    <t>Montáž KOVOVÝCH STUPŇŮ - VIZ VÝPIS VÝROBKŮ</t>
  </si>
  <si>
    <t>KS</t>
  </si>
  <si>
    <t>767_</t>
  </si>
  <si>
    <t>V04</t>
  </si>
  <si>
    <t>V05</t>
  </si>
  <si>
    <t>153</t>
  </si>
  <si>
    <t>55347338VD1</t>
  </si>
  <si>
    <t>Stupeň schodišťový z POROROŠTU  800×250 mm - VIZ VÝPIS VÝROBKŮ</t>
  </si>
  <si>
    <t>VYNESENÝ SCHODIŠŤOVÝ STUPEŇ
-SYSTÉMOVÉ ŘEŠENÍ DODAVATELE PLECHOVÉ KRYTINY (TiZn)
-2× DRŽÁK NÁŠLAPNÉHO STUPŇE - UPEVNĚNÍ NA DVOJITOU STOJATOU DRÁŽKU 
-1× STUPEŇ Z POROROŠTU 250×800 MM</t>
  </si>
  <si>
    <t>154</t>
  </si>
  <si>
    <t>998767203R00</t>
  </si>
  <si>
    <t>Přesun hmot pro zámečnické konstr., výšky do 24 m</t>
  </si>
  <si>
    <t>346000*0,01</t>
  </si>
  <si>
    <t>M65</t>
  </si>
  <si>
    <t>Elektroinstalace</t>
  </si>
  <si>
    <t>155</t>
  </si>
  <si>
    <t>650022172VD1</t>
  </si>
  <si>
    <t>Montáž konzole pro klima jednotky</t>
  </si>
  <si>
    <t>M65_</t>
  </si>
  <si>
    <t>04_9_</t>
  </si>
  <si>
    <t>156</t>
  </si>
  <si>
    <t>55343611_V03</t>
  </si>
  <si>
    <t>KONZOLA VYNÁŠEJÍCÍ KLIMA JEDNOTKU - VIZ VÝPIS VÝROBKŮ</t>
  </si>
  <si>
    <t>V03</t>
  </si>
  <si>
    <t>KONZOLE MT 600 PRO INSTALACI KLIMA JEDNOTEK NA STŘECHU S NASTAVITELNÝM ÚHLEM SKLONU A ROZTEČÍ PODPĚR. INSTALACE
UCHYCOVACÍ KONSTRUKCE POD KRYTINU NA LATĚNÍ. GALVANICKY POKOVENÝ POVRCH S PRÁŠKOVOU BARVOU. SOUČÁSTÍ BALENÍ JE
ANTIVIBRAČNÍ SADA SE ŠROUBEM M12 Z NEREZ OCELI. 800X450, CELKOVÁ NOSNOST 140 KG.</t>
  </si>
  <si>
    <t xml:space="preserve">TPS – Silnoproud + Bleskosvod	</t>
  </si>
  <si>
    <t>Úprava povrchů vnější</t>
  </si>
  <si>
    <t>05</t>
  </si>
  <si>
    <t>157</t>
  </si>
  <si>
    <t>622300281RT4</t>
  </si>
  <si>
    <t>Montáž chráničky kabelu DO STŘEŠNÍHO PLÁŠTĚ</t>
  </si>
  <si>
    <t>62_</t>
  </si>
  <si>
    <t>05_6_</t>
  </si>
  <si>
    <t>05_</t>
  </si>
  <si>
    <t>vč. chráničky  DN 75 mm
vč protahovacího drátu a vypěnění chráničky</t>
  </si>
  <si>
    <t>0,5*22</t>
  </si>
  <si>
    <t>Vyřezání PRŮCHODU a osazení chráničky.</t>
  </si>
  <si>
    <t>158</t>
  </si>
  <si>
    <t>21001000VD01</t>
  </si>
  <si>
    <t>ROZVADĚČE S PŘEPĚŤOVÝMI OCHRANAMI VČETNĚ MONTÁŽE A ZAPOJENÍ -</t>
  </si>
  <si>
    <t>05_9_</t>
  </si>
  <si>
    <t xml:space="preserve">RS4.2 - STÁVAJÍCÍ ROZVADĚČ - DOPLNĚNÍ - 1x přepěťová ochrana stupně "T2" LPL III (TN-S), 3x proudový chránič s nadproudovou ochranou C/1-10A/0,03A
</t>
  </si>
  <si>
    <t>159</t>
  </si>
  <si>
    <t>21001000VD02</t>
  </si>
  <si>
    <t xml:space="preserve">RS4.3 - STÁVAJÍCÍ ROZVADĚČ - DOPLNĚNÍ
1x přepěťová ochrana stupně "T2" LPL III (TN-S), 2x proudový chránič s nadproudovou ochranou C/1-10A/0,03A
</t>
  </si>
  <si>
    <t>160</t>
  </si>
  <si>
    <t>21001000VD03</t>
  </si>
  <si>
    <t xml:space="preserve">RS4.4 - STÁVAJÍCÍ ROZVADĚČ - DOPLNĚNÍ
1x přepěťová ochrana stupně "T2" LPL III (TN-S), 3x proudový chránič s nadproudovou ochranou C/1-10A/0,03A
</t>
  </si>
  <si>
    <t>161</t>
  </si>
  <si>
    <t>21001000VD04</t>
  </si>
  <si>
    <t>INSTALAČNÍ MATERIÁL VČETNĚ MONTÁŽE, ZAPOJENÍ A ULOŽENÍ - KRABICE V UZAVŘENÉM PROVEDENÍ</t>
  </si>
  <si>
    <t>krabice odbočná s víčkem s bezšroubovými svorkami, plastová, IP54, na povrch</t>
  </si>
  <si>
    <t>197</t>
  </si>
  <si>
    <t>162</t>
  </si>
  <si>
    <t>21001000VD05</t>
  </si>
  <si>
    <t>krabice 150x150 na povrch, s ekvipotenciální svorkovnicí EPS 4A, pro 5x CY 6mm</t>
  </si>
  <si>
    <t>163</t>
  </si>
  <si>
    <t>21001000VD06</t>
  </si>
  <si>
    <t>INSTALAČNÍ MATERIÁL VČETNĚ MONTÁŽE, ZAPOJENÍ A ULOŽENÍ - KABELOVÉ ŽLABY, LIŠTY A PŘÍCHTKY</t>
  </si>
  <si>
    <t>neděrovaný žlab 62/50, včetně plného víka (třída reakce na oheň A1), včetně ukotvení</t>
  </si>
  <si>
    <t>164</t>
  </si>
  <si>
    <t>21001000VD07</t>
  </si>
  <si>
    <t xml:space="preserve">lišta 50x20mm, včetně víka, včetně ukotvení
</t>
  </si>
  <si>
    <t>165</t>
  </si>
  <si>
    <t>21001000VD08</t>
  </si>
  <si>
    <t xml:space="preserve">kabelová příchytka na půdu
</t>
  </si>
  <si>
    <t>250</t>
  </si>
  <si>
    <t>166</t>
  </si>
  <si>
    <t>21001000VD09</t>
  </si>
  <si>
    <t>INSTALAČNÍ MATERIÁL VČETNĚ MONTÁŽE, ZAPOJENÍ A ULOŽENÍ - TRUBKY A CHRÁNIČKY</t>
  </si>
  <si>
    <t xml:space="preserve">trubka ohebná PVC o 25/18,3mm (dn/di), včetně uložení volně
</t>
  </si>
  <si>
    <t>450</t>
  </si>
  <si>
    <t>167</t>
  </si>
  <si>
    <t>21001000VD10</t>
  </si>
  <si>
    <t xml:space="preserve">trubka ohebná PVC o 40/31,2mm (dn/di), včetně uložení do země (děrovaná)
</t>
  </si>
  <si>
    <t>168</t>
  </si>
  <si>
    <t>21001000VD11</t>
  </si>
  <si>
    <t>KABELY VČETNĚ MONTÁŽE, ULOŽENÍ A ZAPOJENÍ - KABELY CYKY</t>
  </si>
  <si>
    <t>kabel CYKY-J 3x1,5mm, uložených v trubkách</t>
  </si>
  <si>
    <t>535</t>
  </si>
  <si>
    <t>169</t>
  </si>
  <si>
    <t>21001000VD12</t>
  </si>
  <si>
    <t>KABELY VČETNĚ MONTÁŽE, ULOŽENÍ A ZAPOJENÍ - KABELY CXKH-R B2ca, s1, d1, a1</t>
  </si>
  <si>
    <t>170</t>
  </si>
  <si>
    <t>21001000VD13</t>
  </si>
  <si>
    <t>KABELY VČETNĚ MONTÁŽE, ULOŽENÍ A ZAPOJENÍ - VODIČE CY PRO POSPOJOVÁNÍ</t>
  </si>
  <si>
    <t>vodič pro pospojování CY 6mm</t>
  </si>
  <si>
    <t>285</t>
  </si>
  <si>
    <t>M21_1</t>
  </si>
  <si>
    <t>Bleskosvod</t>
  </si>
  <si>
    <t>171</t>
  </si>
  <si>
    <t>21001000VD14</t>
  </si>
  <si>
    <t>"JT1,0" jímací tyč d=10mm, l=1,0m nerez, podpůrná trubka d=50mm, l=3,2m, GFK/Al pro vodiče HVI long</t>
  </si>
  <si>
    <t>M21_1_</t>
  </si>
  <si>
    <t>BLESKOSVOD VČETNĚ DOPRAVY, MONTÁŽE A ZAPOJENÍ</t>
  </si>
  <si>
    <t xml:space="preserve">Délky vodičů HVI Long šedé a počty podpěr je nutné před objednáním proměřit a spočítat realizační montážní firmou.				
</t>
  </si>
  <si>
    <t>172</t>
  </si>
  <si>
    <t>21001000VD15</t>
  </si>
  <si>
    <t>"JT1,5" jímací tyč d=10mm, l=2,5m Al zakrácená na 1,5m, podpůrná trubka d=50mm, l=3,2m, GFK/Al pro vodiče HVI long</t>
  </si>
  <si>
    <t>173</t>
  </si>
  <si>
    <t>21001000VD16</t>
  </si>
  <si>
    <t>"DPT" - držák na stěnu pro svislou montáž, pro jímací tyče nebo podpůrné trubky D40-50, s natáčivou příložkou</t>
  </si>
  <si>
    <t>174</t>
  </si>
  <si>
    <t>21001000VD17</t>
  </si>
  <si>
    <t>sada pro upevnění vodičů HVI long šedých</t>
  </si>
  <si>
    <t>Upevňovací sada pro montáž vodičů HVI long k podpůrným trubkám pro vodiče HVI long, složená z připojovací destičky (čtyřnásobné s dvojicí přírubových matic s ozubením) a upevňovacího kroužku se čtyřmi držáky vedení (O 20 mm), opatřenými prořezem pro koncovku (včetně dvou stahovacích pásků s dvoudílným plastovým držákem).</t>
  </si>
  <si>
    <t>175</t>
  </si>
  <si>
    <t>21001000VD18</t>
  </si>
  <si>
    <t>sada připojovacích prvků pro vodič HVI long O 23 mm, pro uložení vně podpůrné trubky</t>
  </si>
  <si>
    <t xml:space="preserve">Připojovací prvky pro zakončení vodiče HVI long na obou koncích, pro vytvoření koncovky vedení při instalaci vně podpůrné trubky (hlavice pro připojovací destičku) a připojovací prvek pro připojení na jiné části vnější ochrany před bleskem nebo na uzemňovací soustavu (součástí jsou čtyři smršťovací bužírky, 2x černá, 2x šedá)
</t>
  </si>
  <si>
    <t>176</t>
  </si>
  <si>
    <t>21001000VD19</t>
  </si>
  <si>
    <t>"OŠ" - označovací štítek, AL pro prům. 7-10 mm pásek 30 mm</t>
  </si>
  <si>
    <t>177</t>
  </si>
  <si>
    <t>21001000VD20</t>
  </si>
  <si>
    <t>"SZK" - krabice pro zkušební svorky (se svorkou) 0,35/0,20/0,20m (délka/šířka/hloubka), litina, barva černá, pro prům. 7-10/pásek 40mm</t>
  </si>
  <si>
    <t>178</t>
  </si>
  <si>
    <t>21001000VD21</t>
  </si>
  <si>
    <t>vodič vysokonapěťový HVI Long ŠEDÝ, s&lt;0,75m (vzduch), Ř=23mm</t>
  </si>
  <si>
    <t>350</t>
  </si>
  <si>
    <t>179</t>
  </si>
  <si>
    <t>21001000VD22</t>
  </si>
  <si>
    <t>"PV1" - držák vedení s plastovou podložkou pro montáž na stěnu, s příložkou se dvěma šrouby</t>
  </si>
  <si>
    <t>180</t>
  </si>
  <si>
    <t>21001000VD23</t>
  </si>
  <si>
    <t>"PV2" - střešní držák vedení s příložkou pro střechy se stojatým falcem</t>
  </si>
  <si>
    <t>181</t>
  </si>
  <si>
    <t>21001000VD24</t>
  </si>
  <si>
    <t>nátěr vodičů HVI Long šedý a spodních částí podpůrných trubek dle střešní krytiny. Barvy a laky musí být snášenlivé s PE. Barvy a laky mohou být rozpu</t>
  </si>
  <si>
    <t>182</t>
  </si>
  <si>
    <t>21001000VD25</t>
  </si>
  <si>
    <t>uzemňovací svorka na potrubí D 27-89mm, nerez f. Rd 10mm o. 2x Rd 6-8mm bzw. 4-25mm2</t>
  </si>
  <si>
    <t>UZEMNĚNÍ VČETNĚ DOPRAVY, MONTÁŽE A ZAPOJENÍ				
Svorka/pásková objímka pro připojení potrubí podle ČSN EN 62561-1, k uzemnění nebo systému vyrovnání potenciálů podle ČSN 33 2000-4-41 nebo k vyrovnání potenciálů při působení blesku podle ČSN EN 62305-3. Kompletní provedení s plynule nastavitelným nerezovým upínacím páskem, pro připojení 1 vodiče prům. 10 mm nebo 1 - 2 vodičů prům. 6 - 8 mm nebo 2 vodičů s průřezem 4 - 50 mm2 (jedno/vícežilové).</t>
  </si>
  <si>
    <t>183</t>
  </si>
  <si>
    <t>21001000VD26</t>
  </si>
  <si>
    <t>úprava / zakrácení stávajícího zemnícího drátu FeZn Ř 10mm</t>
  </si>
  <si>
    <t xml:space="preserve">UZEMNĚNÍ VČETNĚ DOPRAVY, MONTÁŽE A ZAPOJENÍ				
</t>
  </si>
  <si>
    <t>184</t>
  </si>
  <si>
    <t>21001000VD27</t>
  </si>
  <si>
    <t>úprava terénu u stávajícího využitého zemnícího drátu FeZn Ř 10mm pro uložení zemní krabice "SZK"</t>
  </si>
  <si>
    <t>UZEMNĚNÍ VČETNĚ DOPRAVY, MONTÁŽE A ZAPOJENÍ				
rozebrání dlažby, výkop 0,35/0,20/0,20m (délka/šířka/hloubka) pro uložení krabice do štěrkového pole, zapravení terénu / opětovné položení dlažby</t>
  </si>
  <si>
    <t>185</t>
  </si>
  <si>
    <t>21001000VD28</t>
  </si>
  <si>
    <t>drát AlMgSi o 8mm (vyrovnání potenciálu)</t>
  </si>
  <si>
    <t>186</t>
  </si>
  <si>
    <t>21001000VD29</t>
  </si>
  <si>
    <t>"ST5" - svorka na potrubí Ř=44-55mm, Fe/Zn (vyrovnání potenciálu)</t>
  </si>
  <si>
    <t>187</t>
  </si>
  <si>
    <t>21001000VD30</t>
  </si>
  <si>
    <t>SO - svorka na okapové svody, Fe/Zn</t>
  </si>
  <si>
    <t>188</t>
  </si>
  <si>
    <t>21001000VD31</t>
  </si>
  <si>
    <t>demontáž stávající bleskosvodné soustavy bez zachování funkčnosti</t>
  </si>
  <si>
    <t>hod</t>
  </si>
  <si>
    <t xml:space="preserve">OSTATNÍ			
</t>
  </si>
  <si>
    <t>189</t>
  </si>
  <si>
    <t>21001000VD32</t>
  </si>
  <si>
    <t>ekologická likvidace bleskosvodné soustavy jako celek</t>
  </si>
  <si>
    <t>0,78</t>
  </si>
  <si>
    <t>190</t>
  </si>
  <si>
    <t>21001000VD33</t>
  </si>
  <si>
    <t>zapravení děr po demontovaných podpěrách bleskových svodů do zdiva včtně fasádního nátěru v barvě fasády</t>
  </si>
  <si>
    <t>191</t>
  </si>
  <si>
    <t>21001000VD34</t>
  </si>
  <si>
    <t>dřevěná deska cca 4000x250x40mm, včetně kotvícího / uchycujícího materiálu</t>
  </si>
  <si>
    <t>192</t>
  </si>
  <si>
    <t>21001000VD35</t>
  </si>
  <si>
    <t>dřevěná deska cca 2500x200x40mm, včetně kotvícího / uchycujícího materiálu</t>
  </si>
  <si>
    <t>193</t>
  </si>
  <si>
    <t>21001000VD36</t>
  </si>
  <si>
    <t>úprava dřevěné konstrukce pro přichycení nástěnného držáku spodní části podpůrné trubky</t>
  </si>
  <si>
    <t>194</t>
  </si>
  <si>
    <t>21001000VD37</t>
  </si>
  <si>
    <t>kabelový vývod pro el. střešní okna, ukončení a zapojení</t>
  </si>
  <si>
    <t>195</t>
  </si>
  <si>
    <t>21001000VD38</t>
  </si>
  <si>
    <t>štítky na krabice</t>
  </si>
  <si>
    <t>199</t>
  </si>
  <si>
    <t>196</t>
  </si>
  <si>
    <t>21001000VD39</t>
  </si>
  <si>
    <t>vrtání otvorů do o 10cm</t>
  </si>
  <si>
    <t>21001000VD40</t>
  </si>
  <si>
    <t>198</t>
  </si>
  <si>
    <t>21001000VD41</t>
  </si>
  <si>
    <t>pomocný instalační materiál</t>
  </si>
  <si>
    <t>21001000VD42</t>
  </si>
  <si>
    <t>koordinace ostatních profesí během stavby</t>
  </si>
  <si>
    <t>200</t>
  </si>
  <si>
    <t>21001000VD43</t>
  </si>
  <si>
    <t>revize elektroinstalace</t>
  </si>
  <si>
    <t>201</t>
  </si>
  <si>
    <t>21001000VD44</t>
  </si>
  <si>
    <t>revize bleskosvodu</t>
  </si>
  <si>
    <t>202</t>
  </si>
  <si>
    <t>21001000VD45</t>
  </si>
  <si>
    <t>Mimostav. doprava 3.6% z dodávky</t>
  </si>
  <si>
    <t>kpl</t>
  </si>
  <si>
    <t>203</t>
  </si>
  <si>
    <t>21001000VD46</t>
  </si>
  <si>
    <t>PPV obor 001-025</t>
  </si>
  <si>
    <t>Dešťová kanalizace</t>
  </si>
  <si>
    <t>Hloubené vykopávky</t>
  </si>
  <si>
    <t>06</t>
  </si>
  <si>
    <t>204</t>
  </si>
  <si>
    <t>139601102R00</t>
  </si>
  <si>
    <t>Ruční výkop jam, rýh a šachet v hornině tř. 3</t>
  </si>
  <si>
    <t>RTS I / 2024</t>
  </si>
  <si>
    <t>13_</t>
  </si>
  <si>
    <t>06_1_</t>
  </si>
  <si>
    <t>06_</t>
  </si>
  <si>
    <t>(13,5+2,50)*0,4*0,80</t>
  </si>
  <si>
    <t>k nejbližší šachtě</t>
  </si>
  <si>
    <t>0,8*0,8*0,8</t>
  </si>
  <si>
    <t>šachta</t>
  </si>
  <si>
    <t>Konstrukce ze zemin</t>
  </si>
  <si>
    <t>205</t>
  </si>
  <si>
    <t>174101102R00</t>
  </si>
  <si>
    <t>Zásyp ruční se zhutněním</t>
  </si>
  <si>
    <t>17_</t>
  </si>
  <si>
    <t>206</t>
  </si>
  <si>
    <t>175101101RT2</t>
  </si>
  <si>
    <t>Obsyp potrubí bez prohození sypaniny</t>
  </si>
  <si>
    <t>s dodáním štěrkopísku frakce 0 - 22 mm</t>
  </si>
  <si>
    <t>(13,5+2,50)*0,4*0,20</t>
  </si>
  <si>
    <t>Včetně dodávky kameniva</t>
  </si>
  <si>
    <t>Povrchové úpravy terénu</t>
  </si>
  <si>
    <t>207</t>
  </si>
  <si>
    <t>180402111R00</t>
  </si>
  <si>
    <t>Založení trávníku parkového výsevem v rovině</t>
  </si>
  <si>
    <t>18_</t>
  </si>
  <si>
    <t>(13,5+2,50)*0,80</t>
  </si>
  <si>
    <t>1,50*1,50</t>
  </si>
  <si>
    <t>Podrobnější popis viz výkresová část PD, D.1.1.Technická zpráva</t>
  </si>
  <si>
    <t>Podkladní a vedlejší konstrukce (kromě vozovek a železničního svršku)</t>
  </si>
  <si>
    <t>208</t>
  </si>
  <si>
    <t>451595111R00</t>
  </si>
  <si>
    <t>Lože pod potrubí z prohozeného výkopku</t>
  </si>
  <si>
    <t>45_</t>
  </si>
  <si>
    <t>06_4_</t>
  </si>
  <si>
    <t>(13,5+2,50)*0,4*0,10</t>
  </si>
  <si>
    <t>0,8*0,8*0,1</t>
  </si>
  <si>
    <t>Položka je určena i pro zřízení sběrných vrstev nad drenážními trubkami. V položce jsou zakalkulovány i náklady na prohození výkopku získaného při zemních pracích. Položka je určena pro práce v otevřeném výkopu, pro práce ve štole se k položce používá příplatek 45154-1192</t>
  </si>
  <si>
    <t>209</t>
  </si>
  <si>
    <t>998011001R00</t>
  </si>
  <si>
    <t>Přesun hmot pro budovy zděné výšky do 6 m</t>
  </si>
  <si>
    <t>721</t>
  </si>
  <si>
    <t>Vnitřní kanalizace</t>
  </si>
  <si>
    <t>210</t>
  </si>
  <si>
    <t>721176224R00</t>
  </si>
  <si>
    <t>Potrubí KG svodné (ležaté) v zemi, D 160 x 4,0 mm</t>
  </si>
  <si>
    <t>721_</t>
  </si>
  <si>
    <t>06_72_</t>
  </si>
  <si>
    <t>(13,5+2,50)*1,1</t>
  </si>
  <si>
    <t>211</t>
  </si>
  <si>
    <t>28656139</t>
  </si>
  <si>
    <t>Koleno 30° kanalizační odolné PPKGB DN 160</t>
  </si>
  <si>
    <t>2*2</t>
  </si>
  <si>
    <t>Kanalizace do náročných podmínek. Kanalizační trubky a tvarovky z polypropylenu, se schopností odolávat vařící vodě a účinkům světla, vyráběné v souladu s DIN EN 14758. Svými vlastnostmi odpovídá požadavkům normy ČSN EN 1852.  Vyznačují se hladkou homogennní stěnou s vysokou kruhovou tuhostí, čímž jsou předurčeny pro uložení v zemi v místech s vyššími vrcholovými tlaky - dálniční vozovky, extrémní hloubky uložení, oblasti s vysokou hladinou podzemní vody atd.  Těsnost spojů systému při přetlaku i podtlaku zajišťuje vícebřitý těsnicí element, který je opatřen napínacím břitem - zabraňuje vniknutí nečistot mezi těsnění a stěnu trubky, vymezovacím břitem - fixuje pozici zasunuté trubky, stíracím břitem - odstraňuje zbytky nečistot ze zasouvaného konce trubky, hlavním břitem - zajišťuje dlouhodobé utěsnění spoje.  Kruhová tuhost SN 10 kN/m2 Dlouhodobá teplotní odolnost 90 °C Vysoká chemická odolnost pH 2 - pH 12 (kyselina / alkalické</t>
  </si>
  <si>
    <t>212</t>
  </si>
  <si>
    <t>28656177</t>
  </si>
  <si>
    <t>Kus čisticí kanalizační PPKGRE DN 160</t>
  </si>
  <si>
    <t>213</t>
  </si>
  <si>
    <t>721242117R00</t>
  </si>
  <si>
    <t>Lapač střešních splavenin litinový, DN 150 mm</t>
  </si>
  <si>
    <t>214</t>
  </si>
  <si>
    <t>998721201R00</t>
  </si>
  <si>
    <t>Přesun hmot pro vnitřní kanalizaci, výšky do 6 m</t>
  </si>
  <si>
    <t>29134*0,01</t>
  </si>
  <si>
    <t>Ostatní konstrukce a práce na trubním vedení</t>
  </si>
  <si>
    <t>215</t>
  </si>
  <si>
    <t>894431112R00</t>
  </si>
  <si>
    <t>Osazení plastové šachty z dílů prům.600 mm,</t>
  </si>
  <si>
    <t>89_</t>
  </si>
  <si>
    <t>06_8_</t>
  </si>
  <si>
    <t>včetně kompletního sortimentu
přesné typové označení bude dle skutečné polohy potrubí v zemi</t>
  </si>
  <si>
    <t>Položka je určena pro osazení plastových dílců šachet, tvořených dnem, šachtovým dílem a konusem na připravený podklad včetně přípravy pro napojení potrubí. V položce nejsou zakalkulovány náklady na dodání plastových dílců; dílce se oceňují ve specifikaci. Ztratné se nedoporučuje. Plastová šachta splňuje požadavky na vodotěsnost, odolnost proti korozi, stabilitu a trvanlivost a vyhovuje zatížení vozovek A, B a C. Osazení poklopů a mříží se oceňuje samostatně položkami 899 10 - .... až 899 40 - .... části A01 tohoto ceníku</t>
  </si>
  <si>
    <t>216</t>
  </si>
  <si>
    <t>28697122.A</t>
  </si>
  <si>
    <t>Roura šachtová PP  korugovaná bez hrdla 600 x 3000 mm</t>
  </si>
  <si>
    <t xml:space="preserve">katalogové číslo výrobce RP030000W  Inspekční (neprůlezná) šachta firmy TEGRA 600 je novým řešením v oblasti kanalizačních sítí a domovních přípojek, systémů pro odpadní a dešťovou vodu, sdružené kanalizace, průmyslových odpadních sítí, „zelené zóny a vozovek". Materiál roury - polypropylen má vynikající pevnostní charakteristiky, šachtová roura odolává bez nebezpečí prasknutí i velmi vysokému zatížení. Technické výhody vyplývající z dosavadních technických řešení:  ŠACHTOVÁ (KORUGOVANÁ) ROURA:  - plynulá regulace výšky šachty  - kopírování chování okolní zeminy  - kruhová tuhost SN4  - odolnost vůči svislému zatížení </t>
  </si>
  <si>
    <t>217</t>
  </si>
  <si>
    <t>286971503</t>
  </si>
  <si>
    <t>Dno šachtové PP  TEGRA 600 průtočné 60° KG 160 mm</t>
  </si>
  <si>
    <t xml:space="preserve">katalogové číslo výrobce RF130000W pro potrubí hladké, včetně těsnění  Inspekční (neprůlezná) šachta TEGRA 600 je novým řešením v oblasti kanalizačních sítí a domovních přípojek, systémů pro odpadní a dešťovou vodu, sdružené kanalizace, průmyslových odpadních sítí, „zelené zóny a vozovek". Unikátní je systém výkyvných hrdel umožňující napojení dna v libovolném úhlu. Technické výhody vyplývající z dosavadních technických řešení:  DNO ŠACHTY:  - výroba metodou extruzního vstřikování  - pevná a trvalá konstrukce  - dobré usazení v půdě  </t>
  </si>
  <si>
    <t>218</t>
  </si>
  <si>
    <t>55241713</t>
  </si>
  <si>
    <t>Poklop šachtový litina TEGRA 600/100 D400</t>
  </si>
  <si>
    <t>Celkem:</t>
  </si>
  <si>
    <t>Krycí list slepého rozpočtu</t>
  </si>
  <si>
    <t>IČO/DIČ:</t>
  </si>
  <si>
    <t>00281859/CZ00281859</t>
  </si>
  <si>
    <t>73313190/CZ7712155616</t>
  </si>
  <si>
    <t>Položek:</t>
  </si>
  <si>
    <t>Datum:</t>
  </si>
  <si>
    <t>Rozpočtové náklady v Kč</t>
  </si>
  <si>
    <t>A</t>
  </si>
  <si>
    <t>Základní rozpočtové náklady</t>
  </si>
  <si>
    <t>B</t>
  </si>
  <si>
    <t>Doplňkové náklady</t>
  </si>
  <si>
    <t>C</t>
  </si>
  <si>
    <t>Náklady na umístění stavby (NUS)</t>
  </si>
  <si>
    <t>HSV</t>
  </si>
  <si>
    <t>Dodávky</t>
  </si>
  <si>
    <t>Práce přesčas</t>
  </si>
  <si>
    <t>Zařízení staveniště</t>
  </si>
  <si>
    <t>Bez pevné podl.</t>
  </si>
  <si>
    <t>Mimostav. doprava</t>
  </si>
  <si>
    <t>PSV</t>
  </si>
  <si>
    <t>Kulturní památka</t>
  </si>
  <si>
    <t>Územní vlivy</t>
  </si>
  <si>
    <t>Provozní vlivy</t>
  </si>
  <si>
    <t>"M"</t>
  </si>
  <si>
    <t>Ostatní</t>
  </si>
  <si>
    <t>NUS z rozpočtu</t>
  </si>
  <si>
    <t>Ostatní materiál</t>
  </si>
  <si>
    <t>Přesun hmot a sutí</t>
  </si>
  <si>
    <t>ZRN celkem</t>
  </si>
  <si>
    <t>DN celkem</t>
  </si>
  <si>
    <t>NUS celkem</t>
  </si>
  <si>
    <t>DN celkem z obj.</t>
  </si>
  <si>
    <t>NUS celkem z obj.</t>
  </si>
  <si>
    <t>VORN celkem</t>
  </si>
  <si>
    <t>VORN celkem z obj.</t>
  </si>
  <si>
    <t>Základ 0%</t>
  </si>
  <si>
    <t>Základ 12%</t>
  </si>
  <si>
    <t>DPH 12%</t>
  </si>
  <si>
    <t>Celkem bez DPH</t>
  </si>
  <si>
    <t>Základ 21%</t>
  </si>
  <si>
    <t>DPH 21%</t>
  </si>
  <si>
    <t>Celkem včetně DPH</t>
  </si>
  <si>
    <t>Projektant</t>
  </si>
  <si>
    <t>Objednatel</t>
  </si>
  <si>
    <t>Zhotovitel</t>
  </si>
  <si>
    <t>Datum, razítko a podpis</t>
  </si>
  <si>
    <t>Vedlejší a ostatní rozpočtové náklady</t>
  </si>
  <si>
    <t>Vedlejší rozpočtové náklady VRN</t>
  </si>
  <si>
    <t>Doplňkové náklady DN</t>
  </si>
  <si>
    <t>Kč</t>
  </si>
  <si>
    <t>Základna</t>
  </si>
  <si>
    <t>Celkem DN</t>
  </si>
  <si>
    <t>Celkem NUS</t>
  </si>
  <si>
    <t>Celkem VRN</t>
  </si>
  <si>
    <t>Ostatní rozpočtové náklady ORN</t>
  </si>
  <si>
    <t>Ostatní rozpočtové náklady (ORN)</t>
  </si>
  <si>
    <t>Celkem ORN</t>
  </si>
  <si>
    <t>Krycí list slepého rozpočtu (00 - Staveniště)</t>
  </si>
  <si>
    <t>Vedlejší a ostatní rozpočtové náklady (00 - Staveniště)</t>
  </si>
  <si>
    <t>Krycí list slepého rozpočtu (01 - Střecha nad tělocvičnou)</t>
  </si>
  <si>
    <t>Vedlejší a ostatní rozpočtové náklady (01 - Střecha nad tělocvičnou)</t>
  </si>
  <si>
    <t>Krycí list slepého rozpočtu (02 - Střecha nad hlavní budovou)</t>
  </si>
  <si>
    <t>Vedlejší a ostatní rozpočtové náklady (02 - Střecha nad hlavní budovou)</t>
  </si>
  <si>
    <t>Krycí list slepého rozpočtu (03 - Střešní okna)</t>
  </si>
  <si>
    <t>Vedlejší a ostatní rozpočtové náklady (03 - Střešní okna)</t>
  </si>
  <si>
    <t>Krycí list slepého rozpočtu (04 - Klima jednotky - stavební připravenost)</t>
  </si>
  <si>
    <t>Vedlejší a ostatní rozpočtové náklady (04 - Klima jednotky - stavební připravenost)</t>
  </si>
  <si>
    <t>Krycí list slepého rozpočtu (05 - TPS – Silnoproud + Bleskosvod	)</t>
  </si>
  <si>
    <t>Vedlejší a ostatní rozpočtové náklady (05 - TPS – Silnoproud + Bleskosvod	)</t>
  </si>
  <si>
    <t>Krycí list slepého rozpočtu (06 - Dešťová kanalizace)</t>
  </si>
  <si>
    <t>Vedlejší a ostatní rozpočtové náklady (06 - Dešťová kanalizace)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</si>
</sst>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Calibri"/>
      <charset val="1"/>
    </font>
    <font>
      <sz val="18"/>
      <color rgb="FF000000"/>
      <name val="Arial"/>
      <charset val="238"/>
    </font>
    <font>
      <b/>
      <sz val="10"/>
      <color rgb="FF000000"/>
      <name val="Arial"/>
      <charset val="238"/>
    </font>
    <font>
      <sz val="10"/>
      <color rgb="FF000000"/>
      <name val="Arial"/>
      <charset val="238"/>
    </font>
    <font>
      <i/>
      <sz val="10"/>
      <color rgb="FF000000"/>
      <name val="Arial"/>
      <charset val="238"/>
    </font>
    <font>
      <i/>
      <sz val="10"/>
      <color rgb="FF008000"/>
      <name val="Arial"/>
      <charset val="238"/>
    </font>
    <font>
      <sz val="10"/>
      <color rgb="FF0080C0"/>
      <name val="Arial"/>
      <charset val="238"/>
    </font>
    <font>
      <i/>
      <sz val="10"/>
      <color rgb="FF0080C0"/>
      <name val="Arial"/>
      <charset val="238"/>
    </font>
    <font>
      <sz val="11"/>
      <name val="Arial"/>
      <charset val="1"/>
    </font>
    <font>
      <i/>
      <sz val="8"/>
      <color rgb="FF000000"/>
      <name val="Arial"/>
      <charset val="238"/>
    </font>
    <font>
      <b/>
      <sz val="18"/>
      <color rgb="FF000000"/>
      <name val="Arial"/>
      <charset val="238"/>
    </font>
    <font>
      <b/>
      <sz val="20"/>
      <color rgb="FF000000"/>
      <name val="Arial"/>
      <charset val="238"/>
    </font>
    <font>
      <b/>
      <sz val="11"/>
      <color rgb="FF000000"/>
      <name val="Arial"/>
      <charset val="238"/>
    </font>
    <font>
      <b/>
      <sz val="12"/>
      <color rgb="FF000000"/>
      <name val="Arial"/>
      <charset val="238"/>
    </font>
    <font>
      <sz val="12"/>
      <color rgb="FF000000"/>
      <name val="Arial"/>
      <charset val="238"/>
    </font>
  </fonts>
  <fills count="10">
    <fill>
      <patternFill patternType="none"/>
    </fill>
    <fill>
      <patternFill patternType="gray125"/>
    </fill>
    <fill>
      <patternFill patternType="solid">
        <fgColor rgb="FFC0C0C0"/>
        <bgColor rgb="FFC0C0C0"/>
      </patternFill>
    </fill>
    <fill>
      <patternFill patternType="solid">
        <fgColor rgb="FF99CC00"/>
        <bgColor rgb="FF99CC00"/>
      </patternFill>
    </fill>
    <fill>
      <patternFill patternType="solid">
        <fgColor rgb="FF00FFFF"/>
        <bgColor rgb="FF00FFFF"/>
      </patternFill>
    </fill>
    <fill>
      <patternFill patternType="solid">
        <fgColor rgb="FFFF99CC"/>
        <bgColor rgb="FFFF99CC"/>
      </patternFill>
    </fill>
    <fill>
      <patternFill patternType="solid">
        <fgColor rgb="FF808000"/>
        <bgColor rgb="FF808000"/>
      </patternFill>
    </fill>
    <fill>
      <patternFill patternType="solid">
        <fgColor rgb="FFFFCC99"/>
        <bgColor rgb="FFFFCC99"/>
      </patternFill>
    </fill>
    <fill>
      <patternFill patternType="solid">
        <fgColor rgb="FFCCFFFF"/>
        <bgColor rgb="FFCCFFFF"/>
      </patternFill>
    </fill>
    <fill>
      <patternFill patternType="solid">
        <fgColor rgb="FFCC99FF"/>
        <bgColor rgb="FFCC99FF"/>
      </patternFill>
    </fill>
  </fills>
  <borders count="89">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style="thin">
        <color rgb="FF000000"/>
      </right>
      <top style="medium">
        <color rgb="FF000000"/>
      </top>
      <bottom/>
      <diagonal/>
    </border>
    <border>
      <left/>
      <right style="thin">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right/>
      <top style="medium">
        <color rgb="FF000000"/>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style="thin">
        <color rgb="FF000000"/>
      </right>
      <top style="medium">
        <color rgb="FF000000"/>
      </top>
      <bottom/>
      <diagonal/>
    </border>
    <border>
      <left style="thin">
        <color rgb="FF000000"/>
      </left>
      <right style="thin">
        <color rgb="FF000000"/>
      </right>
      <top/>
      <bottom style="medium">
        <color rgb="FF000000"/>
      </bottom>
      <diagonal/>
    </border>
    <border>
      <left/>
      <right style="thin">
        <color rgb="FF000000"/>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right/>
      <top/>
      <bottom style="medium">
        <color rgb="FF000000"/>
      </bottom>
      <diagonal/>
    </border>
    <border>
      <left style="medium">
        <color rgb="FF000000"/>
      </left>
      <right style="thin">
        <color rgb="FF000000"/>
      </right>
      <top/>
      <bottom style="medium">
        <color rgb="FF000000"/>
      </bottom>
      <diagonal/>
    </border>
    <border>
      <left/>
      <right style="thin">
        <color rgb="FF000000"/>
      </right>
      <top/>
      <bottom style="medium">
        <color rgb="FF000000"/>
      </bottom>
      <diagonal/>
    </border>
    <border>
      <left/>
      <right style="medium">
        <color rgb="FF000000"/>
      </right>
      <top/>
      <bottom style="medium">
        <color rgb="FF000000"/>
      </bottom>
      <diagonal/>
    </border>
    <border>
      <left/>
      <right style="thin">
        <color rgb="FF000000"/>
      </right>
      <top/>
      <bottom style="medium">
        <color rgb="FF000000"/>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bottom/>
      <diagonal/>
    </border>
    <border>
      <left/>
      <right/>
      <top/>
      <bottom/>
      <diagonal/>
    </border>
    <border>
      <left/>
      <right style="thin">
        <color rgb="FF000000"/>
      </right>
      <top/>
      <bottom/>
      <diagonal/>
    </border>
    <border>
      <left style="thin">
        <color rgb="FFC0C0C0"/>
      </left>
      <right/>
      <top/>
      <bottom/>
      <diagonal/>
    </border>
    <border>
      <left/>
      <right/>
      <top/>
      <bottom/>
      <diagonal/>
    </border>
    <border>
      <left/>
      <right style="thin">
        <color rgb="FFC0C0C0"/>
      </right>
      <top/>
      <bottom/>
      <diagonal/>
    </border>
    <border>
      <left style="thin">
        <color rgb="FFC0C0C0"/>
      </left>
      <right/>
      <top/>
      <bottom/>
      <diagonal/>
    </border>
    <border>
      <left/>
      <right/>
      <top/>
      <bottom/>
      <diagonal/>
    </border>
    <border>
      <left/>
      <right style="thin">
        <color rgb="FFC0C0C0"/>
      </right>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top/>
      <bottom/>
      <diagonal/>
    </border>
    <border>
      <left/>
      <right style="thin">
        <color rgb="FF000000"/>
      </right>
      <top/>
      <bottom/>
      <diagonal/>
    </border>
    <border>
      <left/>
      <right style="thin">
        <color rgb="FF000000"/>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style="medium">
        <color rgb="FF000000"/>
      </top>
      <bottom/>
      <diagonal/>
    </border>
    <border>
      <left style="medium">
        <color rgb="FF000000"/>
      </left>
      <right/>
      <top/>
      <bottom/>
      <diagonal/>
    </border>
    <border>
      <left/>
      <right style="medium">
        <color rgb="FF000000"/>
      </right>
      <top/>
      <bottom/>
      <diagonal/>
    </border>
    <border>
      <left/>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right style="medium">
        <color rgb="FF000000"/>
      </right>
      <top style="medium">
        <color rgb="FF000000"/>
      </top>
      <bottom style="thin">
        <color rgb="FF000000"/>
      </bottom>
      <diagonal/>
    </border>
    <border>
      <left style="thin">
        <color rgb="FF000000"/>
      </left>
      <right/>
      <top/>
      <bottom/>
      <diagonal/>
    </border>
    <border>
      <left/>
      <right/>
      <top/>
      <bottom/>
      <diagonal/>
    </border>
    <border>
      <left/>
      <right style="thin">
        <color rgb="FF000000"/>
      </right>
      <top/>
      <bottom/>
      <diagonal/>
    </border>
    <border>
      <left/>
      <right style="thin">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359">
    <xf numFmtId="0" fontId="0" fillId="0" borderId="0" xfId="0"/>
    <xf numFmtId="4" fontId="2" fillId="2" borderId="0" xfId="0" applyNumberFormat="1" applyFont="1" applyFill="1" applyAlignment="1">
      <alignment horizontal="right" vertical="center"/>
    </xf>
    <xf numFmtId="0" fontId="3" fillId="0" borderId="5" xfId="0" applyFont="1" applyBorder="1" applyAlignment="1">
      <alignment horizontal="left" vertical="center"/>
    </xf>
    <xf numFmtId="0" fontId="3" fillId="0" borderId="0" xfId="0" applyFont="1" applyAlignment="1">
      <alignment horizontal="left" vertical="center"/>
    </xf>
    <xf numFmtId="0" fontId="3" fillId="0" borderId="0" xfId="0" applyFont="1" applyAlignment="1">
      <alignment horizontal="left" vertical="center" wrapText="1"/>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1" xfId="0" applyFont="1" applyBorder="1" applyAlignment="1">
      <alignment horizontal="center" vertical="center"/>
    </xf>
    <xf numFmtId="0" fontId="2" fillId="0" borderId="14" xfId="0" applyFont="1" applyBorder="1" applyAlignment="1">
      <alignment horizontal="center" vertical="center"/>
    </xf>
    <xf numFmtId="0" fontId="2" fillId="0" borderId="18" xfId="0" applyFont="1" applyBorder="1" applyAlignment="1">
      <alignment horizontal="center" vertical="center"/>
    </xf>
    <xf numFmtId="0" fontId="2" fillId="2" borderId="0" xfId="0" applyFont="1" applyFill="1" applyAlignment="1">
      <alignment horizontal="right" vertical="center"/>
    </xf>
    <xf numFmtId="0" fontId="2" fillId="0" borderId="0" xfId="0" applyFont="1" applyAlignment="1">
      <alignment horizontal="right" vertical="center"/>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3" fillId="2" borderId="28" xfId="0" applyFont="1" applyFill="1" applyBorder="1" applyAlignment="1">
      <alignment horizontal="left" vertical="center"/>
    </xf>
    <xf numFmtId="0" fontId="2" fillId="2" borderId="29" xfId="0" applyFont="1" applyFill="1" applyBorder="1" applyAlignment="1">
      <alignment horizontal="left" vertical="center"/>
    </xf>
    <xf numFmtId="0" fontId="3" fillId="2" borderId="29" xfId="0" applyFont="1" applyFill="1" applyBorder="1" applyAlignment="1">
      <alignment horizontal="left" vertical="center"/>
    </xf>
    <xf numFmtId="4" fontId="2" fillId="2" borderId="29" xfId="0" applyNumberFormat="1" applyFont="1" applyFill="1" applyBorder="1" applyAlignment="1">
      <alignment horizontal="right" vertical="center"/>
    </xf>
    <xf numFmtId="0" fontId="2" fillId="2" borderId="30" xfId="0" applyFont="1" applyFill="1" applyBorder="1" applyAlignment="1">
      <alignment horizontal="right" vertical="center"/>
    </xf>
    <xf numFmtId="0" fontId="3" fillId="2" borderId="5" xfId="0" applyFont="1" applyFill="1" applyBorder="1" applyAlignment="1">
      <alignment horizontal="left" vertical="center"/>
    </xf>
    <xf numFmtId="0" fontId="2" fillId="2" borderId="0" xfId="0" applyFont="1" applyFill="1" applyAlignment="1">
      <alignment horizontal="left" vertical="center"/>
    </xf>
    <xf numFmtId="0" fontId="3" fillId="2" borderId="0" xfId="0" applyFont="1" applyFill="1" applyAlignment="1">
      <alignment horizontal="left" vertical="center"/>
    </xf>
    <xf numFmtId="0" fontId="2" fillId="2" borderId="6" xfId="0" applyFont="1" applyFill="1" applyBorder="1" applyAlignment="1">
      <alignment horizontal="right" vertical="center"/>
    </xf>
    <xf numFmtId="4" fontId="3" fillId="0" borderId="0" xfId="0" applyNumberFormat="1" applyFont="1" applyAlignment="1">
      <alignment horizontal="right" vertical="center"/>
    </xf>
    <xf numFmtId="0" fontId="3" fillId="0" borderId="6" xfId="0" applyFont="1" applyBorder="1" applyAlignment="1">
      <alignment horizontal="right" vertical="center"/>
    </xf>
    <xf numFmtId="0" fontId="3" fillId="0" borderId="0" xfId="0" applyFont="1" applyAlignment="1">
      <alignment horizontal="right" vertical="center"/>
    </xf>
    <xf numFmtId="0" fontId="0" fillId="0" borderId="5" xfId="0" applyBorder="1"/>
    <xf numFmtId="0" fontId="4" fillId="0" borderId="0" xfId="0" applyFont="1" applyAlignment="1">
      <alignment horizontal="left" vertical="center" wrapText="1"/>
    </xf>
    <xf numFmtId="0" fontId="4" fillId="0" borderId="0" xfId="0" applyFont="1" applyAlignment="1">
      <alignment horizontal="left" vertical="center"/>
    </xf>
    <xf numFmtId="0" fontId="5" fillId="0" borderId="0" xfId="0" applyFont="1" applyAlignment="1">
      <alignment horizontal="left" vertical="center"/>
    </xf>
    <xf numFmtId="4" fontId="5" fillId="0" borderId="0" xfId="0" applyNumberFormat="1" applyFont="1" applyAlignment="1">
      <alignment horizontal="right" vertical="center"/>
    </xf>
    <xf numFmtId="0" fontId="0" fillId="0" borderId="6" xfId="0" applyBorder="1"/>
    <xf numFmtId="0" fontId="4" fillId="0" borderId="0" xfId="0" applyFont="1" applyAlignment="1">
      <alignment horizontal="right" vertical="center"/>
    </xf>
    <xf numFmtId="0" fontId="6" fillId="0" borderId="5" xfId="0" applyFont="1" applyBorder="1" applyAlignment="1">
      <alignment horizontal="left" vertical="center"/>
    </xf>
    <xf numFmtId="0" fontId="6" fillId="0" borderId="0" xfId="0" applyFont="1" applyAlignment="1">
      <alignment horizontal="left" vertical="center"/>
    </xf>
    <xf numFmtId="0" fontId="6" fillId="0" borderId="0" xfId="0" applyFont="1" applyAlignment="1">
      <alignment horizontal="left" vertical="center" wrapText="1"/>
    </xf>
    <xf numFmtId="4" fontId="6" fillId="0" borderId="0" xfId="0" applyNumberFormat="1" applyFont="1" applyAlignment="1">
      <alignment horizontal="right" vertical="center"/>
    </xf>
    <xf numFmtId="0" fontId="6" fillId="0" borderId="6" xfId="0" applyFont="1" applyBorder="1" applyAlignment="1">
      <alignment horizontal="right" vertical="center"/>
    </xf>
    <xf numFmtId="0" fontId="6" fillId="0" borderId="0" xfId="0" applyFont="1" applyAlignment="1">
      <alignment horizontal="right" vertical="center"/>
    </xf>
    <xf numFmtId="0" fontId="7" fillId="0" borderId="0" xfId="0" applyFont="1" applyAlignment="1">
      <alignment horizontal="left" vertical="center" wrapText="1"/>
    </xf>
    <xf numFmtId="0" fontId="0" fillId="0" borderId="31" xfId="0" applyBorder="1"/>
    <xf numFmtId="0" fontId="5" fillId="0" borderId="32" xfId="0" applyFont="1" applyBorder="1" applyAlignment="1">
      <alignment horizontal="left" vertical="center"/>
    </xf>
    <xf numFmtId="0" fontId="4" fillId="0" borderId="32" xfId="0" applyFont="1" applyBorder="1" applyAlignment="1">
      <alignment horizontal="left" vertical="center"/>
    </xf>
    <xf numFmtId="4" fontId="5" fillId="0" borderId="32" xfId="0" applyNumberFormat="1" applyFont="1" applyBorder="1" applyAlignment="1">
      <alignment horizontal="right" vertical="center"/>
    </xf>
    <xf numFmtId="0" fontId="0" fillId="0" borderId="33" xfId="0" applyBorder="1"/>
    <xf numFmtId="0" fontId="3" fillId="3" borderId="34" xfId="0" applyFont="1" applyFill="1" applyBorder="1" applyAlignment="1">
      <alignment horizontal="left" vertical="center"/>
    </xf>
    <xf numFmtId="0" fontId="3" fillId="3" borderId="35" xfId="0" applyFont="1" applyFill="1" applyBorder="1" applyAlignment="1">
      <alignment horizontal="left" vertical="center"/>
    </xf>
    <xf numFmtId="4" fontId="3" fillId="3" borderId="35" xfId="0" applyNumberFormat="1" applyFont="1" applyFill="1" applyBorder="1" applyAlignment="1">
      <alignment horizontal="right" vertical="center"/>
    </xf>
    <xf numFmtId="0" fontId="3" fillId="3" borderId="36" xfId="0" applyFont="1" applyFill="1" applyBorder="1" applyAlignment="1">
      <alignment horizontal="right" vertical="center"/>
    </xf>
    <xf numFmtId="0" fontId="8" fillId="3" borderId="37" xfId="0" applyFont="1" applyFill="1" applyBorder="1"/>
    <xf numFmtId="0" fontId="8" fillId="3" borderId="38" xfId="0" applyFont="1" applyFill="1" applyBorder="1"/>
    <xf numFmtId="0" fontId="5" fillId="3" borderId="38" xfId="0" applyFont="1" applyFill="1" applyBorder="1" applyAlignment="1">
      <alignment horizontal="left" vertical="center"/>
    </xf>
    <xf numFmtId="0" fontId="4" fillId="3" borderId="38" xfId="0" applyFont="1" applyFill="1" applyBorder="1" applyAlignment="1">
      <alignment horizontal="left" vertical="center"/>
    </xf>
    <xf numFmtId="4" fontId="5" fillId="3" borderId="38" xfId="0" applyNumberFormat="1" applyFont="1" applyFill="1" applyBorder="1" applyAlignment="1">
      <alignment horizontal="right" vertical="center"/>
    </xf>
    <xf numFmtId="0" fontId="8" fillId="3" borderId="39" xfId="0" applyFont="1" applyFill="1" applyBorder="1"/>
    <xf numFmtId="0" fontId="0" fillId="0" borderId="40" xfId="0" applyBorder="1"/>
    <xf numFmtId="0" fontId="4" fillId="0" borderId="41" xfId="0" applyFont="1" applyBorder="1" applyAlignment="1">
      <alignment horizontal="right" vertical="center"/>
    </xf>
    <xf numFmtId="0" fontId="3" fillId="4" borderId="34" xfId="0" applyFont="1" applyFill="1" applyBorder="1" applyAlignment="1">
      <alignment horizontal="left" vertical="center"/>
    </xf>
    <xf numFmtId="0" fontId="3" fillId="4" borderId="35" xfId="0" applyFont="1" applyFill="1" applyBorder="1" applyAlignment="1">
      <alignment horizontal="left" vertical="center"/>
    </xf>
    <xf numFmtId="4" fontId="3" fillId="4" borderId="35" xfId="0" applyNumberFormat="1" applyFont="1" applyFill="1" applyBorder="1" applyAlignment="1">
      <alignment horizontal="right" vertical="center"/>
    </xf>
    <xf numFmtId="0" fontId="3" fillId="4" borderId="36" xfId="0" applyFont="1" applyFill="1" applyBorder="1" applyAlignment="1">
      <alignment horizontal="right" vertical="center"/>
    </xf>
    <xf numFmtId="0" fontId="8" fillId="4" borderId="37" xfId="0" applyFont="1" applyFill="1" applyBorder="1"/>
    <xf numFmtId="0" fontId="8" fillId="4" borderId="38" xfId="0" applyFont="1" applyFill="1" applyBorder="1"/>
    <xf numFmtId="0" fontId="5" fillId="4" borderId="38" xfId="0" applyFont="1" applyFill="1" applyBorder="1" applyAlignment="1">
      <alignment horizontal="left" vertical="center"/>
    </xf>
    <xf numFmtId="0" fontId="4" fillId="4" borderId="38" xfId="0" applyFont="1" applyFill="1" applyBorder="1" applyAlignment="1">
      <alignment horizontal="left" vertical="center"/>
    </xf>
    <xf numFmtId="4" fontId="5" fillId="4" borderId="38" xfId="0" applyNumberFormat="1" applyFont="1" applyFill="1" applyBorder="1" applyAlignment="1">
      <alignment horizontal="right" vertical="center"/>
    </xf>
    <xf numFmtId="0" fontId="8" fillId="4" borderId="39" xfId="0" applyFont="1" applyFill="1" applyBorder="1"/>
    <xf numFmtId="0" fontId="0" fillId="0" borderId="43" xfId="0" applyBorder="1"/>
    <xf numFmtId="0" fontId="4" fillId="0" borderId="44" xfId="0" applyFont="1" applyBorder="1" applyAlignment="1">
      <alignment horizontal="right" vertical="center"/>
    </xf>
    <xf numFmtId="0" fontId="4" fillId="0" borderId="32" xfId="0" applyFont="1" applyBorder="1" applyAlignment="1">
      <alignment horizontal="right" vertical="center"/>
    </xf>
    <xf numFmtId="0" fontId="3" fillId="5" borderId="34" xfId="0" applyFont="1" applyFill="1" applyBorder="1" applyAlignment="1">
      <alignment horizontal="left" vertical="center"/>
    </xf>
    <xf numFmtId="0" fontId="3" fillId="5" borderId="35" xfId="0" applyFont="1" applyFill="1" applyBorder="1" applyAlignment="1">
      <alignment horizontal="left" vertical="center"/>
    </xf>
    <xf numFmtId="4" fontId="3" fillId="5" borderId="35" xfId="0" applyNumberFormat="1" applyFont="1" applyFill="1" applyBorder="1" applyAlignment="1">
      <alignment horizontal="right" vertical="center"/>
    </xf>
    <xf numFmtId="0" fontId="3" fillId="5" borderId="36" xfId="0" applyFont="1" applyFill="1" applyBorder="1" applyAlignment="1">
      <alignment horizontal="right" vertical="center"/>
    </xf>
    <xf numFmtId="0" fontId="8" fillId="5" borderId="34" xfId="0" applyFont="1" applyFill="1" applyBorder="1"/>
    <xf numFmtId="0" fontId="8" fillId="5" borderId="35" xfId="0" applyFont="1" applyFill="1" applyBorder="1"/>
    <xf numFmtId="0" fontId="5" fillId="5" borderId="35" xfId="0" applyFont="1" applyFill="1" applyBorder="1" applyAlignment="1">
      <alignment horizontal="left" vertical="center"/>
    </xf>
    <xf numFmtId="0" fontId="4" fillId="5" borderId="35" xfId="0" applyFont="1" applyFill="1" applyBorder="1" applyAlignment="1">
      <alignment horizontal="left" vertical="center"/>
    </xf>
    <xf numFmtId="4" fontId="5" fillId="5" borderId="35" xfId="0" applyNumberFormat="1" applyFont="1" applyFill="1" applyBorder="1" applyAlignment="1">
      <alignment horizontal="right" vertical="center"/>
    </xf>
    <xf numFmtId="0" fontId="8" fillId="5" borderId="36" xfId="0" applyFont="1" applyFill="1" applyBorder="1"/>
    <xf numFmtId="0" fontId="6" fillId="5" borderId="37" xfId="0" applyFont="1" applyFill="1" applyBorder="1" applyAlignment="1">
      <alignment horizontal="left" vertical="center"/>
    </xf>
    <xf numFmtId="0" fontId="6" fillId="5" borderId="38" xfId="0" applyFont="1" applyFill="1" applyBorder="1" applyAlignment="1">
      <alignment horizontal="left" vertical="center"/>
    </xf>
    <xf numFmtId="4" fontId="6" fillId="5" borderId="38" xfId="0" applyNumberFormat="1" applyFont="1" applyFill="1" applyBorder="1" applyAlignment="1">
      <alignment horizontal="right" vertical="center"/>
    </xf>
    <xf numFmtId="0" fontId="6" fillId="5" borderId="39" xfId="0" applyFont="1" applyFill="1" applyBorder="1" applyAlignment="1">
      <alignment horizontal="right" vertical="center"/>
    </xf>
    <xf numFmtId="0" fontId="8" fillId="5" borderId="37" xfId="0" applyFont="1" applyFill="1" applyBorder="1"/>
    <xf numFmtId="0" fontId="8" fillId="5" borderId="38" xfId="0" applyFont="1" applyFill="1" applyBorder="1"/>
    <xf numFmtId="0" fontId="5" fillId="5" borderId="38" xfId="0" applyFont="1" applyFill="1" applyBorder="1" applyAlignment="1">
      <alignment horizontal="left" vertical="center"/>
    </xf>
    <xf numFmtId="0" fontId="4" fillId="5" borderId="38" xfId="0" applyFont="1" applyFill="1" applyBorder="1" applyAlignment="1">
      <alignment horizontal="left" vertical="center"/>
    </xf>
    <xf numFmtId="4" fontId="5" fillId="5" borderId="38" xfId="0" applyNumberFormat="1" applyFont="1" applyFill="1" applyBorder="1" applyAlignment="1">
      <alignment horizontal="right" vertical="center"/>
    </xf>
    <xf numFmtId="0" fontId="8" fillId="5" borderId="39" xfId="0" applyFont="1" applyFill="1" applyBorder="1"/>
    <xf numFmtId="0" fontId="3" fillId="5" borderId="37" xfId="0" applyFont="1" applyFill="1" applyBorder="1" applyAlignment="1">
      <alignment horizontal="left" vertical="center"/>
    </xf>
    <xf numFmtId="0" fontId="3" fillId="5" borderId="38" xfId="0" applyFont="1" applyFill="1" applyBorder="1" applyAlignment="1">
      <alignment horizontal="left" vertical="center"/>
    </xf>
    <xf numFmtId="4" fontId="3" fillId="5" borderId="38" xfId="0" applyNumberFormat="1" applyFont="1" applyFill="1" applyBorder="1" applyAlignment="1">
      <alignment horizontal="right" vertical="center"/>
    </xf>
    <xf numFmtId="0" fontId="3" fillId="5" borderId="39" xfId="0" applyFont="1" applyFill="1" applyBorder="1" applyAlignment="1">
      <alignment horizontal="right" vertical="center"/>
    </xf>
    <xf numFmtId="0" fontId="3" fillId="0" borderId="43" xfId="0" applyFont="1" applyBorder="1" applyAlignment="1">
      <alignment horizontal="left" vertical="center"/>
    </xf>
    <xf numFmtId="0" fontId="3" fillId="0" borderId="44" xfId="0" applyFont="1" applyBorder="1" applyAlignment="1">
      <alignment horizontal="left" vertical="center"/>
    </xf>
    <xf numFmtId="4" fontId="3" fillId="0" borderId="44" xfId="0" applyNumberFormat="1" applyFont="1" applyBorder="1" applyAlignment="1">
      <alignment horizontal="right" vertical="center"/>
    </xf>
    <xf numFmtId="0" fontId="3" fillId="0" borderId="45" xfId="0" applyFont="1" applyBorder="1" applyAlignment="1">
      <alignment horizontal="right" vertical="center"/>
    </xf>
    <xf numFmtId="0" fontId="3" fillId="2" borderId="31" xfId="0" applyFont="1" applyFill="1" applyBorder="1" applyAlignment="1">
      <alignment horizontal="left" vertical="center"/>
    </xf>
    <xf numFmtId="0" fontId="2" fillId="2" borderId="32" xfId="0" applyFont="1" applyFill="1" applyBorder="1" applyAlignment="1">
      <alignment horizontal="left" vertical="center"/>
    </xf>
    <xf numFmtId="0" fontId="3" fillId="2" borderId="32" xfId="0" applyFont="1" applyFill="1" applyBorder="1" applyAlignment="1">
      <alignment horizontal="left" vertical="center"/>
    </xf>
    <xf numFmtId="4" fontId="2" fillId="2" borderId="32" xfId="0" applyNumberFormat="1" applyFont="1" applyFill="1" applyBorder="1" applyAlignment="1">
      <alignment horizontal="right" vertical="center"/>
    </xf>
    <xf numFmtId="0" fontId="2" fillId="2" borderId="33" xfId="0" applyFont="1" applyFill="1" applyBorder="1" applyAlignment="1">
      <alignment horizontal="right" vertical="center"/>
    </xf>
    <xf numFmtId="0" fontId="3" fillId="6" borderId="34" xfId="0" applyFont="1" applyFill="1" applyBorder="1" applyAlignment="1">
      <alignment horizontal="left" vertical="center"/>
    </xf>
    <xf numFmtId="0" fontId="3" fillId="6" borderId="35" xfId="0" applyFont="1" applyFill="1" applyBorder="1" applyAlignment="1">
      <alignment horizontal="left" vertical="center"/>
    </xf>
    <xf numFmtId="4" fontId="3" fillId="6" borderId="35" xfId="0" applyNumberFormat="1" applyFont="1" applyFill="1" applyBorder="1" applyAlignment="1">
      <alignment horizontal="right" vertical="center"/>
    </xf>
    <xf numFmtId="0" fontId="3" fillId="6" borderId="36" xfId="0" applyFont="1" applyFill="1" applyBorder="1" applyAlignment="1">
      <alignment horizontal="right" vertical="center"/>
    </xf>
    <xf numFmtId="0" fontId="8" fillId="6" borderId="37" xfId="0" applyFont="1" applyFill="1" applyBorder="1"/>
    <xf numFmtId="0" fontId="8" fillId="6" borderId="38" xfId="0" applyFont="1" applyFill="1" applyBorder="1"/>
    <xf numFmtId="0" fontId="5" fillId="6" borderId="38" xfId="0" applyFont="1" applyFill="1" applyBorder="1" applyAlignment="1">
      <alignment horizontal="left" vertical="center"/>
    </xf>
    <xf numFmtId="0" fontId="4" fillId="6" borderId="38" xfId="0" applyFont="1" applyFill="1" applyBorder="1" applyAlignment="1">
      <alignment horizontal="left" vertical="center"/>
    </xf>
    <xf numFmtId="4" fontId="5" fillId="6" borderId="38" xfId="0" applyNumberFormat="1" applyFont="1" applyFill="1" applyBorder="1" applyAlignment="1">
      <alignment horizontal="right" vertical="center"/>
    </xf>
    <xf numFmtId="0" fontId="8" fillId="6" borderId="39" xfId="0" applyFont="1" applyFill="1" applyBorder="1"/>
    <xf numFmtId="0" fontId="3" fillId="7" borderId="37" xfId="0" applyFont="1" applyFill="1" applyBorder="1" applyAlignment="1">
      <alignment horizontal="left" vertical="center"/>
    </xf>
    <xf numFmtId="0" fontId="3" fillId="7" borderId="38" xfId="0" applyFont="1" applyFill="1" applyBorder="1" applyAlignment="1">
      <alignment horizontal="left" vertical="center"/>
    </xf>
    <xf numFmtId="4" fontId="3" fillId="7" borderId="38" xfId="0" applyNumberFormat="1" applyFont="1" applyFill="1" applyBorder="1" applyAlignment="1">
      <alignment horizontal="right" vertical="center"/>
    </xf>
    <xf numFmtId="0" fontId="3" fillId="7" borderId="39" xfId="0" applyFont="1" applyFill="1" applyBorder="1" applyAlignment="1">
      <alignment horizontal="right" vertical="center"/>
    </xf>
    <xf numFmtId="0" fontId="8" fillId="7" borderId="37" xfId="0" applyFont="1" applyFill="1" applyBorder="1"/>
    <xf numFmtId="0" fontId="8" fillId="7" borderId="38" xfId="0" applyFont="1" applyFill="1" applyBorder="1"/>
    <xf numFmtId="0" fontId="5" fillId="7" borderId="38" xfId="0" applyFont="1" applyFill="1" applyBorder="1" applyAlignment="1">
      <alignment horizontal="left" vertical="center"/>
    </xf>
    <xf numFmtId="0" fontId="4" fillId="7" borderId="38" xfId="0" applyFont="1" applyFill="1" applyBorder="1" applyAlignment="1">
      <alignment horizontal="left" vertical="center"/>
    </xf>
    <xf numFmtId="4" fontId="5" fillId="7" borderId="38" xfId="0" applyNumberFormat="1" applyFont="1" applyFill="1" applyBorder="1" applyAlignment="1">
      <alignment horizontal="right" vertical="center"/>
    </xf>
    <xf numFmtId="0" fontId="8" fillId="7" borderId="39" xfId="0" applyFont="1" applyFill="1" applyBorder="1"/>
    <xf numFmtId="0" fontId="6" fillId="7" borderId="37" xfId="0" applyFont="1" applyFill="1" applyBorder="1" applyAlignment="1">
      <alignment horizontal="left" vertical="center"/>
    </xf>
    <xf numFmtId="0" fontId="6" fillId="7" borderId="38" xfId="0" applyFont="1" applyFill="1" applyBorder="1" applyAlignment="1">
      <alignment horizontal="left" vertical="center"/>
    </xf>
    <xf numFmtId="4" fontId="6" fillId="7" borderId="38" xfId="0" applyNumberFormat="1" applyFont="1" applyFill="1" applyBorder="1" applyAlignment="1">
      <alignment horizontal="right" vertical="center"/>
    </xf>
    <xf numFmtId="0" fontId="6" fillId="7" borderId="39" xfId="0" applyFont="1" applyFill="1" applyBorder="1" applyAlignment="1">
      <alignment horizontal="right" vertical="center"/>
    </xf>
    <xf numFmtId="0" fontId="3" fillId="7" borderId="34" xfId="0" applyFont="1" applyFill="1" applyBorder="1" applyAlignment="1">
      <alignment horizontal="left" vertical="center"/>
    </xf>
    <xf numFmtId="0" fontId="3" fillId="7" borderId="35" xfId="0" applyFont="1" applyFill="1" applyBorder="1" applyAlignment="1">
      <alignment horizontal="left" vertical="center"/>
    </xf>
    <xf numFmtId="4" fontId="3" fillId="7" borderId="35" xfId="0" applyNumberFormat="1" applyFont="1" applyFill="1" applyBorder="1" applyAlignment="1">
      <alignment horizontal="right" vertical="center"/>
    </xf>
    <xf numFmtId="0" fontId="3" fillId="7" borderId="36" xfId="0" applyFont="1" applyFill="1" applyBorder="1" applyAlignment="1">
      <alignment horizontal="right" vertical="center"/>
    </xf>
    <xf numFmtId="0" fontId="8" fillId="7" borderId="34" xfId="0" applyFont="1" applyFill="1" applyBorder="1"/>
    <xf numFmtId="0" fontId="8" fillId="7" borderId="35" xfId="0" applyFont="1" applyFill="1" applyBorder="1"/>
    <xf numFmtId="0" fontId="5" fillId="7" borderId="35" xfId="0" applyFont="1" applyFill="1" applyBorder="1" applyAlignment="1">
      <alignment horizontal="left" vertical="center"/>
    </xf>
    <xf numFmtId="0" fontId="4" fillId="7" borderId="35" xfId="0" applyFont="1" applyFill="1" applyBorder="1" applyAlignment="1">
      <alignment horizontal="left" vertical="center"/>
    </xf>
    <xf numFmtId="4" fontId="5" fillId="7" borderId="35" xfId="0" applyNumberFormat="1" applyFont="1" applyFill="1" applyBorder="1" applyAlignment="1">
      <alignment horizontal="right" vertical="center"/>
    </xf>
    <xf numFmtId="0" fontId="8" fillId="7" borderId="36" xfId="0" applyFont="1" applyFill="1" applyBorder="1"/>
    <xf numFmtId="0" fontId="6" fillId="7" borderId="34" xfId="0" applyFont="1" applyFill="1" applyBorder="1" applyAlignment="1">
      <alignment horizontal="left" vertical="center"/>
    </xf>
    <xf numFmtId="0" fontId="6" fillId="7" borderId="35" xfId="0" applyFont="1" applyFill="1" applyBorder="1" applyAlignment="1">
      <alignment horizontal="left" vertical="center"/>
    </xf>
    <xf numFmtId="4" fontId="6" fillId="7" borderId="35" xfId="0" applyNumberFormat="1" applyFont="1" applyFill="1" applyBorder="1" applyAlignment="1">
      <alignment horizontal="right" vertical="center"/>
    </xf>
    <xf numFmtId="0" fontId="6" fillId="7" borderId="36" xfId="0" applyFont="1" applyFill="1" applyBorder="1" applyAlignment="1">
      <alignment horizontal="right" vertical="center"/>
    </xf>
    <xf numFmtId="0" fontId="3" fillId="8" borderId="37" xfId="0" applyFont="1" applyFill="1" applyBorder="1" applyAlignment="1">
      <alignment horizontal="left" vertical="center"/>
    </xf>
    <xf numFmtId="0" fontId="3" fillId="8" borderId="38" xfId="0" applyFont="1" applyFill="1" applyBorder="1" applyAlignment="1">
      <alignment horizontal="left" vertical="center"/>
    </xf>
    <xf numFmtId="4" fontId="3" fillId="8" borderId="38" xfId="0" applyNumberFormat="1" applyFont="1" applyFill="1" applyBorder="1" applyAlignment="1">
      <alignment horizontal="right" vertical="center"/>
    </xf>
    <xf numFmtId="0" fontId="3" fillId="8" borderId="39" xfId="0" applyFont="1" applyFill="1" applyBorder="1" applyAlignment="1">
      <alignment horizontal="right" vertical="center"/>
    </xf>
    <xf numFmtId="0" fontId="8" fillId="8" borderId="37" xfId="0" applyFont="1" applyFill="1" applyBorder="1"/>
    <xf numFmtId="0" fontId="8" fillId="8" borderId="38" xfId="0" applyFont="1" applyFill="1" applyBorder="1"/>
    <xf numFmtId="0" fontId="5" fillId="8" borderId="38" xfId="0" applyFont="1" applyFill="1" applyBorder="1" applyAlignment="1">
      <alignment horizontal="left" vertical="center"/>
    </xf>
    <xf numFmtId="0" fontId="4" fillId="8" borderId="38" xfId="0" applyFont="1" applyFill="1" applyBorder="1" applyAlignment="1">
      <alignment horizontal="left" vertical="center"/>
    </xf>
    <xf numFmtId="4" fontId="5" fillId="8" borderId="38" xfId="0" applyNumberFormat="1" applyFont="1" applyFill="1" applyBorder="1" applyAlignment="1">
      <alignment horizontal="right" vertical="center"/>
    </xf>
    <xf numFmtId="0" fontId="8" fillId="8" borderId="39" xfId="0" applyFont="1" applyFill="1" applyBorder="1"/>
    <xf numFmtId="0" fontId="6" fillId="8" borderId="37" xfId="0" applyFont="1" applyFill="1" applyBorder="1" applyAlignment="1">
      <alignment horizontal="left" vertical="center"/>
    </xf>
    <xf numFmtId="0" fontId="6" fillId="8" borderId="38" xfId="0" applyFont="1" applyFill="1" applyBorder="1" applyAlignment="1">
      <alignment horizontal="left" vertical="center"/>
    </xf>
    <xf numFmtId="4" fontId="6" fillId="8" borderId="38" xfId="0" applyNumberFormat="1" applyFont="1" applyFill="1" applyBorder="1" applyAlignment="1">
      <alignment horizontal="right" vertical="center"/>
    </xf>
    <xf numFmtId="0" fontId="6" fillId="8" borderId="39" xfId="0" applyFont="1" applyFill="1" applyBorder="1" applyAlignment="1">
      <alignment horizontal="right" vertical="center"/>
    </xf>
    <xf numFmtId="0" fontId="8" fillId="8" borderId="34" xfId="0" applyFont="1" applyFill="1" applyBorder="1"/>
    <xf numFmtId="0" fontId="8" fillId="8" borderId="35" xfId="0" applyFont="1" applyFill="1" applyBorder="1"/>
    <xf numFmtId="0" fontId="5" fillId="8" borderId="35" xfId="0" applyFont="1" applyFill="1" applyBorder="1" applyAlignment="1">
      <alignment horizontal="left" vertical="center"/>
    </xf>
    <xf numFmtId="0" fontId="4" fillId="8" borderId="35" xfId="0" applyFont="1" applyFill="1" applyBorder="1" applyAlignment="1">
      <alignment horizontal="left" vertical="center"/>
    </xf>
    <xf numFmtId="4" fontId="5" fillId="8" borderId="35" xfId="0" applyNumberFormat="1" applyFont="1" applyFill="1" applyBorder="1" applyAlignment="1">
      <alignment horizontal="right" vertical="center"/>
    </xf>
    <xf numFmtId="0" fontId="8" fillId="8" borderId="36" xfId="0" applyFont="1" applyFill="1" applyBorder="1"/>
    <xf numFmtId="0" fontId="6" fillId="8" borderId="34" xfId="0" applyFont="1" applyFill="1" applyBorder="1" applyAlignment="1">
      <alignment horizontal="left" vertical="center"/>
    </xf>
    <xf numFmtId="0" fontId="6" fillId="8" borderId="35" xfId="0" applyFont="1" applyFill="1" applyBorder="1" applyAlignment="1">
      <alignment horizontal="left" vertical="center"/>
    </xf>
    <xf numFmtId="4" fontId="6" fillId="8" borderId="35" xfId="0" applyNumberFormat="1" applyFont="1" applyFill="1" applyBorder="1" applyAlignment="1">
      <alignment horizontal="right" vertical="center"/>
    </xf>
    <xf numFmtId="0" fontId="6" fillId="8" borderId="36" xfId="0" applyFont="1" applyFill="1" applyBorder="1" applyAlignment="1">
      <alignment horizontal="right" vertical="center"/>
    </xf>
    <xf numFmtId="0" fontId="3" fillId="8" borderId="34" xfId="0" applyFont="1" applyFill="1" applyBorder="1" applyAlignment="1">
      <alignment horizontal="left" vertical="center"/>
    </xf>
    <xf numFmtId="0" fontId="3" fillId="8" borderId="35" xfId="0" applyFont="1" applyFill="1" applyBorder="1" applyAlignment="1">
      <alignment horizontal="left" vertical="center"/>
    </xf>
    <xf numFmtId="4" fontId="3" fillId="8" borderId="35" xfId="0" applyNumberFormat="1" applyFont="1" applyFill="1" applyBorder="1" applyAlignment="1">
      <alignment horizontal="right" vertical="center"/>
    </xf>
    <xf numFmtId="0" fontId="3" fillId="8" borderId="36" xfId="0" applyFont="1" applyFill="1" applyBorder="1" applyAlignment="1">
      <alignment horizontal="right" vertical="center"/>
    </xf>
    <xf numFmtId="0" fontId="3" fillId="6" borderId="37" xfId="0" applyFont="1" applyFill="1" applyBorder="1" applyAlignment="1">
      <alignment horizontal="left" vertical="center"/>
    </xf>
    <xf numFmtId="0" fontId="3" fillId="6" borderId="38" xfId="0" applyFont="1" applyFill="1" applyBorder="1" applyAlignment="1">
      <alignment horizontal="left" vertical="center"/>
    </xf>
    <xf numFmtId="4" fontId="3" fillId="6" borderId="38" xfId="0" applyNumberFormat="1" applyFont="1" applyFill="1" applyBorder="1" applyAlignment="1">
      <alignment horizontal="right" vertical="center"/>
    </xf>
    <xf numFmtId="0" fontId="3" fillId="6" borderId="39" xfId="0" applyFont="1" applyFill="1" applyBorder="1" applyAlignment="1">
      <alignment horizontal="right" vertical="center"/>
    </xf>
    <xf numFmtId="0" fontId="3" fillId="9" borderId="34" xfId="0" applyFont="1" applyFill="1" applyBorder="1" applyAlignment="1">
      <alignment horizontal="left" vertical="center"/>
    </xf>
    <xf numFmtId="0" fontId="3" fillId="9" borderId="35" xfId="0" applyFont="1" applyFill="1" applyBorder="1" applyAlignment="1">
      <alignment horizontal="left" vertical="center"/>
    </xf>
    <xf numFmtId="4" fontId="3" fillId="9" borderId="35" xfId="0" applyNumberFormat="1" applyFont="1" applyFill="1" applyBorder="1" applyAlignment="1">
      <alignment horizontal="right" vertical="center"/>
    </xf>
    <xf numFmtId="0" fontId="3" fillId="9" borderId="36" xfId="0" applyFont="1" applyFill="1" applyBorder="1" applyAlignment="1">
      <alignment horizontal="right" vertical="center"/>
    </xf>
    <xf numFmtId="0" fontId="8" fillId="9" borderId="37" xfId="0" applyFont="1" applyFill="1" applyBorder="1"/>
    <xf numFmtId="0" fontId="8" fillId="9" borderId="38" xfId="0" applyFont="1" applyFill="1" applyBorder="1"/>
    <xf numFmtId="0" fontId="5" fillId="9" borderId="38" xfId="0" applyFont="1" applyFill="1" applyBorder="1" applyAlignment="1">
      <alignment horizontal="left" vertical="center"/>
    </xf>
    <xf numFmtId="0" fontId="4" fillId="9" borderId="38" xfId="0" applyFont="1" applyFill="1" applyBorder="1" applyAlignment="1">
      <alignment horizontal="left" vertical="center"/>
    </xf>
    <xf numFmtId="4" fontId="5" fillId="9" borderId="38" xfId="0" applyNumberFormat="1" applyFont="1" applyFill="1" applyBorder="1" applyAlignment="1">
      <alignment horizontal="right" vertical="center"/>
    </xf>
    <xf numFmtId="0" fontId="8" fillId="9" borderId="39" xfId="0" applyFont="1" applyFill="1" applyBorder="1"/>
    <xf numFmtId="0" fontId="8" fillId="6" borderId="34" xfId="0" applyFont="1" applyFill="1" applyBorder="1"/>
    <xf numFmtId="0" fontId="8" fillId="6" borderId="35" xfId="0" applyFont="1" applyFill="1" applyBorder="1"/>
    <xf numFmtId="0" fontId="5" fillId="6" borderId="35" xfId="0" applyFont="1" applyFill="1" applyBorder="1" applyAlignment="1">
      <alignment horizontal="left" vertical="center"/>
    </xf>
    <xf numFmtId="0" fontId="4" fillId="6" borderId="35" xfId="0" applyFont="1" applyFill="1" applyBorder="1" applyAlignment="1">
      <alignment horizontal="left" vertical="center"/>
    </xf>
    <xf numFmtId="4" fontId="5" fillId="6" borderId="35" xfId="0" applyNumberFormat="1" applyFont="1" applyFill="1" applyBorder="1" applyAlignment="1">
      <alignment horizontal="right" vertical="center"/>
    </xf>
    <xf numFmtId="0" fontId="8" fillId="6" borderId="36" xfId="0" applyFont="1" applyFill="1" applyBorder="1"/>
    <xf numFmtId="0" fontId="6" fillId="0" borderId="46" xfId="0" applyFont="1" applyBorder="1" applyAlignment="1">
      <alignment horizontal="left" vertical="center"/>
    </xf>
    <xf numFmtId="0" fontId="6" fillId="0" borderId="47" xfId="0" applyFont="1" applyBorder="1" applyAlignment="1">
      <alignment horizontal="left" vertical="center"/>
    </xf>
    <xf numFmtId="4" fontId="6" fillId="0" borderId="47" xfId="0" applyNumberFormat="1" applyFont="1" applyBorder="1" applyAlignment="1">
      <alignment horizontal="right" vertical="center"/>
    </xf>
    <xf numFmtId="0" fontId="6" fillId="0" borderId="48" xfId="0" applyFont="1" applyBorder="1" applyAlignment="1">
      <alignment horizontal="right" vertical="center"/>
    </xf>
    <xf numFmtId="4" fontId="2" fillId="0" borderId="49" xfId="0" applyNumberFormat="1" applyFont="1" applyBorder="1" applyAlignment="1">
      <alignment horizontal="right" vertical="center"/>
    </xf>
    <xf numFmtId="0" fontId="9" fillId="0" borderId="0" xfId="0" applyFont="1" applyAlignment="1">
      <alignment horizontal="left" vertical="center"/>
    </xf>
    <xf numFmtId="0" fontId="11" fillId="2" borderId="51" xfId="0" applyFont="1" applyFill="1" applyBorder="1" applyAlignment="1">
      <alignment horizontal="center" vertical="center"/>
    </xf>
    <xf numFmtId="0" fontId="11" fillId="2" borderId="54" xfId="0" applyFont="1" applyFill="1" applyBorder="1" applyAlignment="1">
      <alignment horizontal="center" vertical="center"/>
    </xf>
    <xf numFmtId="0" fontId="13" fillId="0" borderId="55" xfId="0" applyFont="1" applyBorder="1" applyAlignment="1">
      <alignment horizontal="left" vertical="center"/>
    </xf>
    <xf numFmtId="0" fontId="14" fillId="0" borderId="56" xfId="0" applyFont="1" applyBorder="1" applyAlignment="1">
      <alignment horizontal="left" vertical="center"/>
    </xf>
    <xf numFmtId="4" fontId="14" fillId="0" borderId="56" xfId="0" applyNumberFormat="1" applyFont="1" applyBorder="1" applyAlignment="1">
      <alignment horizontal="right" vertical="center"/>
    </xf>
    <xf numFmtId="0" fontId="14" fillId="0" borderId="56" xfId="0" applyFont="1" applyBorder="1" applyAlignment="1">
      <alignment horizontal="right" vertical="center"/>
    </xf>
    <xf numFmtId="0" fontId="13" fillId="0" borderId="59" xfId="0" applyFont="1" applyBorder="1" applyAlignment="1">
      <alignment horizontal="left" vertical="center"/>
    </xf>
    <xf numFmtId="4" fontId="14" fillId="0" borderId="63" xfId="0" applyNumberFormat="1" applyFont="1" applyBorder="1" applyAlignment="1">
      <alignment horizontal="right" vertical="center"/>
    </xf>
    <xf numFmtId="0" fontId="14" fillId="0" borderId="63" xfId="0" applyFont="1" applyBorder="1" applyAlignment="1">
      <alignment horizontal="right" vertical="center"/>
    </xf>
    <xf numFmtId="4" fontId="14" fillId="0" borderId="54" xfId="0" applyNumberFormat="1" applyFont="1" applyBorder="1" applyAlignment="1">
      <alignment horizontal="right" vertical="center"/>
    </xf>
    <xf numFmtId="4" fontId="13" fillId="2" borderId="53" xfId="0" applyNumberFormat="1" applyFont="1" applyFill="1" applyBorder="1" applyAlignment="1">
      <alignment horizontal="right" vertical="center"/>
    </xf>
    <xf numFmtId="4" fontId="13" fillId="2" borderId="58" xfId="0" applyNumberFormat="1" applyFont="1" applyFill="1" applyBorder="1" applyAlignment="1">
      <alignment horizontal="right" vertical="center"/>
    </xf>
    <xf numFmtId="0" fontId="9" fillId="0" borderId="29" xfId="0" applyFont="1" applyBorder="1" applyAlignment="1">
      <alignment horizontal="left" vertical="center"/>
    </xf>
    <xf numFmtId="0" fontId="2" fillId="0" borderId="79" xfId="0" applyFont="1" applyBorder="1" applyAlignment="1">
      <alignment horizontal="right" vertical="center"/>
    </xf>
    <xf numFmtId="4" fontId="3" fillId="0" borderId="56" xfId="0" applyNumberFormat="1" applyFont="1" applyBorder="1" applyAlignment="1">
      <alignment horizontal="right" vertical="center"/>
    </xf>
    <xf numFmtId="0" fontId="3" fillId="0" borderId="56" xfId="0" applyFont="1" applyBorder="1" applyAlignment="1">
      <alignment horizontal="left" vertical="center"/>
    </xf>
    <xf numFmtId="4" fontId="3" fillId="0" borderId="83" xfId="0" applyNumberFormat="1" applyFont="1" applyBorder="1" applyAlignment="1">
      <alignment horizontal="right" vertical="center"/>
    </xf>
    <xf numFmtId="0" fontId="3" fillId="0" borderId="83" xfId="0" applyFont="1" applyBorder="1" applyAlignment="1">
      <alignment horizontal="left" vertical="center"/>
    </xf>
    <xf numFmtId="0" fontId="2" fillId="0" borderId="87" xfId="0" applyFont="1" applyBorder="1" applyAlignment="1">
      <alignment horizontal="left" vertical="center"/>
    </xf>
    <xf numFmtId="0" fontId="2" fillId="0" borderId="87" xfId="0" applyFont="1" applyBorder="1" applyAlignment="1">
      <alignment horizontal="right" vertical="center"/>
    </xf>
    <xf numFmtId="4" fontId="2" fillId="0" borderId="87" xfId="0" applyNumberFormat="1" applyFont="1" applyBorder="1" applyAlignment="1">
      <alignment horizontal="right" vertical="center"/>
    </xf>
    <xf numFmtId="0" fontId="1" fillId="0" borderId="1" xfId="0" applyFont="1" applyBorder="1" applyAlignment="1">
      <alignment horizontal="center"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xf>
    <xf numFmtId="0" fontId="3" fillId="0" borderId="5" xfId="0" applyFont="1" applyBorder="1" applyAlignment="1">
      <alignment horizontal="left" vertical="center"/>
    </xf>
    <xf numFmtId="0" fontId="3" fillId="0" borderId="0" xfId="0" applyFont="1" applyAlignment="1">
      <alignment horizontal="left" vertical="center"/>
    </xf>
    <xf numFmtId="0" fontId="3" fillId="0" borderId="5" xfId="0" applyFont="1" applyBorder="1" applyAlignment="1">
      <alignment horizontal="left" vertical="center" wrapText="1"/>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3" xfId="0" applyFont="1" applyBorder="1" applyAlignment="1">
      <alignment horizontal="left" vertical="center" wrapText="1"/>
    </xf>
    <xf numFmtId="0" fontId="3" fillId="0" borderId="0" xfId="0" applyFont="1" applyAlignment="1">
      <alignment horizontal="left" vertical="center" wrapText="1"/>
    </xf>
    <xf numFmtId="0" fontId="2" fillId="0" borderId="3" xfId="0" applyFont="1" applyBorder="1" applyAlignment="1">
      <alignment horizontal="left" vertical="center" wrapText="1"/>
    </xf>
    <xf numFmtId="0" fontId="2" fillId="0" borderId="3" xfId="0" applyFont="1" applyBorder="1" applyAlignment="1">
      <alignment horizontal="left" vertical="center"/>
    </xf>
    <xf numFmtId="0" fontId="2" fillId="0" borderId="0" xfId="0" applyFont="1" applyAlignment="1">
      <alignment horizontal="left" vertical="center"/>
    </xf>
    <xf numFmtId="0" fontId="3" fillId="0" borderId="4" xfId="0" applyFont="1" applyBorder="1" applyAlignment="1">
      <alignment horizontal="left" vertical="center"/>
    </xf>
    <xf numFmtId="0" fontId="3" fillId="0" borderId="6" xfId="0" applyFont="1" applyBorder="1" applyAlignment="1">
      <alignment horizontal="left" vertical="center"/>
    </xf>
    <xf numFmtId="0" fontId="3" fillId="0" borderId="9" xfId="0" applyFont="1"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21" xfId="0" applyFont="1" applyBorder="1" applyAlignment="1">
      <alignment horizontal="left" vertical="center"/>
    </xf>
    <xf numFmtId="0" fontId="2" fillId="0" borderId="22" xfId="0" applyFont="1" applyBorder="1" applyAlignment="1">
      <alignment horizontal="left"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2" borderId="29" xfId="0" applyFont="1" applyFill="1" applyBorder="1" applyAlignment="1">
      <alignment horizontal="left" vertical="center" wrapText="1"/>
    </xf>
    <xf numFmtId="0" fontId="2" fillId="2" borderId="29" xfId="0" applyFont="1" applyFill="1" applyBorder="1" applyAlignment="1">
      <alignment horizontal="left" vertical="center"/>
    </xf>
    <xf numFmtId="0" fontId="2" fillId="2" borderId="0" xfId="0" applyFont="1" applyFill="1" applyAlignment="1">
      <alignment horizontal="left" vertical="center" wrapText="1"/>
    </xf>
    <xf numFmtId="0" fontId="2" fillId="2" borderId="0" xfId="0" applyFont="1" applyFill="1" applyAlignment="1">
      <alignment horizontal="left" vertical="center"/>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6" xfId="0" applyFont="1" applyBorder="1" applyAlignment="1">
      <alignment horizontal="left" vertical="center"/>
    </xf>
    <xf numFmtId="0" fontId="6" fillId="0" borderId="0" xfId="0" applyFont="1" applyAlignment="1">
      <alignment horizontal="left" vertical="center" wrapText="1"/>
    </xf>
    <xf numFmtId="0" fontId="6" fillId="0" borderId="0" xfId="0" applyFont="1" applyAlignment="1">
      <alignment horizontal="left" vertical="center"/>
    </xf>
    <xf numFmtId="0" fontId="3" fillId="3" borderId="35" xfId="0" applyFont="1" applyFill="1" applyBorder="1" applyAlignment="1">
      <alignment horizontal="left" vertical="center" wrapText="1"/>
    </xf>
    <xf numFmtId="0" fontId="3" fillId="3" borderId="35" xfId="0" applyFont="1" applyFill="1" applyBorder="1" applyAlignment="1">
      <alignment horizontal="left" vertical="center"/>
    </xf>
    <xf numFmtId="0" fontId="4" fillId="0" borderId="41" xfId="0" applyFont="1" applyBorder="1" applyAlignment="1">
      <alignment horizontal="left" vertical="center" wrapText="1"/>
    </xf>
    <xf numFmtId="0" fontId="4" fillId="0" borderId="41" xfId="0" applyFont="1" applyBorder="1" applyAlignment="1">
      <alignment horizontal="left" vertical="center"/>
    </xf>
    <xf numFmtId="0" fontId="4" fillId="0" borderId="42" xfId="0" applyFont="1" applyBorder="1" applyAlignment="1">
      <alignment horizontal="left" vertical="center"/>
    </xf>
    <xf numFmtId="0" fontId="3" fillId="4" borderId="35" xfId="0" applyFont="1" applyFill="1" applyBorder="1" applyAlignment="1">
      <alignment horizontal="left" vertical="center" wrapText="1"/>
    </xf>
    <xf numFmtId="0" fontId="3" fillId="4" borderId="35" xfId="0" applyFont="1" applyFill="1" applyBorder="1" applyAlignment="1">
      <alignment horizontal="left" vertical="center"/>
    </xf>
    <xf numFmtId="0" fontId="4" fillId="0" borderId="44" xfId="0" applyFont="1" applyBorder="1" applyAlignment="1">
      <alignment horizontal="left" vertical="center" wrapText="1"/>
    </xf>
    <xf numFmtId="0" fontId="4" fillId="0" borderId="44" xfId="0" applyFont="1" applyBorder="1" applyAlignment="1">
      <alignment horizontal="left" vertical="center"/>
    </xf>
    <xf numFmtId="0" fontId="4" fillId="0" borderId="45" xfId="0" applyFont="1" applyBorder="1" applyAlignment="1">
      <alignment horizontal="left" vertical="center"/>
    </xf>
    <xf numFmtId="0" fontId="4" fillId="0" borderId="32" xfId="0" applyFont="1" applyBorder="1" applyAlignment="1">
      <alignment horizontal="left" vertical="center" wrapText="1"/>
    </xf>
    <xf numFmtId="0" fontId="4" fillId="0" borderId="32" xfId="0" applyFont="1" applyBorder="1" applyAlignment="1">
      <alignment horizontal="left" vertical="center"/>
    </xf>
    <xf numFmtId="0" fontId="4" fillId="0" borderId="33" xfId="0" applyFont="1" applyBorder="1" applyAlignment="1">
      <alignment horizontal="left" vertical="center"/>
    </xf>
    <xf numFmtId="0" fontId="3" fillId="5" borderId="35" xfId="0" applyFont="1" applyFill="1" applyBorder="1" applyAlignment="1">
      <alignment horizontal="left" vertical="center" wrapText="1"/>
    </xf>
    <xf numFmtId="0" fontId="3" fillId="5" borderId="35" xfId="0" applyFont="1" applyFill="1" applyBorder="1" applyAlignment="1">
      <alignment horizontal="left" vertical="center"/>
    </xf>
    <xf numFmtId="0" fontId="6" fillId="5" borderId="38" xfId="0" applyFont="1" applyFill="1" applyBorder="1" applyAlignment="1">
      <alignment horizontal="left" vertical="center" wrapText="1"/>
    </xf>
    <xf numFmtId="0" fontId="6" fillId="5" borderId="38" xfId="0" applyFont="1" applyFill="1" applyBorder="1" applyAlignment="1">
      <alignment horizontal="left" vertical="center"/>
    </xf>
    <xf numFmtId="0" fontId="3" fillId="5" borderId="38" xfId="0" applyFont="1" applyFill="1" applyBorder="1" applyAlignment="1">
      <alignment horizontal="left" vertical="center" wrapText="1"/>
    </xf>
    <xf numFmtId="0" fontId="3" fillId="5" borderId="38" xfId="0" applyFont="1" applyFill="1" applyBorder="1" applyAlignment="1">
      <alignment horizontal="left" vertical="center"/>
    </xf>
    <xf numFmtId="0" fontId="3" fillId="0" borderId="44" xfId="0" applyFont="1" applyBorder="1" applyAlignment="1">
      <alignment horizontal="left" vertical="center" wrapText="1"/>
    </xf>
    <xf numFmtId="0" fontId="3" fillId="0" borderId="44" xfId="0" applyFont="1" applyBorder="1" applyAlignment="1">
      <alignment horizontal="left" vertical="center"/>
    </xf>
    <xf numFmtId="0" fontId="2" fillId="2" borderId="32" xfId="0" applyFont="1" applyFill="1" applyBorder="1" applyAlignment="1">
      <alignment horizontal="left" vertical="center" wrapText="1"/>
    </xf>
    <xf numFmtId="0" fontId="2" fillId="2" borderId="32" xfId="0" applyFont="1" applyFill="1" applyBorder="1" applyAlignment="1">
      <alignment horizontal="left" vertical="center"/>
    </xf>
    <xf numFmtId="0" fontId="3" fillId="6" borderId="35" xfId="0" applyFont="1" applyFill="1" applyBorder="1" applyAlignment="1">
      <alignment horizontal="left" vertical="center" wrapText="1"/>
    </xf>
    <xf numFmtId="0" fontId="3" fillId="6" borderId="35" xfId="0" applyFont="1" applyFill="1" applyBorder="1" applyAlignment="1">
      <alignment horizontal="left" vertical="center"/>
    </xf>
    <xf numFmtId="0" fontId="3" fillId="7" borderId="38" xfId="0" applyFont="1" applyFill="1" applyBorder="1" applyAlignment="1">
      <alignment horizontal="left" vertical="center" wrapText="1"/>
    </xf>
    <xf numFmtId="0" fontId="3" fillId="7" borderId="38" xfId="0" applyFont="1" applyFill="1" applyBorder="1" applyAlignment="1">
      <alignment horizontal="left" vertical="center"/>
    </xf>
    <xf numFmtId="0" fontId="6" fillId="7" borderId="38" xfId="0" applyFont="1" applyFill="1" applyBorder="1" applyAlignment="1">
      <alignment horizontal="left" vertical="center" wrapText="1"/>
    </xf>
    <xf numFmtId="0" fontId="6" fillId="7" borderId="38" xfId="0" applyFont="1" applyFill="1" applyBorder="1" applyAlignment="1">
      <alignment horizontal="left" vertical="center"/>
    </xf>
    <xf numFmtId="0" fontId="3" fillId="7" borderId="35" xfId="0" applyFont="1" applyFill="1" applyBorder="1" applyAlignment="1">
      <alignment horizontal="left" vertical="center" wrapText="1"/>
    </xf>
    <xf numFmtId="0" fontId="3" fillId="7" borderId="35" xfId="0" applyFont="1" applyFill="1" applyBorder="1" applyAlignment="1">
      <alignment horizontal="left" vertical="center"/>
    </xf>
    <xf numFmtId="0" fontId="6" fillId="7" borderId="35" xfId="0" applyFont="1" applyFill="1" applyBorder="1" applyAlignment="1">
      <alignment horizontal="left" vertical="center" wrapText="1"/>
    </xf>
    <xf numFmtId="0" fontId="6" fillId="7" borderId="35" xfId="0" applyFont="1" applyFill="1" applyBorder="1" applyAlignment="1">
      <alignment horizontal="left" vertical="center"/>
    </xf>
    <xf numFmtId="0" fontId="3" fillId="8" borderId="38" xfId="0" applyFont="1" applyFill="1" applyBorder="1" applyAlignment="1">
      <alignment horizontal="left" vertical="center" wrapText="1"/>
    </xf>
    <xf numFmtId="0" fontId="3" fillId="8" borderId="38" xfId="0" applyFont="1" applyFill="1" applyBorder="1" applyAlignment="1">
      <alignment horizontal="left" vertical="center"/>
    </xf>
    <xf numFmtId="0" fontId="6" fillId="8" borderId="38" xfId="0" applyFont="1" applyFill="1" applyBorder="1" applyAlignment="1">
      <alignment horizontal="left" vertical="center" wrapText="1"/>
    </xf>
    <xf numFmtId="0" fontId="6" fillId="8" borderId="38" xfId="0" applyFont="1" applyFill="1" applyBorder="1" applyAlignment="1">
      <alignment horizontal="left" vertical="center"/>
    </xf>
    <xf numFmtId="0" fontId="6" fillId="8" borderId="35" xfId="0" applyFont="1" applyFill="1" applyBorder="1" applyAlignment="1">
      <alignment horizontal="left" vertical="center" wrapText="1"/>
    </xf>
    <xf numFmtId="0" fontId="6" fillId="8" borderId="35" xfId="0" applyFont="1" applyFill="1" applyBorder="1" applyAlignment="1">
      <alignment horizontal="left" vertical="center"/>
    </xf>
    <xf numFmtId="0" fontId="3" fillId="8" borderId="35" xfId="0" applyFont="1" applyFill="1" applyBorder="1" applyAlignment="1">
      <alignment horizontal="left" vertical="center" wrapText="1"/>
    </xf>
    <xf numFmtId="0" fontId="3" fillId="8" borderId="35" xfId="0" applyFont="1" applyFill="1" applyBorder="1" applyAlignment="1">
      <alignment horizontal="left" vertical="center"/>
    </xf>
    <xf numFmtId="0" fontId="3" fillId="6" borderId="38" xfId="0" applyFont="1" applyFill="1" applyBorder="1" applyAlignment="1">
      <alignment horizontal="left" vertical="center" wrapText="1"/>
    </xf>
    <xf numFmtId="0" fontId="3" fillId="6" borderId="38" xfId="0" applyFont="1" applyFill="1" applyBorder="1" applyAlignment="1">
      <alignment horizontal="left" vertical="center"/>
    </xf>
    <xf numFmtId="0" fontId="3" fillId="9" borderId="35" xfId="0" applyFont="1" applyFill="1" applyBorder="1" applyAlignment="1">
      <alignment horizontal="left" vertical="center" wrapText="1"/>
    </xf>
    <xf numFmtId="0" fontId="3" fillId="9" borderId="35" xfId="0" applyFont="1" applyFill="1" applyBorder="1" applyAlignment="1">
      <alignment horizontal="left" vertical="center"/>
    </xf>
    <xf numFmtId="0" fontId="6" fillId="0" borderId="47" xfId="0" applyFont="1" applyBorder="1" applyAlignment="1">
      <alignment horizontal="left" vertical="center" wrapText="1"/>
    </xf>
    <xf numFmtId="0" fontId="6" fillId="0" borderId="47" xfId="0" applyFont="1" applyBorder="1" applyAlignment="1">
      <alignment horizontal="left" vertical="center"/>
    </xf>
    <xf numFmtId="0" fontId="2" fillId="0" borderId="49" xfId="0" applyFont="1" applyBorder="1" applyAlignment="1">
      <alignment horizontal="left" vertical="center"/>
    </xf>
    <xf numFmtId="0" fontId="1" fillId="0" borderId="1" xfId="0" applyFont="1" applyBorder="1" applyAlignment="1">
      <alignment horizontal="center" vertical="center" wrapText="1"/>
    </xf>
    <xf numFmtId="0" fontId="3" fillId="0" borderId="46" xfId="0" applyFont="1" applyBorder="1" applyAlignment="1">
      <alignment horizontal="left" vertical="center"/>
    </xf>
    <xf numFmtId="0" fontId="3" fillId="0" borderId="47" xfId="0" applyFont="1" applyBorder="1" applyAlignment="1">
      <alignment horizontal="left" vertical="center"/>
    </xf>
    <xf numFmtId="1" fontId="3" fillId="0" borderId="6" xfId="0" applyNumberFormat="1" applyFont="1" applyBorder="1" applyAlignment="1">
      <alignment horizontal="left" vertical="center"/>
    </xf>
    <xf numFmtId="0" fontId="3" fillId="0" borderId="6" xfId="0" applyFont="1" applyBorder="1" applyAlignment="1">
      <alignment horizontal="left" vertical="center" wrapText="1"/>
    </xf>
    <xf numFmtId="0" fontId="3" fillId="0" borderId="48" xfId="0" applyFont="1" applyBorder="1" applyAlignment="1">
      <alignment horizontal="left" vertical="center"/>
    </xf>
    <xf numFmtId="0" fontId="10" fillId="0" borderId="50" xfId="0" applyFont="1" applyBorder="1" applyAlignment="1">
      <alignment horizontal="center" vertical="center"/>
    </xf>
    <xf numFmtId="0" fontId="12" fillId="0" borderId="52" xfId="0" applyFont="1" applyBorder="1" applyAlignment="1">
      <alignment horizontal="left" vertical="center"/>
    </xf>
    <xf numFmtId="0" fontId="12" fillId="0" borderId="53" xfId="0" applyFont="1" applyBorder="1" applyAlignment="1">
      <alignment horizontal="left" vertical="center"/>
    </xf>
    <xf numFmtId="0" fontId="13" fillId="0" borderId="60" xfId="0" applyFont="1" applyBorder="1" applyAlignment="1">
      <alignment horizontal="left" vertical="center"/>
    </xf>
    <xf numFmtId="0" fontId="13" fillId="0" borderId="58" xfId="0" applyFont="1" applyBorder="1" applyAlignment="1">
      <alignment horizontal="left" vertical="center"/>
    </xf>
    <xf numFmtId="0" fontId="13" fillId="0" borderId="61" xfId="0" applyFont="1" applyBorder="1" applyAlignment="1">
      <alignment horizontal="left" vertical="center"/>
    </xf>
    <xf numFmtId="0" fontId="13" fillId="0" borderId="62" xfId="0" applyFont="1" applyBorder="1" applyAlignment="1">
      <alignment horizontal="left" vertical="center"/>
    </xf>
    <xf numFmtId="0" fontId="13" fillId="0" borderId="65" xfId="0" applyFont="1" applyBorder="1" applyAlignment="1">
      <alignment horizontal="left" vertical="center"/>
    </xf>
    <xf numFmtId="0" fontId="13" fillId="0" borderId="53" xfId="0" applyFont="1" applyBorder="1" applyAlignment="1">
      <alignment horizontal="left" vertical="center"/>
    </xf>
    <xf numFmtId="0" fontId="14" fillId="0" borderId="57" xfId="0" applyFont="1" applyBorder="1" applyAlignment="1">
      <alignment horizontal="left" vertical="center"/>
    </xf>
    <xf numFmtId="0" fontId="14" fillId="0" borderId="58" xfId="0" applyFont="1" applyBorder="1" applyAlignment="1">
      <alignment horizontal="left" vertical="center"/>
    </xf>
    <xf numFmtId="0" fontId="14" fillId="0" borderId="64" xfId="0" applyFont="1" applyBorder="1" applyAlignment="1">
      <alignment horizontal="left" vertical="center"/>
    </xf>
    <xf numFmtId="0" fontId="14" fillId="0" borderId="62" xfId="0" applyFont="1" applyBorder="1" applyAlignment="1">
      <alignment horizontal="left" vertical="center"/>
    </xf>
    <xf numFmtId="0" fontId="13" fillId="0" borderId="52" xfId="0" applyFont="1" applyBorder="1" applyAlignment="1">
      <alignment horizontal="left" vertical="center"/>
    </xf>
    <xf numFmtId="0" fontId="13" fillId="0" borderId="57" xfId="0" applyFont="1" applyBorder="1" applyAlignment="1">
      <alignment horizontal="left" vertical="center"/>
    </xf>
    <xf numFmtId="0" fontId="13" fillId="2" borderId="65" xfId="0" applyFont="1" applyFill="1" applyBorder="1" applyAlignment="1">
      <alignment horizontal="left" vertical="center"/>
    </xf>
    <xf numFmtId="0" fontId="13" fillId="2" borderId="66" xfId="0" applyFont="1" applyFill="1" applyBorder="1" applyAlignment="1">
      <alignment horizontal="left" vertical="center"/>
    </xf>
    <xf numFmtId="0" fontId="13" fillId="2" borderId="60" xfId="0" applyFont="1" applyFill="1" applyBorder="1" applyAlignment="1">
      <alignment horizontal="left" vertical="center"/>
    </xf>
    <xf numFmtId="0" fontId="13" fillId="2" borderId="67" xfId="0" applyFont="1" applyFill="1" applyBorder="1" applyAlignment="1">
      <alignment horizontal="left" vertical="center"/>
    </xf>
    <xf numFmtId="0" fontId="13" fillId="2" borderId="52" xfId="0" applyFont="1" applyFill="1" applyBorder="1" applyAlignment="1">
      <alignment horizontal="left" vertical="center"/>
    </xf>
    <xf numFmtId="0" fontId="13" fillId="2" borderId="57" xfId="0" applyFont="1" applyFill="1" applyBorder="1" applyAlignment="1">
      <alignment horizontal="left" vertical="center"/>
    </xf>
    <xf numFmtId="0" fontId="14" fillId="0" borderId="68" xfId="0" applyFont="1" applyBorder="1" applyAlignment="1">
      <alignment horizontal="left" vertical="center"/>
    </xf>
    <xf numFmtId="0" fontId="14" fillId="0" borderId="69" xfId="0" applyFont="1" applyBorder="1" applyAlignment="1">
      <alignment horizontal="left" vertical="center"/>
    </xf>
    <xf numFmtId="0" fontId="14" fillId="0" borderId="70" xfId="0" applyFont="1" applyBorder="1" applyAlignment="1">
      <alignment horizontal="left" vertical="center"/>
    </xf>
    <xf numFmtId="0" fontId="14" fillId="0" borderId="72" xfId="0" applyFont="1" applyBorder="1" applyAlignment="1">
      <alignment horizontal="left" vertical="center"/>
    </xf>
    <xf numFmtId="0" fontId="14" fillId="0" borderId="0" xfId="0" applyFont="1" applyAlignment="1">
      <alignment horizontal="left" vertical="center"/>
    </xf>
    <xf numFmtId="0" fontId="14" fillId="0" borderId="73" xfId="0" applyFont="1" applyBorder="1" applyAlignment="1">
      <alignment horizontal="left" vertical="center"/>
    </xf>
    <xf numFmtId="0" fontId="14" fillId="0" borderId="75" xfId="0" applyFont="1" applyBorder="1" applyAlignment="1">
      <alignment horizontal="left" vertical="center"/>
    </xf>
    <xf numFmtId="0" fontId="14" fillId="0" borderId="76" xfId="0" applyFont="1" applyBorder="1" applyAlignment="1">
      <alignment horizontal="left" vertical="center"/>
    </xf>
    <xf numFmtId="0" fontId="14" fillId="0" borderId="77" xfId="0" applyFont="1" applyBorder="1" applyAlignment="1">
      <alignment horizontal="left" vertical="center"/>
    </xf>
    <xf numFmtId="0" fontId="14" fillId="0" borderId="71" xfId="0" applyFont="1" applyBorder="1" applyAlignment="1">
      <alignment horizontal="left" vertical="center"/>
    </xf>
    <xf numFmtId="0" fontId="14" fillId="0" borderId="74" xfId="0" applyFont="1" applyBorder="1" applyAlignment="1">
      <alignment horizontal="left" vertical="center"/>
    </xf>
    <xf numFmtId="0" fontId="14" fillId="0" borderId="78" xfId="0" applyFont="1" applyBorder="1" applyAlignment="1">
      <alignment horizontal="left" vertical="center"/>
    </xf>
    <xf numFmtId="0" fontId="13"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17" xfId="0" applyFont="1" applyBorder="1" applyAlignment="1">
      <alignment horizontal="left" vertical="center"/>
    </xf>
    <xf numFmtId="0" fontId="3" fillId="0" borderId="60" xfId="0" applyFont="1" applyBorder="1" applyAlignment="1">
      <alignment horizontal="left" vertical="center"/>
    </xf>
    <xf numFmtId="0" fontId="3" fillId="0" borderId="67" xfId="0" applyFont="1" applyBorder="1" applyAlignment="1">
      <alignment horizontal="left" vertical="center"/>
    </xf>
    <xf numFmtId="0" fontId="3" fillId="0" borderId="58" xfId="0" applyFont="1" applyBorder="1" applyAlignment="1">
      <alignment horizontal="left" vertical="center"/>
    </xf>
    <xf numFmtId="0" fontId="3" fillId="0" borderId="80" xfId="0" applyFont="1" applyBorder="1" applyAlignment="1">
      <alignment horizontal="left" vertical="center"/>
    </xf>
    <xf numFmtId="0" fontId="3" fillId="0" borderId="81" xfId="0" applyFont="1" applyBorder="1" applyAlignment="1">
      <alignment horizontal="left" vertical="center"/>
    </xf>
    <xf numFmtId="0" fontId="3" fillId="0" borderId="82" xfId="0" applyFont="1" applyBorder="1" applyAlignment="1">
      <alignment horizontal="left" vertical="center"/>
    </xf>
    <xf numFmtId="0" fontId="2" fillId="0" borderId="84" xfId="0" applyFont="1" applyBorder="1" applyAlignment="1">
      <alignment horizontal="left" vertical="center"/>
    </xf>
    <xf numFmtId="0" fontId="2" fillId="0" borderId="85" xfId="0" applyFont="1" applyBorder="1" applyAlignment="1">
      <alignment horizontal="left" vertical="center"/>
    </xf>
    <xf numFmtId="0" fontId="2" fillId="0" borderId="86" xfId="0" applyFont="1" applyBorder="1" applyAlignment="1">
      <alignment horizontal="left" vertical="center"/>
    </xf>
    <xf numFmtId="0" fontId="13" fillId="0" borderId="84" xfId="0" applyFont="1" applyBorder="1" applyAlignment="1">
      <alignment horizontal="left" vertical="center"/>
    </xf>
    <xf numFmtId="0" fontId="13" fillId="0" borderId="85" xfId="0" applyFont="1" applyBorder="1" applyAlignment="1">
      <alignment horizontal="left" vertical="center"/>
    </xf>
    <xf numFmtId="0" fontId="13" fillId="0" borderId="86" xfId="0" applyFont="1" applyBorder="1" applyAlignment="1">
      <alignment horizontal="left" vertical="center"/>
    </xf>
    <xf numFmtId="4" fontId="13" fillId="0" borderId="88" xfId="0" applyNumberFormat="1" applyFont="1" applyBorder="1" applyAlignment="1">
      <alignment horizontal="right" vertical="center"/>
    </xf>
    <xf numFmtId="0" fontId="13" fillId="0" borderId="85" xfId="0" applyFont="1" applyBorder="1" applyAlignment="1">
      <alignment horizontal="right" vertical="center"/>
    </xf>
    <xf numFmtId="0" fontId="13" fillId="0" borderId="86" xfId="0" applyFont="1" applyBorder="1" applyAlignment="1">
      <alignment horizontal="righ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666750" cy="666750"/>
    <xdr:pic>
      <xdr:nvPicPr>
        <xdr:cNvPr id="2" name="Obrázek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666750" cy="666750"/>
        </a:xfrm>
        <a:prstGeom prst="rect">
          <a:avLst/>
        </a:prstGeom>
        <a:noFill/>
        <a:ln w="9525">
          <a:noFill/>
        </a:ln>
      </xdr:spPr>
    </xdr:pic>
    <xdr:clientData/>
  </xdr:absolute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7"/>
  <sheetViews>
    <sheetView tabSelected="1" workbookViewId="0">
      <selection activeCell="A37" sqref="A37:I37"/>
    </sheetView>
  </sheetViews>
  <sheetFormatPr defaultColWidth="12.140625" defaultRowHeight="15" customHeight="1" x14ac:dyDescent="0.25"/>
  <cols>
    <col min="1" max="1" width="9.140625" customWidth="1"/>
    <col min="2" max="2" width="12.85546875" customWidth="1"/>
    <col min="3" max="3" width="27.140625" customWidth="1"/>
    <col min="4" max="4" width="10" customWidth="1"/>
    <col min="5" max="5" width="14" customWidth="1"/>
    <col min="6" max="6" width="27.140625" customWidth="1"/>
    <col min="7" max="7" width="9.140625" customWidth="1"/>
    <col min="8" max="8" width="12.85546875" customWidth="1"/>
    <col min="9" max="9" width="27.140625" customWidth="1"/>
  </cols>
  <sheetData>
    <row r="1" spans="1:9" ht="54.75" customHeight="1" x14ac:dyDescent="0.25">
      <c r="A1" s="301" t="s">
        <v>1170</v>
      </c>
      <c r="B1" s="221"/>
      <c r="C1" s="221"/>
      <c r="D1" s="221"/>
      <c r="E1" s="221"/>
      <c r="F1" s="221"/>
      <c r="G1" s="221"/>
      <c r="H1" s="221"/>
      <c r="I1" s="221"/>
    </row>
    <row r="2" spans="1:9" x14ac:dyDescent="0.25">
      <c r="A2" s="222" t="s">
        <v>1</v>
      </c>
      <c r="B2" s="223"/>
      <c r="C2" s="231" t="str">
        <f>'Stavební rozpočet'!C2</f>
        <v>REKONSTRUKCE STŘECHY ZŠ T.G.MASARYKA V IVANČICÍCH</v>
      </c>
      <c r="D2" s="232"/>
      <c r="E2" s="229" t="s">
        <v>5</v>
      </c>
      <c r="F2" s="229" t="str">
        <f>'Stavební rozpočet'!I2</f>
        <v>Město Ivančice</v>
      </c>
      <c r="G2" s="223"/>
      <c r="H2" s="229" t="s">
        <v>1171</v>
      </c>
      <c r="I2" s="234" t="s">
        <v>1172</v>
      </c>
    </row>
    <row r="3" spans="1:9" ht="15" customHeight="1" x14ac:dyDescent="0.25">
      <c r="A3" s="224"/>
      <c r="B3" s="225"/>
      <c r="C3" s="233"/>
      <c r="D3" s="233"/>
      <c r="E3" s="225"/>
      <c r="F3" s="225"/>
      <c r="G3" s="225"/>
      <c r="H3" s="225"/>
      <c r="I3" s="235"/>
    </row>
    <row r="4" spans="1:9" x14ac:dyDescent="0.25">
      <c r="A4" s="226" t="s">
        <v>7</v>
      </c>
      <c r="B4" s="225"/>
      <c r="C4" s="230" t="str">
        <f>'Stavební rozpočet'!C4</f>
        <v>oprava střešní konstrukce</v>
      </c>
      <c r="D4" s="225"/>
      <c r="E4" s="230" t="s">
        <v>11</v>
      </c>
      <c r="F4" s="230" t="str">
        <f>'Stavební rozpočet'!I4</f>
        <v>Tomáš Sýkora</v>
      </c>
      <c r="G4" s="225"/>
      <c r="H4" s="230" t="s">
        <v>1171</v>
      </c>
      <c r="I4" s="235" t="s">
        <v>1173</v>
      </c>
    </row>
    <row r="5" spans="1:9" ht="15" customHeight="1" x14ac:dyDescent="0.25">
      <c r="A5" s="224"/>
      <c r="B5" s="225"/>
      <c r="C5" s="225"/>
      <c r="D5" s="225"/>
      <c r="E5" s="225"/>
      <c r="F5" s="225"/>
      <c r="G5" s="225"/>
      <c r="H5" s="225"/>
      <c r="I5" s="235"/>
    </row>
    <row r="6" spans="1:9" x14ac:dyDescent="0.25">
      <c r="A6" s="226" t="s">
        <v>13</v>
      </c>
      <c r="B6" s="225"/>
      <c r="C6" s="230" t="str">
        <f>'Stavební rozpočet'!C6</f>
        <v>ZŠ TGM Ivančice, Na Brněnce 1, 664 91 Ivančice</v>
      </c>
      <c r="D6" s="225"/>
      <c r="E6" s="230" t="s">
        <v>16</v>
      </c>
      <c r="F6" s="230" t="str">
        <f>'Stavební rozpočet'!I6</f>
        <v> </v>
      </c>
      <c r="G6" s="225"/>
      <c r="H6" s="230" t="s">
        <v>1171</v>
      </c>
      <c r="I6" s="235" t="s">
        <v>52</v>
      </c>
    </row>
    <row r="7" spans="1:9" ht="15" customHeight="1" x14ac:dyDescent="0.25">
      <c r="A7" s="224"/>
      <c r="B7" s="225"/>
      <c r="C7" s="225"/>
      <c r="D7" s="225"/>
      <c r="E7" s="225"/>
      <c r="F7" s="225"/>
      <c r="G7" s="225"/>
      <c r="H7" s="225"/>
      <c r="I7" s="235"/>
    </row>
    <row r="8" spans="1:9" x14ac:dyDescent="0.25">
      <c r="A8" s="226" t="s">
        <v>9</v>
      </c>
      <c r="B8" s="225"/>
      <c r="C8" s="230" t="str">
        <f>'Stavební rozpočet'!G4</f>
        <v>13.01.2025</v>
      </c>
      <c r="D8" s="225"/>
      <c r="E8" s="230" t="s">
        <v>15</v>
      </c>
      <c r="F8" s="230" t="str">
        <f>'Stavební rozpočet'!G6</f>
        <v>13.01.2025</v>
      </c>
      <c r="G8" s="225"/>
      <c r="H8" s="225" t="s">
        <v>1174</v>
      </c>
      <c r="I8" s="304">
        <v>218</v>
      </c>
    </row>
    <row r="9" spans="1:9" x14ac:dyDescent="0.25">
      <c r="A9" s="224"/>
      <c r="B9" s="225"/>
      <c r="C9" s="225"/>
      <c r="D9" s="225"/>
      <c r="E9" s="225"/>
      <c r="F9" s="225"/>
      <c r="G9" s="225"/>
      <c r="H9" s="225"/>
      <c r="I9" s="235"/>
    </row>
    <row r="10" spans="1:9" x14ac:dyDescent="0.25">
      <c r="A10" s="226" t="s">
        <v>18</v>
      </c>
      <c r="B10" s="225"/>
      <c r="C10" s="230" t="str">
        <f>'Stavební rozpočet'!C8</f>
        <v>8013212</v>
      </c>
      <c r="D10" s="225"/>
      <c r="E10" s="230" t="s">
        <v>21</v>
      </c>
      <c r="F10" s="230" t="str">
        <f>'Stavební rozpočet'!I8</f>
        <v>Tomáš Sýkora</v>
      </c>
      <c r="G10" s="225"/>
      <c r="H10" s="225" t="s">
        <v>1175</v>
      </c>
      <c r="I10" s="305" t="str">
        <f>'Stavební rozpočet'!G8</f>
        <v>13.01.2025</v>
      </c>
    </row>
    <row r="11" spans="1:9" x14ac:dyDescent="0.25">
      <c r="A11" s="302"/>
      <c r="B11" s="303"/>
      <c r="C11" s="303"/>
      <c r="D11" s="303"/>
      <c r="E11" s="303"/>
      <c r="F11" s="303"/>
      <c r="G11" s="303"/>
      <c r="H11" s="303"/>
      <c r="I11" s="306"/>
    </row>
    <row r="12" spans="1:9" ht="23.25" x14ac:dyDescent="0.25">
      <c r="A12" s="307" t="s">
        <v>1176</v>
      </c>
      <c r="B12" s="307"/>
      <c r="C12" s="307"/>
      <c r="D12" s="307"/>
      <c r="E12" s="307"/>
      <c r="F12" s="307"/>
      <c r="G12" s="307"/>
      <c r="H12" s="307"/>
      <c r="I12" s="307"/>
    </row>
    <row r="13" spans="1:9" ht="26.25" customHeight="1" x14ac:dyDescent="0.25">
      <c r="A13" s="200" t="s">
        <v>1177</v>
      </c>
      <c r="B13" s="308" t="s">
        <v>1178</v>
      </c>
      <c r="C13" s="309"/>
      <c r="D13" s="201" t="s">
        <v>1179</v>
      </c>
      <c r="E13" s="308" t="s">
        <v>1180</v>
      </c>
      <c r="F13" s="309"/>
      <c r="G13" s="201" t="s">
        <v>1181</v>
      </c>
      <c r="H13" s="308" t="s">
        <v>1182</v>
      </c>
      <c r="I13" s="309"/>
    </row>
    <row r="14" spans="1:9" ht="15.75" x14ac:dyDescent="0.25">
      <c r="A14" s="202" t="s">
        <v>1183</v>
      </c>
      <c r="B14" s="203" t="s">
        <v>1184</v>
      </c>
      <c r="C14" s="204">
        <f>SUM('Stavební rozpočet'!AB12:AB752)</f>
        <v>0</v>
      </c>
      <c r="D14" s="316" t="s">
        <v>1185</v>
      </c>
      <c r="E14" s="317"/>
      <c r="F14" s="204">
        <f>VORN!I15</f>
        <v>0</v>
      </c>
      <c r="G14" s="316" t="s">
        <v>1186</v>
      </c>
      <c r="H14" s="317"/>
      <c r="I14" s="205">
        <f>VORN!I21</f>
        <v>0</v>
      </c>
    </row>
    <row r="15" spans="1:9" ht="15.75" x14ac:dyDescent="0.25">
      <c r="A15" s="206" t="s">
        <v>52</v>
      </c>
      <c r="B15" s="203" t="s">
        <v>37</v>
      </c>
      <c r="C15" s="204">
        <f>SUM('Stavební rozpočet'!AC12:AC752)</f>
        <v>0</v>
      </c>
      <c r="D15" s="316" t="s">
        <v>1187</v>
      </c>
      <c r="E15" s="317"/>
      <c r="F15" s="204">
        <f>VORN!I16</f>
        <v>0</v>
      </c>
      <c r="G15" s="316" t="s">
        <v>1188</v>
      </c>
      <c r="H15" s="317"/>
      <c r="I15" s="205">
        <f>VORN!I22</f>
        <v>0</v>
      </c>
    </row>
    <row r="16" spans="1:9" ht="15.75" x14ac:dyDescent="0.25">
      <c r="A16" s="202" t="s">
        <v>1189</v>
      </c>
      <c r="B16" s="203" t="s">
        <v>1184</v>
      </c>
      <c r="C16" s="204">
        <f>SUM('Stavební rozpočet'!AD12:AD752)</f>
        <v>0</v>
      </c>
      <c r="D16" s="316" t="s">
        <v>1190</v>
      </c>
      <c r="E16" s="317"/>
      <c r="F16" s="204">
        <f>VORN!I17</f>
        <v>0</v>
      </c>
      <c r="G16" s="316" t="s">
        <v>1191</v>
      </c>
      <c r="H16" s="317"/>
      <c r="I16" s="205">
        <f>VORN!I23</f>
        <v>0</v>
      </c>
    </row>
    <row r="17" spans="1:9" ht="15.75" x14ac:dyDescent="0.25">
      <c r="A17" s="206" t="s">
        <v>52</v>
      </c>
      <c r="B17" s="203" t="s">
        <v>37</v>
      </c>
      <c r="C17" s="204">
        <f>SUM('Stavební rozpočet'!AE12:AE752)</f>
        <v>0</v>
      </c>
      <c r="D17" s="316" t="s">
        <v>52</v>
      </c>
      <c r="E17" s="317"/>
      <c r="F17" s="205" t="s">
        <v>52</v>
      </c>
      <c r="G17" s="316" t="s">
        <v>1192</v>
      </c>
      <c r="H17" s="317"/>
      <c r="I17" s="205">
        <f>VORN!I24</f>
        <v>0</v>
      </c>
    </row>
    <row r="18" spans="1:9" ht="15.75" x14ac:dyDescent="0.25">
      <c r="A18" s="202" t="s">
        <v>1193</v>
      </c>
      <c r="B18" s="203" t="s">
        <v>1184</v>
      </c>
      <c r="C18" s="204">
        <f>SUM('Stavební rozpočet'!AF12:AF752)</f>
        <v>0</v>
      </c>
      <c r="D18" s="316" t="s">
        <v>52</v>
      </c>
      <c r="E18" s="317"/>
      <c r="F18" s="205" t="s">
        <v>52</v>
      </c>
      <c r="G18" s="316" t="s">
        <v>1194</v>
      </c>
      <c r="H18" s="317"/>
      <c r="I18" s="205">
        <f>VORN!I25</f>
        <v>0</v>
      </c>
    </row>
    <row r="19" spans="1:9" ht="15.75" x14ac:dyDescent="0.25">
      <c r="A19" s="206" t="s">
        <v>52</v>
      </c>
      <c r="B19" s="203" t="s">
        <v>37</v>
      </c>
      <c r="C19" s="204">
        <f>SUM('Stavební rozpočet'!AG12:AG752)</f>
        <v>0</v>
      </c>
      <c r="D19" s="316" t="s">
        <v>52</v>
      </c>
      <c r="E19" s="317"/>
      <c r="F19" s="205" t="s">
        <v>52</v>
      </c>
      <c r="G19" s="316" t="s">
        <v>1195</v>
      </c>
      <c r="H19" s="317"/>
      <c r="I19" s="205">
        <f>VORN!I26</f>
        <v>0</v>
      </c>
    </row>
    <row r="20" spans="1:9" ht="15.75" x14ac:dyDescent="0.25">
      <c r="A20" s="310" t="s">
        <v>1196</v>
      </c>
      <c r="B20" s="311"/>
      <c r="C20" s="204">
        <f>SUM('Stavební rozpočet'!AH12:AH752)</f>
        <v>0</v>
      </c>
      <c r="D20" s="316" t="s">
        <v>52</v>
      </c>
      <c r="E20" s="317"/>
      <c r="F20" s="205" t="s">
        <v>52</v>
      </c>
      <c r="G20" s="316" t="s">
        <v>52</v>
      </c>
      <c r="H20" s="317"/>
      <c r="I20" s="205" t="s">
        <v>52</v>
      </c>
    </row>
    <row r="21" spans="1:9" ht="15.75" x14ac:dyDescent="0.25">
      <c r="A21" s="312" t="s">
        <v>1197</v>
      </c>
      <c r="B21" s="313"/>
      <c r="C21" s="207">
        <f>SUM('Stavební rozpočet'!Z12:Z752)</f>
        <v>0</v>
      </c>
      <c r="D21" s="318" t="s">
        <v>52</v>
      </c>
      <c r="E21" s="319"/>
      <c r="F21" s="208" t="s">
        <v>52</v>
      </c>
      <c r="G21" s="318" t="s">
        <v>52</v>
      </c>
      <c r="H21" s="319"/>
      <c r="I21" s="208" t="s">
        <v>52</v>
      </c>
    </row>
    <row r="22" spans="1:9" ht="16.5" customHeight="1" x14ac:dyDescent="0.25">
      <c r="A22" s="314" t="s">
        <v>1198</v>
      </c>
      <c r="B22" s="315"/>
      <c r="C22" s="209">
        <f>ROUND(SUM(C14:C21),2)</f>
        <v>0</v>
      </c>
      <c r="D22" s="320" t="s">
        <v>1199</v>
      </c>
      <c r="E22" s="315"/>
      <c r="F22" s="209">
        <f>SUM(F14:F21)</f>
        <v>0</v>
      </c>
      <c r="G22" s="320" t="s">
        <v>1200</v>
      </c>
      <c r="H22" s="315"/>
      <c r="I22" s="209">
        <f>SUM(I14:I21)</f>
        <v>0</v>
      </c>
    </row>
    <row r="23" spans="1:9" ht="15.75" x14ac:dyDescent="0.25">
      <c r="D23" s="310" t="s">
        <v>1201</v>
      </c>
      <c r="E23" s="311"/>
      <c r="F23" s="204">
        <f>'Krycí list rozpočtu (00)'!F22+'Krycí list rozpočtu (01)'!F22+'Krycí list rozpočtu (02)'!F22+'Krycí list rozpočtu (03)'!F22+'Krycí list rozpočtu (04)'!F22+'Krycí list rozpočtu (05)'!F22+'Krycí list rozpočtu (06)'!F22</f>
        <v>0</v>
      </c>
      <c r="G23" s="321" t="s">
        <v>1202</v>
      </c>
      <c r="H23" s="311"/>
      <c r="I23" s="204">
        <f>'Krycí list rozpočtu (00)'!I22+'Krycí list rozpočtu (01)'!I22+'Krycí list rozpočtu (02)'!I22+'Krycí list rozpočtu (03)'!I22+'Krycí list rozpočtu (04)'!I22+'Krycí list rozpočtu (05)'!I22+'Krycí list rozpočtu (06)'!I22</f>
        <v>0</v>
      </c>
    </row>
    <row r="24" spans="1:9" ht="15.75" x14ac:dyDescent="0.25">
      <c r="G24" s="310" t="s">
        <v>1203</v>
      </c>
      <c r="H24" s="311"/>
      <c r="I24" s="207">
        <f>vorn_sum</f>
        <v>0</v>
      </c>
    </row>
    <row r="25" spans="1:9" ht="15.75" x14ac:dyDescent="0.25">
      <c r="G25" s="310" t="s">
        <v>1204</v>
      </c>
      <c r="H25" s="311"/>
      <c r="I25" s="209">
        <f>'Krycí list rozpočtu (00)'!I23+'Krycí list rozpočtu (01)'!I23+'Krycí list rozpočtu (02)'!I23+'Krycí list rozpočtu (03)'!I23+'Krycí list rozpočtu (04)'!I23+'Krycí list rozpočtu (05)'!I23+'Krycí list rozpočtu (06)'!I23</f>
        <v>0</v>
      </c>
    </row>
    <row r="27" spans="1:9" ht="15.75" x14ac:dyDescent="0.25">
      <c r="A27" s="322" t="s">
        <v>1205</v>
      </c>
      <c r="B27" s="323"/>
      <c r="C27" s="210">
        <f>ROUND(SUM('Stavební rozpočet'!AJ12:AJ752),2)</f>
        <v>0</v>
      </c>
    </row>
    <row r="28" spans="1:9" ht="15.75" x14ac:dyDescent="0.25">
      <c r="A28" s="324" t="s">
        <v>1206</v>
      </c>
      <c r="B28" s="325"/>
      <c r="C28" s="211">
        <f>ROUND(SUM('Stavební rozpočet'!AK12:AK752),2)</f>
        <v>0</v>
      </c>
      <c r="D28" s="326" t="s">
        <v>1207</v>
      </c>
      <c r="E28" s="323"/>
      <c r="F28" s="210">
        <f>ROUND(C28*(12/100),2)</f>
        <v>0</v>
      </c>
      <c r="G28" s="326" t="s">
        <v>1208</v>
      </c>
      <c r="H28" s="323"/>
      <c r="I28" s="210">
        <f>ROUND(SUM(C27:C29),2)</f>
        <v>0</v>
      </c>
    </row>
    <row r="29" spans="1:9" ht="15.75" x14ac:dyDescent="0.25">
      <c r="A29" s="324" t="s">
        <v>1209</v>
      </c>
      <c r="B29" s="325"/>
      <c r="C29" s="211">
        <f>ROUND(SUM('Stavební rozpočet'!AL12:AL752)+(F22+I22+F23+I23+I24+I25),2)</f>
        <v>0</v>
      </c>
      <c r="D29" s="327" t="s">
        <v>1210</v>
      </c>
      <c r="E29" s="325"/>
      <c r="F29" s="211">
        <f>ROUND(C29*(21/100),2)</f>
        <v>0</v>
      </c>
      <c r="G29" s="327" t="s">
        <v>1211</v>
      </c>
      <c r="H29" s="325"/>
      <c r="I29" s="211">
        <f>ROUND(SUM(F28:F29)+I28,2)</f>
        <v>0</v>
      </c>
    </row>
    <row r="31" spans="1:9" x14ac:dyDescent="0.25">
      <c r="A31" s="328" t="s">
        <v>1212</v>
      </c>
      <c r="B31" s="329"/>
      <c r="C31" s="330"/>
      <c r="D31" s="337" t="s">
        <v>1213</v>
      </c>
      <c r="E31" s="329"/>
      <c r="F31" s="330"/>
      <c r="G31" s="337" t="s">
        <v>1214</v>
      </c>
      <c r="H31" s="329"/>
      <c r="I31" s="330"/>
    </row>
    <row r="32" spans="1:9" x14ac:dyDescent="0.25">
      <c r="A32" s="331" t="s">
        <v>52</v>
      </c>
      <c r="B32" s="332"/>
      <c r="C32" s="333"/>
      <c r="D32" s="338" t="s">
        <v>52</v>
      </c>
      <c r="E32" s="332"/>
      <c r="F32" s="333"/>
      <c r="G32" s="338" t="s">
        <v>52</v>
      </c>
      <c r="H32" s="332"/>
      <c r="I32" s="333"/>
    </row>
    <row r="33" spans="1:9" x14ac:dyDescent="0.25">
      <c r="A33" s="331" t="s">
        <v>52</v>
      </c>
      <c r="B33" s="332"/>
      <c r="C33" s="333"/>
      <c r="D33" s="338" t="s">
        <v>52</v>
      </c>
      <c r="E33" s="332"/>
      <c r="F33" s="333"/>
      <c r="G33" s="338" t="s">
        <v>52</v>
      </c>
      <c r="H33" s="332"/>
      <c r="I33" s="333"/>
    </row>
    <row r="34" spans="1:9" x14ac:dyDescent="0.25">
      <c r="A34" s="331" t="s">
        <v>52</v>
      </c>
      <c r="B34" s="332"/>
      <c r="C34" s="333"/>
      <c r="D34" s="338" t="s">
        <v>52</v>
      </c>
      <c r="E34" s="332"/>
      <c r="F34" s="333"/>
      <c r="G34" s="338" t="s">
        <v>52</v>
      </c>
      <c r="H34" s="332"/>
      <c r="I34" s="333"/>
    </row>
    <row r="35" spans="1:9" x14ac:dyDescent="0.25">
      <c r="A35" s="334" t="s">
        <v>1215</v>
      </c>
      <c r="B35" s="335"/>
      <c r="C35" s="336"/>
      <c r="D35" s="339" t="s">
        <v>1215</v>
      </c>
      <c r="E35" s="335"/>
      <c r="F35" s="336"/>
      <c r="G35" s="339" t="s">
        <v>1215</v>
      </c>
      <c r="H35" s="335"/>
      <c r="I35" s="336"/>
    </row>
    <row r="36" spans="1:9" x14ac:dyDescent="0.25">
      <c r="A36" s="212" t="s">
        <v>148</v>
      </c>
    </row>
    <row r="37" spans="1:9" ht="12.75" customHeight="1" x14ac:dyDescent="0.25">
      <c r="A37" s="230" t="s">
        <v>52</v>
      </c>
      <c r="B37" s="225"/>
      <c r="C37" s="225"/>
      <c r="D37" s="225"/>
      <c r="E37" s="225"/>
      <c r="F37" s="225"/>
      <c r="G37" s="225"/>
      <c r="H37" s="225"/>
      <c r="I37" s="225"/>
    </row>
  </sheetData>
  <mergeCells count="83">
    <mergeCell ref="A37:I37"/>
    <mergeCell ref="G31:I31"/>
    <mergeCell ref="G32:I32"/>
    <mergeCell ref="G33:I33"/>
    <mergeCell ref="G34:I34"/>
    <mergeCell ref="G35:I35"/>
    <mergeCell ref="D31:F31"/>
    <mergeCell ref="D32:F32"/>
    <mergeCell ref="D33:F33"/>
    <mergeCell ref="D34:F34"/>
    <mergeCell ref="D35:F35"/>
    <mergeCell ref="A31:C31"/>
    <mergeCell ref="A32:C32"/>
    <mergeCell ref="A33:C33"/>
    <mergeCell ref="A34:C34"/>
    <mergeCell ref="A35:C35"/>
    <mergeCell ref="G24:H24"/>
    <mergeCell ref="G25:H25"/>
    <mergeCell ref="A27:B27"/>
    <mergeCell ref="A28:B28"/>
    <mergeCell ref="A29:B29"/>
    <mergeCell ref="D28:E28"/>
    <mergeCell ref="D29:E29"/>
    <mergeCell ref="G28:H28"/>
    <mergeCell ref="G29:H29"/>
    <mergeCell ref="D23:E23"/>
    <mergeCell ref="G14:H14"/>
    <mergeCell ref="G15:H15"/>
    <mergeCell ref="G16:H16"/>
    <mergeCell ref="G17:H17"/>
    <mergeCell ref="G18:H18"/>
    <mergeCell ref="G19:H19"/>
    <mergeCell ref="G20:H20"/>
    <mergeCell ref="G21:H21"/>
    <mergeCell ref="G22:H22"/>
    <mergeCell ref="G23:H23"/>
    <mergeCell ref="A20:B20"/>
    <mergeCell ref="A21:B21"/>
    <mergeCell ref="A22:B22"/>
    <mergeCell ref="D14:E14"/>
    <mergeCell ref="D15:E15"/>
    <mergeCell ref="D16:E16"/>
    <mergeCell ref="D17:E17"/>
    <mergeCell ref="D18:E18"/>
    <mergeCell ref="D19:E19"/>
    <mergeCell ref="D20:E20"/>
    <mergeCell ref="D21:E21"/>
    <mergeCell ref="D22:E22"/>
    <mergeCell ref="I10:I11"/>
    <mergeCell ref="A12:I12"/>
    <mergeCell ref="B13:C13"/>
    <mergeCell ref="E13:F13"/>
    <mergeCell ref="H13:I13"/>
    <mergeCell ref="F10:G11"/>
    <mergeCell ref="H2:H3"/>
    <mergeCell ref="H4:H5"/>
    <mergeCell ref="H6:H7"/>
    <mergeCell ref="H8:H9"/>
    <mergeCell ref="H10:H11"/>
    <mergeCell ref="A10:B11"/>
    <mergeCell ref="E2:E3"/>
    <mergeCell ref="E4:E5"/>
    <mergeCell ref="E6:E7"/>
    <mergeCell ref="E8:E9"/>
    <mergeCell ref="E10:E11"/>
    <mergeCell ref="C2:D3"/>
    <mergeCell ref="C4:D5"/>
    <mergeCell ref="C6:D7"/>
    <mergeCell ref="C8:D9"/>
    <mergeCell ref="C10:D11"/>
    <mergeCell ref="A1:I1"/>
    <mergeCell ref="A2:B3"/>
    <mergeCell ref="A4:B5"/>
    <mergeCell ref="A6:B7"/>
    <mergeCell ref="A8:B9"/>
    <mergeCell ref="F2:G3"/>
    <mergeCell ref="F4:G5"/>
    <mergeCell ref="F6:G7"/>
    <mergeCell ref="F8:G9"/>
    <mergeCell ref="I2:I3"/>
    <mergeCell ref="I4:I5"/>
    <mergeCell ref="I6:I7"/>
    <mergeCell ref="I8:I9"/>
  </mergeCells>
  <pageMargins left="0.393999993801117" right="0.393999993801117" top="0.59100002050399802" bottom="0.59100002050399802" header="0" footer="0"/>
  <pageSetup orientation="landscape"/>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I36"/>
  <sheetViews>
    <sheetView workbookViewId="0">
      <selection activeCell="A36" sqref="A36:E36"/>
    </sheetView>
  </sheetViews>
  <sheetFormatPr defaultColWidth="12.140625" defaultRowHeight="15" customHeight="1" x14ac:dyDescent="0.25"/>
  <cols>
    <col min="1" max="1" width="9.140625" customWidth="1"/>
    <col min="2" max="2" width="12.85546875" customWidth="1"/>
    <col min="3" max="3" width="22.85546875" customWidth="1"/>
    <col min="4" max="4" width="10" customWidth="1"/>
    <col min="5" max="5" width="14" customWidth="1"/>
    <col min="6" max="6" width="22.85546875" customWidth="1"/>
    <col min="7" max="7" width="9.140625" customWidth="1"/>
    <col min="8" max="8" width="17.140625" customWidth="1"/>
    <col min="9" max="9" width="22.85546875" customWidth="1"/>
  </cols>
  <sheetData>
    <row r="1" spans="1:9" ht="54.75" customHeight="1" x14ac:dyDescent="0.25">
      <c r="A1" s="301" t="s">
        <v>1234</v>
      </c>
      <c r="B1" s="221"/>
      <c r="C1" s="221"/>
      <c r="D1" s="221"/>
      <c r="E1" s="221"/>
      <c r="F1" s="221"/>
      <c r="G1" s="221"/>
      <c r="H1" s="221"/>
      <c r="I1" s="221"/>
    </row>
    <row r="2" spans="1:9" x14ac:dyDescent="0.25">
      <c r="A2" s="222" t="s">
        <v>1</v>
      </c>
      <c r="B2" s="223"/>
      <c r="C2" s="231" t="str">
        <f>'Stavební rozpočet'!C2</f>
        <v>REKONSTRUKCE STŘECHY ZŠ T.G.MASARYKA V IVANČICÍCH</v>
      </c>
      <c r="D2" s="232"/>
      <c r="E2" s="229" t="s">
        <v>5</v>
      </c>
      <c r="F2" s="229" t="str">
        <f>'Stavební rozpočet'!I2</f>
        <v>Město Ivančice</v>
      </c>
      <c r="G2" s="223"/>
      <c r="H2" s="229" t="s">
        <v>1171</v>
      </c>
      <c r="I2" s="234" t="s">
        <v>1172</v>
      </c>
    </row>
    <row r="3" spans="1:9" ht="15" customHeight="1" x14ac:dyDescent="0.25">
      <c r="A3" s="224"/>
      <c r="B3" s="225"/>
      <c r="C3" s="233"/>
      <c r="D3" s="233"/>
      <c r="E3" s="225"/>
      <c r="F3" s="225"/>
      <c r="G3" s="225"/>
      <c r="H3" s="225"/>
      <c r="I3" s="235"/>
    </row>
    <row r="4" spans="1:9" x14ac:dyDescent="0.25">
      <c r="A4" s="226" t="s">
        <v>7</v>
      </c>
      <c r="B4" s="225"/>
      <c r="C4" s="230" t="str">
        <f>'Stavební rozpočet'!C4</f>
        <v>oprava střešní konstrukce</v>
      </c>
      <c r="D4" s="225"/>
      <c r="E4" s="230" t="s">
        <v>11</v>
      </c>
      <c r="F4" s="230" t="str">
        <f>'Stavební rozpočet'!I4</f>
        <v>Tomáš Sýkora</v>
      </c>
      <c r="G4" s="225"/>
      <c r="H4" s="230" t="s">
        <v>1171</v>
      </c>
      <c r="I4" s="235" t="s">
        <v>1173</v>
      </c>
    </row>
    <row r="5" spans="1:9" ht="15" customHeight="1" x14ac:dyDescent="0.25">
      <c r="A5" s="224"/>
      <c r="B5" s="225"/>
      <c r="C5" s="225"/>
      <c r="D5" s="225"/>
      <c r="E5" s="225"/>
      <c r="F5" s="225"/>
      <c r="G5" s="225"/>
      <c r="H5" s="225"/>
      <c r="I5" s="235"/>
    </row>
    <row r="6" spans="1:9" x14ac:dyDescent="0.25">
      <c r="A6" s="226" t="s">
        <v>13</v>
      </c>
      <c r="B6" s="225"/>
      <c r="C6" s="230" t="str">
        <f>'Stavební rozpočet'!C6</f>
        <v>ZŠ TGM Ivančice, Na Brněnce 1, 664 91 Ivančice</v>
      </c>
      <c r="D6" s="225"/>
      <c r="E6" s="230" t="s">
        <v>16</v>
      </c>
      <c r="F6" s="230" t="str">
        <f>'Stavební rozpočet'!I6</f>
        <v> </v>
      </c>
      <c r="G6" s="225"/>
      <c r="H6" s="230" t="s">
        <v>1171</v>
      </c>
      <c r="I6" s="235" t="s">
        <v>52</v>
      </c>
    </row>
    <row r="7" spans="1:9" ht="15" customHeight="1" x14ac:dyDescent="0.25">
      <c r="A7" s="224"/>
      <c r="B7" s="225"/>
      <c r="C7" s="225"/>
      <c r="D7" s="225"/>
      <c r="E7" s="225"/>
      <c r="F7" s="225"/>
      <c r="G7" s="225"/>
      <c r="H7" s="225"/>
      <c r="I7" s="235"/>
    </row>
    <row r="8" spans="1:9" x14ac:dyDescent="0.25">
      <c r="A8" s="226" t="s">
        <v>9</v>
      </c>
      <c r="B8" s="225"/>
      <c r="C8" s="230" t="str">
        <f>'Stavební rozpočet'!G4</f>
        <v>13.01.2025</v>
      </c>
      <c r="D8" s="225"/>
      <c r="E8" s="230" t="s">
        <v>15</v>
      </c>
      <c r="F8" s="230" t="str">
        <f>'Stavební rozpočet'!G6</f>
        <v>13.01.2025</v>
      </c>
      <c r="G8" s="225"/>
      <c r="H8" s="225" t="s">
        <v>1174</v>
      </c>
      <c r="I8" s="304">
        <v>20</v>
      </c>
    </row>
    <row r="9" spans="1:9" x14ac:dyDescent="0.25">
      <c r="A9" s="224"/>
      <c r="B9" s="225"/>
      <c r="C9" s="225"/>
      <c r="D9" s="225"/>
      <c r="E9" s="225"/>
      <c r="F9" s="225"/>
      <c r="G9" s="225"/>
      <c r="H9" s="225"/>
      <c r="I9" s="235"/>
    </row>
    <row r="10" spans="1:9" x14ac:dyDescent="0.25">
      <c r="A10" s="226" t="s">
        <v>18</v>
      </c>
      <c r="B10" s="225"/>
      <c r="C10" s="230" t="str">
        <f>'Stavební rozpočet'!C8</f>
        <v>8013212</v>
      </c>
      <c r="D10" s="225"/>
      <c r="E10" s="230" t="s">
        <v>21</v>
      </c>
      <c r="F10" s="230" t="str">
        <f>'Stavební rozpočet'!I8</f>
        <v>Tomáš Sýkora</v>
      </c>
      <c r="G10" s="225"/>
      <c r="H10" s="225" t="s">
        <v>1175</v>
      </c>
      <c r="I10" s="305" t="str">
        <f>'Stavební rozpočet'!G8</f>
        <v>13.01.2025</v>
      </c>
    </row>
    <row r="11" spans="1:9" x14ac:dyDescent="0.25">
      <c r="A11" s="302"/>
      <c r="B11" s="303"/>
      <c r="C11" s="303"/>
      <c r="D11" s="303"/>
      <c r="E11" s="303"/>
      <c r="F11" s="303"/>
      <c r="G11" s="303"/>
      <c r="H11" s="303"/>
      <c r="I11" s="306"/>
    </row>
    <row r="13" spans="1:9" ht="15.75" x14ac:dyDescent="0.25">
      <c r="A13" s="340" t="s">
        <v>1217</v>
      </c>
      <c r="B13" s="340"/>
      <c r="C13" s="340"/>
      <c r="D13" s="340"/>
      <c r="E13" s="340"/>
    </row>
    <row r="14" spans="1:9" x14ac:dyDescent="0.25">
      <c r="A14" s="341" t="s">
        <v>1218</v>
      </c>
      <c r="B14" s="342"/>
      <c r="C14" s="342"/>
      <c r="D14" s="342"/>
      <c r="E14" s="343"/>
      <c r="F14" s="213" t="s">
        <v>1219</v>
      </c>
      <c r="G14" s="213" t="s">
        <v>380</v>
      </c>
      <c r="H14" s="213" t="s">
        <v>1220</v>
      </c>
      <c r="I14" s="213" t="s">
        <v>1219</v>
      </c>
    </row>
    <row r="15" spans="1:9" x14ac:dyDescent="0.25">
      <c r="A15" s="344" t="s">
        <v>1185</v>
      </c>
      <c r="B15" s="345"/>
      <c r="C15" s="345"/>
      <c r="D15" s="345"/>
      <c r="E15" s="346"/>
      <c r="F15" s="214">
        <v>0</v>
      </c>
      <c r="G15" s="215" t="s">
        <v>52</v>
      </c>
      <c r="H15" s="215" t="s">
        <v>52</v>
      </c>
      <c r="I15" s="214">
        <f>F15</f>
        <v>0</v>
      </c>
    </row>
    <row r="16" spans="1:9" x14ac:dyDescent="0.25">
      <c r="A16" s="344" t="s">
        <v>1187</v>
      </c>
      <c r="B16" s="345"/>
      <c r="C16" s="345"/>
      <c r="D16" s="345"/>
      <c r="E16" s="346"/>
      <c r="F16" s="214">
        <v>0</v>
      </c>
      <c r="G16" s="215" t="s">
        <v>52</v>
      </c>
      <c r="H16" s="215" t="s">
        <v>52</v>
      </c>
      <c r="I16" s="214">
        <f>F16</f>
        <v>0</v>
      </c>
    </row>
    <row r="17" spans="1:9" x14ac:dyDescent="0.25">
      <c r="A17" s="347" t="s">
        <v>1190</v>
      </c>
      <c r="B17" s="348"/>
      <c r="C17" s="348"/>
      <c r="D17" s="348"/>
      <c r="E17" s="349"/>
      <c r="F17" s="216">
        <v>0</v>
      </c>
      <c r="G17" s="217" t="s">
        <v>52</v>
      </c>
      <c r="H17" s="217" t="s">
        <v>52</v>
      </c>
      <c r="I17" s="216">
        <f>F17</f>
        <v>0</v>
      </c>
    </row>
    <row r="18" spans="1:9" x14ac:dyDescent="0.25">
      <c r="A18" s="350" t="s">
        <v>1221</v>
      </c>
      <c r="B18" s="351"/>
      <c r="C18" s="351"/>
      <c r="D18" s="351"/>
      <c r="E18" s="352"/>
      <c r="F18" s="218" t="s">
        <v>52</v>
      </c>
      <c r="G18" s="219" t="s">
        <v>52</v>
      </c>
      <c r="H18" s="219" t="s">
        <v>52</v>
      </c>
      <c r="I18" s="220">
        <f>SUM(I15:I17)</f>
        <v>0</v>
      </c>
    </row>
    <row r="20" spans="1:9" x14ac:dyDescent="0.25">
      <c r="A20" s="341" t="s">
        <v>1182</v>
      </c>
      <c r="B20" s="342"/>
      <c r="C20" s="342"/>
      <c r="D20" s="342"/>
      <c r="E20" s="343"/>
      <c r="F20" s="213" t="s">
        <v>1219</v>
      </c>
      <c r="G20" s="213" t="s">
        <v>380</v>
      </c>
      <c r="H20" s="213" t="s">
        <v>1220</v>
      </c>
      <c r="I20" s="213" t="s">
        <v>1219</v>
      </c>
    </row>
    <row r="21" spans="1:9" x14ac:dyDescent="0.25">
      <c r="A21" s="344" t="s">
        <v>1186</v>
      </c>
      <c r="B21" s="345"/>
      <c r="C21" s="345"/>
      <c r="D21" s="345"/>
      <c r="E21" s="346"/>
      <c r="F21" s="214">
        <v>0</v>
      </c>
      <c r="G21" s="215" t="s">
        <v>52</v>
      </c>
      <c r="H21" s="215" t="s">
        <v>52</v>
      </c>
      <c r="I21" s="214">
        <f t="shared" ref="I21:I26" si="0">F21</f>
        <v>0</v>
      </c>
    </row>
    <row r="22" spans="1:9" x14ac:dyDescent="0.25">
      <c r="A22" s="344" t="s">
        <v>1188</v>
      </c>
      <c r="B22" s="345"/>
      <c r="C22" s="345"/>
      <c r="D22" s="345"/>
      <c r="E22" s="346"/>
      <c r="F22" s="214">
        <v>0</v>
      </c>
      <c r="G22" s="215" t="s">
        <v>52</v>
      </c>
      <c r="H22" s="215" t="s">
        <v>52</v>
      </c>
      <c r="I22" s="214">
        <f t="shared" si="0"/>
        <v>0</v>
      </c>
    </row>
    <row r="23" spans="1:9" x14ac:dyDescent="0.25">
      <c r="A23" s="344" t="s">
        <v>1191</v>
      </c>
      <c r="B23" s="345"/>
      <c r="C23" s="345"/>
      <c r="D23" s="345"/>
      <c r="E23" s="346"/>
      <c r="F23" s="214">
        <v>0</v>
      </c>
      <c r="G23" s="215" t="s">
        <v>52</v>
      </c>
      <c r="H23" s="215" t="s">
        <v>52</v>
      </c>
      <c r="I23" s="214">
        <f t="shared" si="0"/>
        <v>0</v>
      </c>
    </row>
    <row r="24" spans="1:9" x14ac:dyDescent="0.25">
      <c r="A24" s="344" t="s">
        <v>1192</v>
      </c>
      <c r="B24" s="345"/>
      <c r="C24" s="345"/>
      <c r="D24" s="345"/>
      <c r="E24" s="346"/>
      <c r="F24" s="214">
        <v>0</v>
      </c>
      <c r="G24" s="215" t="s">
        <v>52</v>
      </c>
      <c r="H24" s="215" t="s">
        <v>52</v>
      </c>
      <c r="I24" s="214">
        <f t="shared" si="0"/>
        <v>0</v>
      </c>
    </row>
    <row r="25" spans="1:9" x14ac:dyDescent="0.25">
      <c r="A25" s="344" t="s">
        <v>1194</v>
      </c>
      <c r="B25" s="345"/>
      <c r="C25" s="345"/>
      <c r="D25" s="345"/>
      <c r="E25" s="346"/>
      <c r="F25" s="214">
        <v>0</v>
      </c>
      <c r="G25" s="215" t="s">
        <v>52</v>
      </c>
      <c r="H25" s="215" t="s">
        <v>52</v>
      </c>
      <c r="I25" s="214">
        <f t="shared" si="0"/>
        <v>0</v>
      </c>
    </row>
    <row r="26" spans="1:9" x14ac:dyDescent="0.25">
      <c r="A26" s="347" t="s">
        <v>1195</v>
      </c>
      <c r="B26" s="348"/>
      <c r="C26" s="348"/>
      <c r="D26" s="348"/>
      <c r="E26" s="349"/>
      <c r="F26" s="216">
        <v>0</v>
      </c>
      <c r="G26" s="217" t="s">
        <v>52</v>
      </c>
      <c r="H26" s="217" t="s">
        <v>52</v>
      </c>
      <c r="I26" s="216">
        <f t="shared" si="0"/>
        <v>0</v>
      </c>
    </row>
    <row r="27" spans="1:9" x14ac:dyDescent="0.25">
      <c r="A27" s="350" t="s">
        <v>1222</v>
      </c>
      <c r="B27" s="351"/>
      <c r="C27" s="351"/>
      <c r="D27" s="351"/>
      <c r="E27" s="352"/>
      <c r="F27" s="218" t="s">
        <v>52</v>
      </c>
      <c r="G27" s="219" t="s">
        <v>52</v>
      </c>
      <c r="H27" s="219" t="s">
        <v>52</v>
      </c>
      <c r="I27" s="220">
        <f>SUM(I21:I26)</f>
        <v>0</v>
      </c>
    </row>
    <row r="29" spans="1:9" ht="15.75" x14ac:dyDescent="0.25">
      <c r="A29" s="353" t="s">
        <v>1223</v>
      </c>
      <c r="B29" s="354"/>
      <c r="C29" s="354"/>
      <c r="D29" s="354"/>
      <c r="E29" s="355"/>
      <c r="F29" s="356">
        <f>I18+I27</f>
        <v>0</v>
      </c>
      <c r="G29" s="357"/>
      <c r="H29" s="357"/>
      <c r="I29" s="358"/>
    </row>
    <row r="33" spans="1:9" ht="15.75" x14ac:dyDescent="0.25">
      <c r="A33" s="340" t="s">
        <v>1224</v>
      </c>
      <c r="B33" s="340"/>
      <c r="C33" s="340"/>
      <c r="D33" s="340"/>
      <c r="E33" s="340"/>
    </row>
    <row r="34" spans="1:9" x14ac:dyDescent="0.25">
      <c r="A34" s="341" t="s">
        <v>1225</v>
      </c>
      <c r="B34" s="342"/>
      <c r="C34" s="342"/>
      <c r="D34" s="342"/>
      <c r="E34" s="343"/>
      <c r="F34" s="213" t="s">
        <v>1219</v>
      </c>
      <c r="G34" s="213" t="s">
        <v>380</v>
      </c>
      <c r="H34" s="213" t="s">
        <v>1220</v>
      </c>
      <c r="I34" s="213" t="s">
        <v>1219</v>
      </c>
    </row>
    <row r="35" spans="1:9" x14ac:dyDescent="0.25">
      <c r="A35" s="347" t="s">
        <v>52</v>
      </c>
      <c r="B35" s="348"/>
      <c r="C35" s="348"/>
      <c r="D35" s="348"/>
      <c r="E35" s="349"/>
      <c r="F35" s="216">
        <v>0</v>
      </c>
      <c r="G35" s="217" t="s">
        <v>52</v>
      </c>
      <c r="H35" s="217" t="s">
        <v>52</v>
      </c>
      <c r="I35" s="216">
        <f>F35</f>
        <v>0</v>
      </c>
    </row>
    <row r="36" spans="1:9" x14ac:dyDescent="0.25">
      <c r="A36" s="350" t="s">
        <v>1226</v>
      </c>
      <c r="B36" s="351"/>
      <c r="C36" s="351"/>
      <c r="D36" s="351"/>
      <c r="E36" s="352"/>
      <c r="F36" s="218" t="s">
        <v>52</v>
      </c>
      <c r="G36" s="219" t="s">
        <v>52</v>
      </c>
      <c r="H36" s="219" t="s">
        <v>52</v>
      </c>
      <c r="I36" s="220">
        <f>SUM(I35:I35)</f>
        <v>0</v>
      </c>
    </row>
  </sheetData>
  <mergeCells count="51">
    <mergeCell ref="A36:E36"/>
    <mergeCell ref="A29:E29"/>
    <mergeCell ref="F29:I29"/>
    <mergeCell ref="A33:E33"/>
    <mergeCell ref="A34:E34"/>
    <mergeCell ref="A35:E35"/>
    <mergeCell ref="A23:E23"/>
    <mergeCell ref="A24:E24"/>
    <mergeCell ref="A25:E25"/>
    <mergeCell ref="A26:E26"/>
    <mergeCell ref="A27:E27"/>
    <mergeCell ref="A17:E17"/>
    <mergeCell ref="A18:E18"/>
    <mergeCell ref="A20:E20"/>
    <mergeCell ref="A21:E21"/>
    <mergeCell ref="A22:E22"/>
    <mergeCell ref="I10:I11"/>
    <mergeCell ref="A13:E13"/>
    <mergeCell ref="A14:E14"/>
    <mergeCell ref="A15:E15"/>
    <mergeCell ref="A16:E16"/>
    <mergeCell ref="H10:H11"/>
    <mergeCell ref="C2:D3"/>
    <mergeCell ref="C4:D5"/>
    <mergeCell ref="C6:D7"/>
    <mergeCell ref="C8:D9"/>
    <mergeCell ref="C10:D11"/>
    <mergeCell ref="F2:G3"/>
    <mergeCell ref="F4:G5"/>
    <mergeCell ref="F6:G7"/>
    <mergeCell ref="F8:G9"/>
    <mergeCell ref="F10:G11"/>
    <mergeCell ref="A10:B11"/>
    <mergeCell ref="E2:E3"/>
    <mergeCell ref="E4:E5"/>
    <mergeCell ref="E6:E7"/>
    <mergeCell ref="E8:E9"/>
    <mergeCell ref="E10:E11"/>
    <mergeCell ref="A1:I1"/>
    <mergeCell ref="A2:B3"/>
    <mergeCell ref="A4:B5"/>
    <mergeCell ref="A6:B7"/>
    <mergeCell ref="A8:B9"/>
    <mergeCell ref="H2:H3"/>
    <mergeCell ref="H4:H5"/>
    <mergeCell ref="H6:H7"/>
    <mergeCell ref="H8:H9"/>
    <mergeCell ref="I2:I3"/>
    <mergeCell ref="I4:I5"/>
    <mergeCell ref="I6:I7"/>
    <mergeCell ref="I8:I9"/>
  </mergeCells>
  <pageMargins left="0.393999993801117" right="0.393999993801117" top="0.59100002050399802" bottom="0.59100002050399802" header="0" footer="0"/>
  <pageSetup fitToHeight="0" orientation="landscape"/>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I35"/>
  <sheetViews>
    <sheetView workbookViewId="0">
      <selection activeCell="A35" sqref="A35:I35"/>
    </sheetView>
  </sheetViews>
  <sheetFormatPr defaultColWidth="12.140625" defaultRowHeight="15" customHeight="1" x14ac:dyDescent="0.25"/>
  <cols>
    <col min="1" max="1" width="9.140625" customWidth="1"/>
    <col min="2" max="2" width="12.85546875" customWidth="1"/>
    <col min="3" max="3" width="27.140625" customWidth="1"/>
    <col min="4" max="4" width="10" customWidth="1"/>
    <col min="5" max="5" width="14" customWidth="1"/>
    <col min="6" max="6" width="27.140625" customWidth="1"/>
    <col min="7" max="7" width="9.140625" customWidth="1"/>
    <col min="8" max="8" width="12.85546875" customWidth="1"/>
    <col min="9" max="9" width="27.140625" customWidth="1"/>
  </cols>
  <sheetData>
    <row r="1" spans="1:9" ht="54.75" customHeight="1" x14ac:dyDescent="0.25">
      <c r="A1" s="301" t="s">
        <v>1235</v>
      </c>
      <c r="B1" s="221"/>
      <c r="C1" s="221"/>
      <c r="D1" s="221"/>
      <c r="E1" s="221"/>
      <c r="F1" s="221"/>
      <c r="G1" s="221"/>
      <c r="H1" s="221"/>
      <c r="I1" s="221"/>
    </row>
    <row r="2" spans="1:9" x14ac:dyDescent="0.25">
      <c r="A2" s="222" t="s">
        <v>1</v>
      </c>
      <c r="B2" s="223"/>
      <c r="C2" s="231" t="str">
        <f>'Stavební rozpočet'!C2</f>
        <v>REKONSTRUKCE STŘECHY ZŠ T.G.MASARYKA V IVANČICÍCH</v>
      </c>
      <c r="D2" s="232"/>
      <c r="E2" s="229" t="s">
        <v>5</v>
      </c>
      <c r="F2" s="229" t="str">
        <f>'Stavební rozpočet'!I2</f>
        <v>Město Ivančice</v>
      </c>
      <c r="G2" s="223"/>
      <c r="H2" s="229" t="s">
        <v>1171</v>
      </c>
      <c r="I2" s="234" t="s">
        <v>1172</v>
      </c>
    </row>
    <row r="3" spans="1:9" ht="15" customHeight="1" x14ac:dyDescent="0.25">
      <c r="A3" s="224"/>
      <c r="B3" s="225"/>
      <c r="C3" s="233"/>
      <c r="D3" s="233"/>
      <c r="E3" s="225"/>
      <c r="F3" s="225"/>
      <c r="G3" s="225"/>
      <c r="H3" s="225"/>
      <c r="I3" s="235"/>
    </row>
    <row r="4" spans="1:9" x14ac:dyDescent="0.25">
      <c r="A4" s="226" t="s">
        <v>7</v>
      </c>
      <c r="B4" s="225"/>
      <c r="C4" s="230" t="str">
        <f>'Stavební rozpočet'!C4</f>
        <v>oprava střešní konstrukce</v>
      </c>
      <c r="D4" s="225"/>
      <c r="E4" s="230" t="s">
        <v>11</v>
      </c>
      <c r="F4" s="230" t="str">
        <f>'Stavební rozpočet'!I4</f>
        <v>Tomáš Sýkora</v>
      </c>
      <c r="G4" s="225"/>
      <c r="H4" s="230" t="s">
        <v>1171</v>
      </c>
      <c r="I4" s="235" t="s">
        <v>1173</v>
      </c>
    </row>
    <row r="5" spans="1:9" ht="15" customHeight="1" x14ac:dyDescent="0.25">
      <c r="A5" s="224"/>
      <c r="B5" s="225"/>
      <c r="C5" s="225"/>
      <c r="D5" s="225"/>
      <c r="E5" s="225"/>
      <c r="F5" s="225"/>
      <c r="G5" s="225"/>
      <c r="H5" s="225"/>
      <c r="I5" s="235"/>
    </row>
    <row r="6" spans="1:9" x14ac:dyDescent="0.25">
      <c r="A6" s="226" t="s">
        <v>13</v>
      </c>
      <c r="B6" s="225"/>
      <c r="C6" s="230" t="str">
        <f>'Stavební rozpočet'!C6</f>
        <v>ZŠ TGM Ivančice, Na Brněnce 1, 664 91 Ivančice</v>
      </c>
      <c r="D6" s="225"/>
      <c r="E6" s="230" t="s">
        <v>16</v>
      </c>
      <c r="F6" s="230" t="str">
        <f>'Stavební rozpočet'!I6</f>
        <v> </v>
      </c>
      <c r="G6" s="225"/>
      <c r="H6" s="230" t="s">
        <v>1171</v>
      </c>
      <c r="I6" s="235" t="s">
        <v>52</v>
      </c>
    </row>
    <row r="7" spans="1:9" ht="15" customHeight="1" x14ac:dyDescent="0.25">
      <c r="A7" s="224"/>
      <c r="B7" s="225"/>
      <c r="C7" s="225"/>
      <c r="D7" s="225"/>
      <c r="E7" s="225"/>
      <c r="F7" s="225"/>
      <c r="G7" s="225"/>
      <c r="H7" s="225"/>
      <c r="I7" s="235"/>
    </row>
    <row r="8" spans="1:9" x14ac:dyDescent="0.25">
      <c r="A8" s="226" t="s">
        <v>9</v>
      </c>
      <c r="B8" s="225"/>
      <c r="C8" s="230" t="str">
        <f>'Stavební rozpočet'!G4</f>
        <v>13.01.2025</v>
      </c>
      <c r="D8" s="225"/>
      <c r="E8" s="230" t="s">
        <v>15</v>
      </c>
      <c r="F8" s="230" t="str">
        <f>'Stavební rozpočet'!G6</f>
        <v>13.01.2025</v>
      </c>
      <c r="G8" s="225"/>
      <c r="H8" s="225" t="s">
        <v>1174</v>
      </c>
      <c r="I8" s="304">
        <v>12</v>
      </c>
    </row>
    <row r="9" spans="1:9" x14ac:dyDescent="0.25">
      <c r="A9" s="224"/>
      <c r="B9" s="225"/>
      <c r="C9" s="225"/>
      <c r="D9" s="225"/>
      <c r="E9" s="225"/>
      <c r="F9" s="225"/>
      <c r="G9" s="225"/>
      <c r="H9" s="225"/>
      <c r="I9" s="235"/>
    </row>
    <row r="10" spans="1:9" x14ac:dyDescent="0.25">
      <c r="A10" s="226" t="s">
        <v>18</v>
      </c>
      <c r="B10" s="225"/>
      <c r="C10" s="230" t="str">
        <f>'Stavební rozpočet'!C8</f>
        <v>8013212</v>
      </c>
      <c r="D10" s="225"/>
      <c r="E10" s="230" t="s">
        <v>21</v>
      </c>
      <c r="F10" s="230" t="str">
        <f>'Stavební rozpočet'!I8</f>
        <v>Tomáš Sýkora</v>
      </c>
      <c r="G10" s="225"/>
      <c r="H10" s="225" t="s">
        <v>1175</v>
      </c>
      <c r="I10" s="305" t="str">
        <f>'Stavební rozpočet'!G8</f>
        <v>13.01.2025</v>
      </c>
    </row>
    <row r="11" spans="1:9" x14ac:dyDescent="0.25">
      <c r="A11" s="302"/>
      <c r="B11" s="303"/>
      <c r="C11" s="303"/>
      <c r="D11" s="303"/>
      <c r="E11" s="303"/>
      <c r="F11" s="303"/>
      <c r="G11" s="303"/>
      <c r="H11" s="303"/>
      <c r="I11" s="306"/>
    </row>
    <row r="12" spans="1:9" ht="23.25" x14ac:dyDescent="0.25">
      <c r="A12" s="307" t="s">
        <v>1176</v>
      </c>
      <c r="B12" s="307"/>
      <c r="C12" s="307"/>
      <c r="D12" s="307"/>
      <c r="E12" s="307"/>
      <c r="F12" s="307"/>
      <c r="G12" s="307"/>
      <c r="H12" s="307"/>
      <c r="I12" s="307"/>
    </row>
    <row r="13" spans="1:9" ht="26.25" customHeight="1" x14ac:dyDescent="0.25">
      <c r="A13" s="200" t="s">
        <v>1177</v>
      </c>
      <c r="B13" s="308" t="s">
        <v>1178</v>
      </c>
      <c r="C13" s="309"/>
      <c r="D13" s="201" t="s">
        <v>1179</v>
      </c>
      <c r="E13" s="308" t="s">
        <v>1180</v>
      </c>
      <c r="F13" s="309"/>
      <c r="G13" s="201" t="s">
        <v>1181</v>
      </c>
      <c r="H13" s="308" t="s">
        <v>1182</v>
      </c>
      <c r="I13" s="309"/>
    </row>
    <row r="14" spans="1:9" ht="15.75" x14ac:dyDescent="0.25">
      <c r="A14" s="202" t="s">
        <v>1183</v>
      </c>
      <c r="B14" s="203" t="s">
        <v>1184</v>
      </c>
      <c r="C14" s="204">
        <f>SUMIF('Stavební rozpočet'!AI12:AI752,"04",'Stavební rozpočet'!AB12:AB752)</f>
        <v>0</v>
      </c>
      <c r="D14" s="316" t="s">
        <v>1185</v>
      </c>
      <c r="E14" s="317"/>
      <c r="F14" s="204">
        <f>'VORN objektu (04)'!I15</f>
        <v>0</v>
      </c>
      <c r="G14" s="316" t="s">
        <v>1186</v>
      </c>
      <c r="H14" s="317"/>
      <c r="I14" s="205">
        <f>'VORN objektu (04)'!I21</f>
        <v>0</v>
      </c>
    </row>
    <row r="15" spans="1:9" ht="15.75" x14ac:dyDescent="0.25">
      <c r="A15" s="206" t="s">
        <v>52</v>
      </c>
      <c r="B15" s="203" t="s">
        <v>37</v>
      </c>
      <c r="C15" s="204">
        <f>SUMIF('Stavební rozpočet'!AI12:AI752,"04",'Stavební rozpočet'!AC12:AC752)</f>
        <v>0</v>
      </c>
      <c r="D15" s="316" t="s">
        <v>1187</v>
      </c>
      <c r="E15" s="317"/>
      <c r="F15" s="204">
        <f>'VORN objektu (04)'!I16</f>
        <v>0</v>
      </c>
      <c r="G15" s="316" t="s">
        <v>1188</v>
      </c>
      <c r="H15" s="317"/>
      <c r="I15" s="205">
        <f>'VORN objektu (04)'!I22</f>
        <v>0</v>
      </c>
    </row>
    <row r="16" spans="1:9" ht="15.75" x14ac:dyDescent="0.25">
      <c r="A16" s="202" t="s">
        <v>1189</v>
      </c>
      <c r="B16" s="203" t="s">
        <v>1184</v>
      </c>
      <c r="C16" s="204">
        <f>SUMIF('Stavební rozpočet'!AI12:AI752,"04",'Stavební rozpočet'!AD12:AD752)</f>
        <v>0</v>
      </c>
      <c r="D16" s="316" t="s">
        <v>1190</v>
      </c>
      <c r="E16" s="317"/>
      <c r="F16" s="204">
        <f>'VORN objektu (04)'!I17</f>
        <v>0</v>
      </c>
      <c r="G16" s="316" t="s">
        <v>1191</v>
      </c>
      <c r="H16" s="317"/>
      <c r="I16" s="205">
        <f>'VORN objektu (04)'!I23</f>
        <v>0</v>
      </c>
    </row>
    <row r="17" spans="1:9" ht="15.75" x14ac:dyDescent="0.25">
      <c r="A17" s="206" t="s">
        <v>52</v>
      </c>
      <c r="B17" s="203" t="s">
        <v>37</v>
      </c>
      <c r="C17" s="204">
        <f>SUMIF('Stavební rozpočet'!AI12:AI752,"04",'Stavební rozpočet'!AE12:AE752)</f>
        <v>0</v>
      </c>
      <c r="D17" s="316" t="s">
        <v>52</v>
      </c>
      <c r="E17" s="317"/>
      <c r="F17" s="205" t="s">
        <v>52</v>
      </c>
      <c r="G17" s="316" t="s">
        <v>1192</v>
      </c>
      <c r="H17" s="317"/>
      <c r="I17" s="205">
        <f>'VORN objektu (04)'!I24</f>
        <v>0</v>
      </c>
    </row>
    <row r="18" spans="1:9" ht="15.75" x14ac:dyDescent="0.25">
      <c r="A18" s="202" t="s">
        <v>1193</v>
      </c>
      <c r="B18" s="203" t="s">
        <v>1184</v>
      </c>
      <c r="C18" s="204">
        <f>SUMIF('Stavební rozpočet'!AI12:AI752,"04",'Stavební rozpočet'!AF12:AF752)</f>
        <v>0</v>
      </c>
      <c r="D18" s="316" t="s">
        <v>52</v>
      </c>
      <c r="E18" s="317"/>
      <c r="F18" s="205" t="s">
        <v>52</v>
      </c>
      <c r="G18" s="316" t="s">
        <v>1194</v>
      </c>
      <c r="H18" s="317"/>
      <c r="I18" s="205">
        <f>'VORN objektu (04)'!I25</f>
        <v>0</v>
      </c>
    </row>
    <row r="19" spans="1:9" ht="15.75" x14ac:dyDescent="0.25">
      <c r="A19" s="206" t="s">
        <v>52</v>
      </c>
      <c r="B19" s="203" t="s">
        <v>37</v>
      </c>
      <c r="C19" s="204">
        <f>SUMIF('Stavební rozpočet'!AI12:AI752,"04",'Stavební rozpočet'!AG12:AG752)</f>
        <v>0</v>
      </c>
      <c r="D19" s="316" t="s">
        <v>52</v>
      </c>
      <c r="E19" s="317"/>
      <c r="F19" s="205" t="s">
        <v>52</v>
      </c>
      <c r="G19" s="316" t="s">
        <v>1195</v>
      </c>
      <c r="H19" s="317"/>
      <c r="I19" s="205">
        <f>'VORN objektu (04)'!I26</f>
        <v>0</v>
      </c>
    </row>
    <row r="20" spans="1:9" ht="15.75" x14ac:dyDescent="0.25">
      <c r="A20" s="310" t="s">
        <v>1196</v>
      </c>
      <c r="B20" s="311"/>
      <c r="C20" s="204">
        <f>SUMIF('Stavební rozpočet'!AI12:AI752,"04",'Stavební rozpočet'!AH12:AH752)</f>
        <v>0</v>
      </c>
      <c r="D20" s="316" t="s">
        <v>52</v>
      </c>
      <c r="E20" s="317"/>
      <c r="F20" s="205" t="s">
        <v>52</v>
      </c>
      <c r="G20" s="316" t="s">
        <v>52</v>
      </c>
      <c r="H20" s="317"/>
      <c r="I20" s="205" t="s">
        <v>52</v>
      </c>
    </row>
    <row r="21" spans="1:9" ht="15.75" x14ac:dyDescent="0.25">
      <c r="A21" s="312" t="s">
        <v>1197</v>
      </c>
      <c r="B21" s="313"/>
      <c r="C21" s="204">
        <f>SUMIF('Stavební rozpočet'!AI12:AI752,"04",'Stavební rozpočet'!Z12:Z752)</f>
        <v>0</v>
      </c>
      <c r="D21" s="318" t="s">
        <v>52</v>
      </c>
      <c r="E21" s="319"/>
      <c r="F21" s="208" t="s">
        <v>52</v>
      </c>
      <c r="G21" s="318" t="s">
        <v>52</v>
      </c>
      <c r="H21" s="319"/>
      <c r="I21" s="208" t="s">
        <v>52</v>
      </c>
    </row>
    <row r="22" spans="1:9" ht="16.5" customHeight="1" x14ac:dyDescent="0.25">
      <c r="A22" s="314" t="s">
        <v>1198</v>
      </c>
      <c r="B22" s="315"/>
      <c r="C22" s="204">
        <f>ROUND(SUM(C14:C21),2)</f>
        <v>0</v>
      </c>
      <c r="D22" s="320" t="s">
        <v>1199</v>
      </c>
      <c r="E22" s="315"/>
      <c r="F22" s="209">
        <f>SUM(F14:F21)</f>
        <v>0</v>
      </c>
      <c r="G22" s="320" t="s">
        <v>1200</v>
      </c>
      <c r="H22" s="315"/>
      <c r="I22" s="209">
        <f>SUM(I14:I21)</f>
        <v>0</v>
      </c>
    </row>
    <row r="23" spans="1:9" ht="15.75" x14ac:dyDescent="0.25">
      <c r="G23" s="310" t="s">
        <v>1203</v>
      </c>
      <c r="H23" s="311"/>
      <c r="I23" s="204">
        <f>'VORN objektu (04)'!I36</f>
        <v>0</v>
      </c>
    </row>
    <row r="25" spans="1:9" ht="15.75" x14ac:dyDescent="0.25">
      <c r="A25" s="322" t="s">
        <v>1205</v>
      </c>
      <c r="B25" s="323"/>
      <c r="C25" s="210">
        <f>ROUND(('Stavební rozpočet'!AS514+'Stavební rozpočet'!AS529+'Stavební rozpočet'!AS540+'Stavební rozpočet'!AS550),2)</f>
        <v>0</v>
      </c>
    </row>
    <row r="26" spans="1:9" ht="15.75" x14ac:dyDescent="0.25">
      <c r="A26" s="324" t="s">
        <v>1206</v>
      </c>
      <c r="B26" s="325"/>
      <c r="C26" s="211">
        <f>ROUND(('Stavební rozpočet'!AT514+'Stavební rozpočet'!AT529+'Stavební rozpočet'!AT540+'Stavební rozpočet'!AT550),2)</f>
        <v>0</v>
      </c>
      <c r="D26" s="326" t="s">
        <v>1207</v>
      </c>
      <c r="E26" s="323"/>
      <c r="F26" s="210">
        <f>ROUND(C26*(12/100),2)</f>
        <v>0</v>
      </c>
      <c r="G26" s="326" t="s">
        <v>1208</v>
      </c>
      <c r="H26" s="323"/>
      <c r="I26" s="210">
        <f>ROUND(SUM(C25:C27),2)</f>
        <v>0</v>
      </c>
    </row>
    <row r="27" spans="1:9" ht="15.75" x14ac:dyDescent="0.25">
      <c r="A27" s="324" t="s">
        <v>1209</v>
      </c>
      <c r="B27" s="325"/>
      <c r="C27" s="211">
        <f>ROUND(('Stavební rozpočet'!AU514+'Stavební rozpočet'!AU529+'Stavební rozpočet'!AU540+'Stavební rozpočet'!AU550)+(F22+I22+F23+I23+I24),2)</f>
        <v>0</v>
      </c>
      <c r="D27" s="327" t="s">
        <v>1210</v>
      </c>
      <c r="E27" s="325"/>
      <c r="F27" s="211">
        <f>ROUND(C27*(21/100),2)</f>
        <v>0</v>
      </c>
      <c r="G27" s="327" t="s">
        <v>1211</v>
      </c>
      <c r="H27" s="325"/>
      <c r="I27" s="211">
        <f>ROUND(SUM(F26:F27)+I26,2)</f>
        <v>0</v>
      </c>
    </row>
    <row r="29" spans="1:9" x14ac:dyDescent="0.25">
      <c r="A29" s="328" t="s">
        <v>1212</v>
      </c>
      <c r="B29" s="329"/>
      <c r="C29" s="330"/>
      <c r="D29" s="337" t="s">
        <v>1213</v>
      </c>
      <c r="E29" s="329"/>
      <c r="F29" s="330"/>
      <c r="G29" s="337" t="s">
        <v>1214</v>
      </c>
      <c r="H29" s="329"/>
      <c r="I29" s="330"/>
    </row>
    <row r="30" spans="1:9" x14ac:dyDescent="0.25">
      <c r="A30" s="331" t="s">
        <v>52</v>
      </c>
      <c r="B30" s="332"/>
      <c r="C30" s="333"/>
      <c r="D30" s="338" t="s">
        <v>52</v>
      </c>
      <c r="E30" s="332"/>
      <c r="F30" s="333"/>
      <c r="G30" s="338" t="s">
        <v>52</v>
      </c>
      <c r="H30" s="332"/>
      <c r="I30" s="333"/>
    </row>
    <row r="31" spans="1:9" x14ac:dyDescent="0.25">
      <c r="A31" s="331" t="s">
        <v>52</v>
      </c>
      <c r="B31" s="332"/>
      <c r="C31" s="333"/>
      <c r="D31" s="338" t="s">
        <v>52</v>
      </c>
      <c r="E31" s="332"/>
      <c r="F31" s="333"/>
      <c r="G31" s="338" t="s">
        <v>52</v>
      </c>
      <c r="H31" s="332"/>
      <c r="I31" s="333"/>
    </row>
    <row r="32" spans="1:9" x14ac:dyDescent="0.25">
      <c r="A32" s="331" t="s">
        <v>52</v>
      </c>
      <c r="B32" s="332"/>
      <c r="C32" s="333"/>
      <c r="D32" s="338" t="s">
        <v>52</v>
      </c>
      <c r="E32" s="332"/>
      <c r="F32" s="333"/>
      <c r="G32" s="338" t="s">
        <v>52</v>
      </c>
      <c r="H32" s="332"/>
      <c r="I32" s="333"/>
    </row>
    <row r="33" spans="1:9" x14ac:dyDescent="0.25">
      <c r="A33" s="334" t="s">
        <v>1215</v>
      </c>
      <c r="B33" s="335"/>
      <c r="C33" s="336"/>
      <c r="D33" s="339" t="s">
        <v>1215</v>
      </c>
      <c r="E33" s="335"/>
      <c r="F33" s="336"/>
      <c r="G33" s="339" t="s">
        <v>1215</v>
      </c>
      <c r="H33" s="335"/>
      <c r="I33" s="336"/>
    </row>
    <row r="34" spans="1:9" x14ac:dyDescent="0.25">
      <c r="A34" s="212" t="s">
        <v>148</v>
      </c>
    </row>
    <row r="35" spans="1:9" ht="12.75" customHeight="1" x14ac:dyDescent="0.25">
      <c r="A35" s="230" t="s">
        <v>52</v>
      </c>
      <c r="B35" s="225"/>
      <c r="C35" s="225"/>
      <c r="D35" s="225"/>
      <c r="E35" s="225"/>
      <c r="F35" s="225"/>
      <c r="G35" s="225"/>
      <c r="H35" s="225"/>
      <c r="I35" s="225"/>
    </row>
  </sheetData>
  <mergeCells count="80">
    <mergeCell ref="G32:I32"/>
    <mergeCell ref="G33:I33"/>
    <mergeCell ref="A35:I35"/>
    <mergeCell ref="A32:C32"/>
    <mergeCell ref="A33:C33"/>
    <mergeCell ref="D29:F29"/>
    <mergeCell ref="D30:F30"/>
    <mergeCell ref="D31:F31"/>
    <mergeCell ref="D32:F32"/>
    <mergeCell ref="D33:F33"/>
    <mergeCell ref="G26:H26"/>
    <mergeCell ref="G27:H27"/>
    <mergeCell ref="A29:C29"/>
    <mergeCell ref="A30:C30"/>
    <mergeCell ref="A31:C31"/>
    <mergeCell ref="G29:I29"/>
    <mergeCell ref="G30:I30"/>
    <mergeCell ref="G31:I31"/>
    <mergeCell ref="A25:B25"/>
    <mergeCell ref="A26:B26"/>
    <mergeCell ref="A27:B27"/>
    <mergeCell ref="D26:E26"/>
    <mergeCell ref="D27:E27"/>
    <mergeCell ref="G19:H19"/>
    <mergeCell ref="G20:H20"/>
    <mergeCell ref="G21:H21"/>
    <mergeCell ref="G22:H22"/>
    <mergeCell ref="G23:H23"/>
    <mergeCell ref="G14:H14"/>
    <mergeCell ref="G15:H15"/>
    <mergeCell ref="G16:H16"/>
    <mergeCell ref="G17:H17"/>
    <mergeCell ref="G18:H18"/>
    <mergeCell ref="A20:B20"/>
    <mergeCell ref="A21:B21"/>
    <mergeCell ref="A22:B22"/>
    <mergeCell ref="D14:E14"/>
    <mergeCell ref="D15:E15"/>
    <mergeCell ref="D16:E16"/>
    <mergeCell ref="D17:E17"/>
    <mergeCell ref="D18:E18"/>
    <mergeCell ref="D19:E19"/>
    <mergeCell ref="D20:E20"/>
    <mergeCell ref="D21:E21"/>
    <mergeCell ref="D22:E22"/>
    <mergeCell ref="I10:I11"/>
    <mergeCell ref="A12:I12"/>
    <mergeCell ref="B13:C13"/>
    <mergeCell ref="E13:F13"/>
    <mergeCell ref="H13:I13"/>
    <mergeCell ref="F10:G11"/>
    <mergeCell ref="H2:H3"/>
    <mergeCell ref="H4:H5"/>
    <mergeCell ref="H6:H7"/>
    <mergeCell ref="H8:H9"/>
    <mergeCell ref="H10:H11"/>
    <mergeCell ref="A10:B11"/>
    <mergeCell ref="E2:E3"/>
    <mergeCell ref="E4:E5"/>
    <mergeCell ref="E6:E7"/>
    <mergeCell ref="E8:E9"/>
    <mergeCell ref="E10:E11"/>
    <mergeCell ref="C2:D3"/>
    <mergeCell ref="C4:D5"/>
    <mergeCell ref="C6:D7"/>
    <mergeCell ref="C8:D9"/>
    <mergeCell ref="C10:D11"/>
    <mergeCell ref="A1:I1"/>
    <mergeCell ref="A2:B3"/>
    <mergeCell ref="A4:B5"/>
    <mergeCell ref="A6:B7"/>
    <mergeCell ref="A8:B9"/>
    <mergeCell ref="F2:G3"/>
    <mergeCell ref="F4:G5"/>
    <mergeCell ref="F6:G7"/>
    <mergeCell ref="F8:G9"/>
    <mergeCell ref="I2:I3"/>
    <mergeCell ref="I4:I5"/>
    <mergeCell ref="I6:I7"/>
    <mergeCell ref="I8:I9"/>
  </mergeCells>
  <pageMargins left="0.393999993801117" right="0.393999993801117" top="0.59100002050399802" bottom="0.59100002050399802" header="0" footer="0"/>
  <pageSetup orientation="landscape"/>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I36"/>
  <sheetViews>
    <sheetView workbookViewId="0">
      <selection activeCell="A36" sqref="A36:E36"/>
    </sheetView>
  </sheetViews>
  <sheetFormatPr defaultColWidth="12.140625" defaultRowHeight="15" customHeight="1" x14ac:dyDescent="0.25"/>
  <cols>
    <col min="1" max="1" width="9.140625" customWidth="1"/>
    <col min="2" max="2" width="12.85546875" customWidth="1"/>
    <col min="3" max="3" width="22.85546875" customWidth="1"/>
    <col min="4" max="4" width="10" customWidth="1"/>
    <col min="5" max="5" width="14" customWidth="1"/>
    <col min="6" max="6" width="22.85546875" customWidth="1"/>
    <col min="7" max="7" width="9.140625" customWidth="1"/>
    <col min="8" max="8" width="17.140625" customWidth="1"/>
    <col min="9" max="9" width="22.85546875" customWidth="1"/>
  </cols>
  <sheetData>
    <row r="1" spans="1:9" ht="54.75" customHeight="1" x14ac:dyDescent="0.25">
      <c r="A1" s="301" t="s">
        <v>1236</v>
      </c>
      <c r="B1" s="221"/>
      <c r="C1" s="221"/>
      <c r="D1" s="221"/>
      <c r="E1" s="221"/>
      <c r="F1" s="221"/>
      <c r="G1" s="221"/>
      <c r="H1" s="221"/>
      <c r="I1" s="221"/>
    </row>
    <row r="2" spans="1:9" x14ac:dyDescent="0.25">
      <c r="A2" s="222" t="s">
        <v>1</v>
      </c>
      <c r="B2" s="223"/>
      <c r="C2" s="231" t="str">
        <f>'Stavební rozpočet'!C2</f>
        <v>REKONSTRUKCE STŘECHY ZŠ T.G.MASARYKA V IVANČICÍCH</v>
      </c>
      <c r="D2" s="232"/>
      <c r="E2" s="229" t="s">
        <v>5</v>
      </c>
      <c r="F2" s="229" t="str">
        <f>'Stavební rozpočet'!I2</f>
        <v>Město Ivančice</v>
      </c>
      <c r="G2" s="223"/>
      <c r="H2" s="229" t="s">
        <v>1171</v>
      </c>
      <c r="I2" s="234" t="s">
        <v>1172</v>
      </c>
    </row>
    <row r="3" spans="1:9" ht="15" customHeight="1" x14ac:dyDescent="0.25">
      <c r="A3" s="224"/>
      <c r="B3" s="225"/>
      <c r="C3" s="233"/>
      <c r="D3" s="233"/>
      <c r="E3" s="225"/>
      <c r="F3" s="225"/>
      <c r="G3" s="225"/>
      <c r="H3" s="225"/>
      <c r="I3" s="235"/>
    </row>
    <row r="4" spans="1:9" x14ac:dyDescent="0.25">
      <c r="A4" s="226" t="s">
        <v>7</v>
      </c>
      <c r="B4" s="225"/>
      <c r="C4" s="230" t="str">
        <f>'Stavební rozpočet'!C4</f>
        <v>oprava střešní konstrukce</v>
      </c>
      <c r="D4" s="225"/>
      <c r="E4" s="230" t="s">
        <v>11</v>
      </c>
      <c r="F4" s="230" t="str">
        <f>'Stavební rozpočet'!I4</f>
        <v>Tomáš Sýkora</v>
      </c>
      <c r="G4" s="225"/>
      <c r="H4" s="230" t="s">
        <v>1171</v>
      </c>
      <c r="I4" s="235" t="s">
        <v>1173</v>
      </c>
    </row>
    <row r="5" spans="1:9" ht="15" customHeight="1" x14ac:dyDescent="0.25">
      <c r="A5" s="224"/>
      <c r="B5" s="225"/>
      <c r="C5" s="225"/>
      <c r="D5" s="225"/>
      <c r="E5" s="225"/>
      <c r="F5" s="225"/>
      <c r="G5" s="225"/>
      <c r="H5" s="225"/>
      <c r="I5" s="235"/>
    </row>
    <row r="6" spans="1:9" x14ac:dyDescent="0.25">
      <c r="A6" s="226" t="s">
        <v>13</v>
      </c>
      <c r="B6" s="225"/>
      <c r="C6" s="230" t="str">
        <f>'Stavební rozpočet'!C6</f>
        <v>ZŠ TGM Ivančice, Na Brněnce 1, 664 91 Ivančice</v>
      </c>
      <c r="D6" s="225"/>
      <c r="E6" s="230" t="s">
        <v>16</v>
      </c>
      <c r="F6" s="230" t="str">
        <f>'Stavební rozpočet'!I6</f>
        <v> </v>
      </c>
      <c r="G6" s="225"/>
      <c r="H6" s="230" t="s">
        <v>1171</v>
      </c>
      <c r="I6" s="235" t="s">
        <v>52</v>
      </c>
    </row>
    <row r="7" spans="1:9" ht="15" customHeight="1" x14ac:dyDescent="0.25">
      <c r="A7" s="224"/>
      <c r="B7" s="225"/>
      <c r="C7" s="225"/>
      <c r="D7" s="225"/>
      <c r="E7" s="225"/>
      <c r="F7" s="225"/>
      <c r="G7" s="225"/>
      <c r="H7" s="225"/>
      <c r="I7" s="235"/>
    </row>
    <row r="8" spans="1:9" x14ac:dyDescent="0.25">
      <c r="A8" s="226" t="s">
        <v>9</v>
      </c>
      <c r="B8" s="225"/>
      <c r="C8" s="230" t="str">
        <f>'Stavební rozpočet'!G4</f>
        <v>13.01.2025</v>
      </c>
      <c r="D8" s="225"/>
      <c r="E8" s="230" t="s">
        <v>15</v>
      </c>
      <c r="F8" s="230" t="str">
        <f>'Stavební rozpočet'!G6</f>
        <v>13.01.2025</v>
      </c>
      <c r="G8" s="225"/>
      <c r="H8" s="225" t="s">
        <v>1174</v>
      </c>
      <c r="I8" s="304">
        <v>12</v>
      </c>
    </row>
    <row r="9" spans="1:9" x14ac:dyDescent="0.25">
      <c r="A9" s="224"/>
      <c r="B9" s="225"/>
      <c r="C9" s="225"/>
      <c r="D9" s="225"/>
      <c r="E9" s="225"/>
      <c r="F9" s="225"/>
      <c r="G9" s="225"/>
      <c r="H9" s="225"/>
      <c r="I9" s="235"/>
    </row>
    <row r="10" spans="1:9" x14ac:dyDescent="0.25">
      <c r="A10" s="226" t="s">
        <v>18</v>
      </c>
      <c r="B10" s="225"/>
      <c r="C10" s="230" t="str">
        <f>'Stavební rozpočet'!C8</f>
        <v>8013212</v>
      </c>
      <c r="D10" s="225"/>
      <c r="E10" s="230" t="s">
        <v>21</v>
      </c>
      <c r="F10" s="230" t="str">
        <f>'Stavební rozpočet'!I8</f>
        <v>Tomáš Sýkora</v>
      </c>
      <c r="G10" s="225"/>
      <c r="H10" s="225" t="s">
        <v>1175</v>
      </c>
      <c r="I10" s="305" t="str">
        <f>'Stavební rozpočet'!G8</f>
        <v>13.01.2025</v>
      </c>
    </row>
    <row r="11" spans="1:9" x14ac:dyDescent="0.25">
      <c r="A11" s="302"/>
      <c r="B11" s="303"/>
      <c r="C11" s="303"/>
      <c r="D11" s="303"/>
      <c r="E11" s="303"/>
      <c r="F11" s="303"/>
      <c r="G11" s="303"/>
      <c r="H11" s="303"/>
      <c r="I11" s="306"/>
    </row>
    <row r="13" spans="1:9" ht="15.75" x14ac:dyDescent="0.25">
      <c r="A13" s="340" t="s">
        <v>1217</v>
      </c>
      <c r="B13" s="340"/>
      <c r="C13" s="340"/>
      <c r="D13" s="340"/>
      <c r="E13" s="340"/>
    </row>
    <row r="14" spans="1:9" x14ac:dyDescent="0.25">
      <c r="A14" s="341" t="s">
        <v>1218</v>
      </c>
      <c r="B14" s="342"/>
      <c r="C14" s="342"/>
      <c r="D14" s="342"/>
      <c r="E14" s="343"/>
      <c r="F14" s="213" t="s">
        <v>1219</v>
      </c>
      <c r="G14" s="213" t="s">
        <v>380</v>
      </c>
      <c r="H14" s="213" t="s">
        <v>1220</v>
      </c>
      <c r="I14" s="213" t="s">
        <v>1219</v>
      </c>
    </row>
    <row r="15" spans="1:9" x14ac:dyDescent="0.25">
      <c r="A15" s="344" t="s">
        <v>1185</v>
      </c>
      <c r="B15" s="345"/>
      <c r="C15" s="345"/>
      <c r="D15" s="345"/>
      <c r="E15" s="346"/>
      <c r="F15" s="214">
        <v>0</v>
      </c>
      <c r="G15" s="215" t="s">
        <v>52</v>
      </c>
      <c r="H15" s="215" t="s">
        <v>52</v>
      </c>
      <c r="I15" s="214">
        <f>F15</f>
        <v>0</v>
      </c>
    </row>
    <row r="16" spans="1:9" x14ac:dyDescent="0.25">
      <c r="A16" s="344" t="s">
        <v>1187</v>
      </c>
      <c r="B16" s="345"/>
      <c r="C16" s="345"/>
      <c r="D16" s="345"/>
      <c r="E16" s="346"/>
      <c r="F16" s="214">
        <v>0</v>
      </c>
      <c r="G16" s="215" t="s">
        <v>52</v>
      </c>
      <c r="H16" s="215" t="s">
        <v>52</v>
      </c>
      <c r="I16" s="214">
        <f>F16</f>
        <v>0</v>
      </c>
    </row>
    <row r="17" spans="1:9" x14ac:dyDescent="0.25">
      <c r="A17" s="347" t="s">
        <v>1190</v>
      </c>
      <c r="B17" s="348"/>
      <c r="C17" s="348"/>
      <c r="D17" s="348"/>
      <c r="E17" s="349"/>
      <c r="F17" s="216">
        <v>0</v>
      </c>
      <c r="G17" s="217" t="s">
        <v>52</v>
      </c>
      <c r="H17" s="217" t="s">
        <v>52</v>
      </c>
      <c r="I17" s="216">
        <f>F17</f>
        <v>0</v>
      </c>
    </row>
    <row r="18" spans="1:9" x14ac:dyDescent="0.25">
      <c r="A18" s="350" t="s">
        <v>1221</v>
      </c>
      <c r="B18" s="351"/>
      <c r="C18" s="351"/>
      <c r="D18" s="351"/>
      <c r="E18" s="352"/>
      <c r="F18" s="218" t="s">
        <v>52</v>
      </c>
      <c r="G18" s="219" t="s">
        <v>52</v>
      </c>
      <c r="H18" s="219" t="s">
        <v>52</v>
      </c>
      <c r="I18" s="220">
        <f>SUM(I15:I17)</f>
        <v>0</v>
      </c>
    </row>
    <row r="20" spans="1:9" x14ac:dyDescent="0.25">
      <c r="A20" s="341" t="s">
        <v>1182</v>
      </c>
      <c r="B20" s="342"/>
      <c r="C20" s="342"/>
      <c r="D20" s="342"/>
      <c r="E20" s="343"/>
      <c r="F20" s="213" t="s">
        <v>1219</v>
      </c>
      <c r="G20" s="213" t="s">
        <v>380</v>
      </c>
      <c r="H20" s="213" t="s">
        <v>1220</v>
      </c>
      <c r="I20" s="213" t="s">
        <v>1219</v>
      </c>
    </row>
    <row r="21" spans="1:9" x14ac:dyDescent="0.25">
      <c r="A21" s="344" t="s">
        <v>1186</v>
      </c>
      <c r="B21" s="345"/>
      <c r="C21" s="345"/>
      <c r="D21" s="345"/>
      <c r="E21" s="346"/>
      <c r="F21" s="214">
        <v>0</v>
      </c>
      <c r="G21" s="215" t="s">
        <v>52</v>
      </c>
      <c r="H21" s="215" t="s">
        <v>52</v>
      </c>
      <c r="I21" s="214">
        <f t="shared" ref="I21:I26" si="0">F21</f>
        <v>0</v>
      </c>
    </row>
    <row r="22" spans="1:9" x14ac:dyDescent="0.25">
      <c r="A22" s="344" t="s">
        <v>1188</v>
      </c>
      <c r="B22" s="345"/>
      <c r="C22" s="345"/>
      <c r="D22" s="345"/>
      <c r="E22" s="346"/>
      <c r="F22" s="214">
        <v>0</v>
      </c>
      <c r="G22" s="215" t="s">
        <v>52</v>
      </c>
      <c r="H22" s="215" t="s">
        <v>52</v>
      </c>
      <c r="I22" s="214">
        <f t="shared" si="0"/>
        <v>0</v>
      </c>
    </row>
    <row r="23" spans="1:9" x14ac:dyDescent="0.25">
      <c r="A23" s="344" t="s">
        <v>1191</v>
      </c>
      <c r="B23" s="345"/>
      <c r="C23" s="345"/>
      <c r="D23" s="345"/>
      <c r="E23" s="346"/>
      <c r="F23" s="214">
        <v>0</v>
      </c>
      <c r="G23" s="215" t="s">
        <v>52</v>
      </c>
      <c r="H23" s="215" t="s">
        <v>52</v>
      </c>
      <c r="I23" s="214">
        <f t="shared" si="0"/>
        <v>0</v>
      </c>
    </row>
    <row r="24" spans="1:9" x14ac:dyDescent="0.25">
      <c r="A24" s="344" t="s">
        <v>1192</v>
      </c>
      <c r="B24" s="345"/>
      <c r="C24" s="345"/>
      <c r="D24" s="345"/>
      <c r="E24" s="346"/>
      <c r="F24" s="214">
        <v>0</v>
      </c>
      <c r="G24" s="215" t="s">
        <v>52</v>
      </c>
      <c r="H24" s="215" t="s">
        <v>52</v>
      </c>
      <c r="I24" s="214">
        <f t="shared" si="0"/>
        <v>0</v>
      </c>
    </row>
    <row r="25" spans="1:9" x14ac:dyDescent="0.25">
      <c r="A25" s="344" t="s">
        <v>1194</v>
      </c>
      <c r="B25" s="345"/>
      <c r="C25" s="345"/>
      <c r="D25" s="345"/>
      <c r="E25" s="346"/>
      <c r="F25" s="214">
        <v>0</v>
      </c>
      <c r="G25" s="215" t="s">
        <v>52</v>
      </c>
      <c r="H25" s="215" t="s">
        <v>52</v>
      </c>
      <c r="I25" s="214">
        <f t="shared" si="0"/>
        <v>0</v>
      </c>
    </row>
    <row r="26" spans="1:9" x14ac:dyDescent="0.25">
      <c r="A26" s="347" t="s">
        <v>1195</v>
      </c>
      <c r="B26" s="348"/>
      <c r="C26" s="348"/>
      <c r="D26" s="348"/>
      <c r="E26" s="349"/>
      <c r="F26" s="216">
        <v>0</v>
      </c>
      <c r="G26" s="217" t="s">
        <v>52</v>
      </c>
      <c r="H26" s="217" t="s">
        <v>52</v>
      </c>
      <c r="I26" s="216">
        <f t="shared" si="0"/>
        <v>0</v>
      </c>
    </row>
    <row r="27" spans="1:9" x14ac:dyDescent="0.25">
      <c r="A27" s="350" t="s">
        <v>1222</v>
      </c>
      <c r="B27" s="351"/>
      <c r="C27" s="351"/>
      <c r="D27" s="351"/>
      <c r="E27" s="352"/>
      <c r="F27" s="218" t="s">
        <v>52</v>
      </c>
      <c r="G27" s="219" t="s">
        <v>52</v>
      </c>
      <c r="H27" s="219" t="s">
        <v>52</v>
      </c>
      <c r="I27" s="220">
        <f>SUM(I21:I26)</f>
        <v>0</v>
      </c>
    </row>
    <row r="29" spans="1:9" ht="15.75" x14ac:dyDescent="0.25">
      <c r="A29" s="353" t="s">
        <v>1223</v>
      </c>
      <c r="B29" s="354"/>
      <c r="C29" s="354"/>
      <c r="D29" s="354"/>
      <c r="E29" s="355"/>
      <c r="F29" s="356">
        <f>I18+I27</f>
        <v>0</v>
      </c>
      <c r="G29" s="357"/>
      <c r="H29" s="357"/>
      <c r="I29" s="358"/>
    </row>
    <row r="33" spans="1:9" ht="15.75" x14ac:dyDescent="0.25">
      <c r="A33" s="340" t="s">
        <v>1224</v>
      </c>
      <c r="B33" s="340"/>
      <c r="C33" s="340"/>
      <c r="D33" s="340"/>
      <c r="E33" s="340"/>
    </row>
    <row r="34" spans="1:9" x14ac:dyDescent="0.25">
      <c r="A34" s="341" t="s">
        <v>1225</v>
      </c>
      <c r="B34" s="342"/>
      <c r="C34" s="342"/>
      <c r="D34" s="342"/>
      <c r="E34" s="343"/>
      <c r="F34" s="213" t="s">
        <v>1219</v>
      </c>
      <c r="G34" s="213" t="s">
        <v>380</v>
      </c>
      <c r="H34" s="213" t="s">
        <v>1220</v>
      </c>
      <c r="I34" s="213" t="s">
        <v>1219</v>
      </c>
    </row>
    <row r="35" spans="1:9" x14ac:dyDescent="0.25">
      <c r="A35" s="347" t="s">
        <v>52</v>
      </c>
      <c r="B35" s="348"/>
      <c r="C35" s="348"/>
      <c r="D35" s="348"/>
      <c r="E35" s="349"/>
      <c r="F35" s="216">
        <v>0</v>
      </c>
      <c r="G35" s="217" t="s">
        <v>52</v>
      </c>
      <c r="H35" s="217" t="s">
        <v>52</v>
      </c>
      <c r="I35" s="216">
        <f>F35</f>
        <v>0</v>
      </c>
    </row>
    <row r="36" spans="1:9" x14ac:dyDescent="0.25">
      <c r="A36" s="350" t="s">
        <v>1226</v>
      </c>
      <c r="B36" s="351"/>
      <c r="C36" s="351"/>
      <c r="D36" s="351"/>
      <c r="E36" s="352"/>
      <c r="F36" s="218" t="s">
        <v>52</v>
      </c>
      <c r="G36" s="219" t="s">
        <v>52</v>
      </c>
      <c r="H36" s="219" t="s">
        <v>52</v>
      </c>
      <c r="I36" s="220">
        <f>SUM(I35:I35)</f>
        <v>0</v>
      </c>
    </row>
  </sheetData>
  <mergeCells count="51">
    <mergeCell ref="A36:E36"/>
    <mergeCell ref="A29:E29"/>
    <mergeCell ref="F29:I29"/>
    <mergeCell ref="A33:E33"/>
    <mergeCell ref="A34:E34"/>
    <mergeCell ref="A35:E35"/>
    <mergeCell ref="A23:E23"/>
    <mergeCell ref="A24:E24"/>
    <mergeCell ref="A25:E25"/>
    <mergeCell ref="A26:E26"/>
    <mergeCell ref="A27:E27"/>
    <mergeCell ref="A17:E17"/>
    <mergeCell ref="A18:E18"/>
    <mergeCell ref="A20:E20"/>
    <mergeCell ref="A21:E21"/>
    <mergeCell ref="A22:E22"/>
    <mergeCell ref="I10:I11"/>
    <mergeCell ref="A13:E13"/>
    <mergeCell ref="A14:E14"/>
    <mergeCell ref="A15:E15"/>
    <mergeCell ref="A16:E16"/>
    <mergeCell ref="H10:H11"/>
    <mergeCell ref="C2:D3"/>
    <mergeCell ref="C4:D5"/>
    <mergeCell ref="C6:D7"/>
    <mergeCell ref="C8:D9"/>
    <mergeCell ref="C10:D11"/>
    <mergeCell ref="F2:G3"/>
    <mergeCell ref="F4:G5"/>
    <mergeCell ref="F6:G7"/>
    <mergeCell ref="F8:G9"/>
    <mergeCell ref="F10:G11"/>
    <mergeCell ref="A10:B11"/>
    <mergeCell ref="E2:E3"/>
    <mergeCell ref="E4:E5"/>
    <mergeCell ref="E6:E7"/>
    <mergeCell ref="E8:E9"/>
    <mergeCell ref="E10:E11"/>
    <mergeCell ref="A1:I1"/>
    <mergeCell ref="A2:B3"/>
    <mergeCell ref="A4:B5"/>
    <mergeCell ref="A6:B7"/>
    <mergeCell ref="A8:B9"/>
    <mergeCell ref="H2:H3"/>
    <mergeCell ref="H4:H5"/>
    <mergeCell ref="H6:H7"/>
    <mergeCell ref="H8:H9"/>
    <mergeCell ref="I2:I3"/>
    <mergeCell ref="I4:I5"/>
    <mergeCell ref="I6:I7"/>
    <mergeCell ref="I8:I9"/>
  </mergeCells>
  <pageMargins left="0.393999993801117" right="0.393999993801117" top="0.59100002050399802" bottom="0.59100002050399802" header="0" footer="0"/>
  <pageSetup fitToHeight="0" orientation="landscape"/>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I35"/>
  <sheetViews>
    <sheetView workbookViewId="0">
      <selection activeCell="A35" sqref="A35:I35"/>
    </sheetView>
  </sheetViews>
  <sheetFormatPr defaultColWidth="12.140625" defaultRowHeight="15" customHeight="1" x14ac:dyDescent="0.25"/>
  <cols>
    <col min="1" max="1" width="9.140625" customWidth="1"/>
    <col min="2" max="2" width="12.85546875" customWidth="1"/>
    <col min="3" max="3" width="27.140625" customWidth="1"/>
    <col min="4" max="4" width="10" customWidth="1"/>
    <col min="5" max="5" width="14" customWidth="1"/>
    <col min="6" max="6" width="27.140625" customWidth="1"/>
    <col min="7" max="7" width="9.140625" customWidth="1"/>
    <col min="8" max="8" width="12.85546875" customWidth="1"/>
    <col min="9" max="9" width="27.140625" customWidth="1"/>
  </cols>
  <sheetData>
    <row r="1" spans="1:9" ht="54.75" customHeight="1" x14ac:dyDescent="0.25">
      <c r="A1" s="301" t="s">
        <v>1237</v>
      </c>
      <c r="B1" s="221"/>
      <c r="C1" s="221"/>
      <c r="D1" s="221"/>
      <c r="E1" s="221"/>
      <c r="F1" s="221"/>
      <c r="G1" s="221"/>
      <c r="H1" s="221"/>
      <c r="I1" s="221"/>
    </row>
    <row r="2" spans="1:9" x14ac:dyDescent="0.25">
      <c r="A2" s="222" t="s">
        <v>1</v>
      </c>
      <c r="B2" s="223"/>
      <c r="C2" s="231" t="str">
        <f>'Stavební rozpočet'!C2</f>
        <v>REKONSTRUKCE STŘECHY ZŠ T.G.MASARYKA V IVANČICÍCH</v>
      </c>
      <c r="D2" s="232"/>
      <c r="E2" s="229" t="s">
        <v>5</v>
      </c>
      <c r="F2" s="229" t="str">
        <f>'Stavební rozpočet'!I2</f>
        <v>Město Ivančice</v>
      </c>
      <c r="G2" s="223"/>
      <c r="H2" s="229" t="s">
        <v>1171</v>
      </c>
      <c r="I2" s="234" t="s">
        <v>1172</v>
      </c>
    </row>
    <row r="3" spans="1:9" ht="15" customHeight="1" x14ac:dyDescent="0.25">
      <c r="A3" s="224"/>
      <c r="B3" s="225"/>
      <c r="C3" s="233"/>
      <c r="D3" s="233"/>
      <c r="E3" s="225"/>
      <c r="F3" s="225"/>
      <c r="G3" s="225"/>
      <c r="H3" s="225"/>
      <c r="I3" s="235"/>
    </row>
    <row r="4" spans="1:9" x14ac:dyDescent="0.25">
      <c r="A4" s="226" t="s">
        <v>7</v>
      </c>
      <c r="B4" s="225"/>
      <c r="C4" s="230" t="str">
        <f>'Stavební rozpočet'!C4</f>
        <v>oprava střešní konstrukce</v>
      </c>
      <c r="D4" s="225"/>
      <c r="E4" s="230" t="s">
        <v>11</v>
      </c>
      <c r="F4" s="230" t="str">
        <f>'Stavební rozpočet'!I4</f>
        <v>Tomáš Sýkora</v>
      </c>
      <c r="G4" s="225"/>
      <c r="H4" s="230" t="s">
        <v>1171</v>
      </c>
      <c r="I4" s="235" t="s">
        <v>1173</v>
      </c>
    </row>
    <row r="5" spans="1:9" ht="15" customHeight="1" x14ac:dyDescent="0.25">
      <c r="A5" s="224"/>
      <c r="B5" s="225"/>
      <c r="C5" s="225"/>
      <c r="D5" s="225"/>
      <c r="E5" s="225"/>
      <c r="F5" s="225"/>
      <c r="G5" s="225"/>
      <c r="H5" s="225"/>
      <c r="I5" s="235"/>
    </row>
    <row r="6" spans="1:9" x14ac:dyDescent="0.25">
      <c r="A6" s="226" t="s">
        <v>13</v>
      </c>
      <c r="B6" s="225"/>
      <c r="C6" s="230" t="str">
        <f>'Stavební rozpočet'!C6</f>
        <v>ZŠ TGM Ivančice, Na Brněnce 1, 664 91 Ivančice</v>
      </c>
      <c r="D6" s="225"/>
      <c r="E6" s="230" t="s">
        <v>16</v>
      </c>
      <c r="F6" s="230" t="str">
        <f>'Stavební rozpočet'!I6</f>
        <v> </v>
      </c>
      <c r="G6" s="225"/>
      <c r="H6" s="230" t="s">
        <v>1171</v>
      </c>
      <c r="I6" s="235" t="s">
        <v>52</v>
      </c>
    </row>
    <row r="7" spans="1:9" ht="15" customHeight="1" x14ac:dyDescent="0.25">
      <c r="A7" s="224"/>
      <c r="B7" s="225"/>
      <c r="C7" s="225"/>
      <c r="D7" s="225"/>
      <c r="E7" s="225"/>
      <c r="F7" s="225"/>
      <c r="G7" s="225"/>
      <c r="H7" s="225"/>
      <c r="I7" s="235"/>
    </row>
    <row r="8" spans="1:9" x14ac:dyDescent="0.25">
      <c r="A8" s="226" t="s">
        <v>9</v>
      </c>
      <c r="B8" s="225"/>
      <c r="C8" s="230" t="str">
        <f>'Stavební rozpočet'!G4</f>
        <v>13.01.2025</v>
      </c>
      <c r="D8" s="225"/>
      <c r="E8" s="230" t="s">
        <v>15</v>
      </c>
      <c r="F8" s="230" t="str">
        <f>'Stavební rozpočet'!G6</f>
        <v>13.01.2025</v>
      </c>
      <c r="G8" s="225"/>
      <c r="H8" s="225" t="s">
        <v>1174</v>
      </c>
      <c r="I8" s="304">
        <v>47</v>
      </c>
    </row>
    <row r="9" spans="1:9" x14ac:dyDescent="0.25">
      <c r="A9" s="224"/>
      <c r="B9" s="225"/>
      <c r="C9" s="225"/>
      <c r="D9" s="225"/>
      <c r="E9" s="225"/>
      <c r="F9" s="225"/>
      <c r="G9" s="225"/>
      <c r="H9" s="225"/>
      <c r="I9" s="235"/>
    </row>
    <row r="10" spans="1:9" x14ac:dyDescent="0.25">
      <c r="A10" s="226" t="s">
        <v>18</v>
      </c>
      <c r="B10" s="225"/>
      <c r="C10" s="230" t="str">
        <f>'Stavební rozpočet'!C8</f>
        <v>8013212</v>
      </c>
      <c r="D10" s="225"/>
      <c r="E10" s="230" t="s">
        <v>21</v>
      </c>
      <c r="F10" s="230" t="str">
        <f>'Stavební rozpočet'!I8</f>
        <v>Tomáš Sýkora</v>
      </c>
      <c r="G10" s="225"/>
      <c r="H10" s="225" t="s">
        <v>1175</v>
      </c>
      <c r="I10" s="305" t="str">
        <f>'Stavební rozpočet'!G8</f>
        <v>13.01.2025</v>
      </c>
    </row>
    <row r="11" spans="1:9" x14ac:dyDescent="0.25">
      <c r="A11" s="302"/>
      <c r="B11" s="303"/>
      <c r="C11" s="303"/>
      <c r="D11" s="303"/>
      <c r="E11" s="303"/>
      <c r="F11" s="303"/>
      <c r="G11" s="303"/>
      <c r="H11" s="303"/>
      <c r="I11" s="306"/>
    </row>
    <row r="12" spans="1:9" ht="23.25" x14ac:dyDescent="0.25">
      <c r="A12" s="307" t="s">
        <v>1176</v>
      </c>
      <c r="B12" s="307"/>
      <c r="C12" s="307"/>
      <c r="D12" s="307"/>
      <c r="E12" s="307"/>
      <c r="F12" s="307"/>
      <c r="G12" s="307"/>
      <c r="H12" s="307"/>
      <c r="I12" s="307"/>
    </row>
    <row r="13" spans="1:9" ht="26.25" customHeight="1" x14ac:dyDescent="0.25">
      <c r="A13" s="200" t="s">
        <v>1177</v>
      </c>
      <c r="B13" s="308" t="s">
        <v>1178</v>
      </c>
      <c r="C13" s="309"/>
      <c r="D13" s="201" t="s">
        <v>1179</v>
      </c>
      <c r="E13" s="308" t="s">
        <v>1180</v>
      </c>
      <c r="F13" s="309"/>
      <c r="G13" s="201" t="s">
        <v>1181</v>
      </c>
      <c r="H13" s="308" t="s">
        <v>1182</v>
      </c>
      <c r="I13" s="309"/>
    </row>
    <row r="14" spans="1:9" ht="15.75" x14ac:dyDescent="0.25">
      <c r="A14" s="202" t="s">
        <v>1183</v>
      </c>
      <c r="B14" s="203" t="s">
        <v>1184</v>
      </c>
      <c r="C14" s="204">
        <f>SUMIF('Stavební rozpočet'!AI12:AI752,"05",'Stavební rozpočet'!AB12:AB752)</f>
        <v>0</v>
      </c>
      <c r="D14" s="316" t="s">
        <v>1185</v>
      </c>
      <c r="E14" s="317"/>
      <c r="F14" s="204">
        <f>'VORN objektu (05)'!I15</f>
        <v>0</v>
      </c>
      <c r="G14" s="316" t="s">
        <v>1186</v>
      </c>
      <c r="H14" s="317"/>
      <c r="I14" s="205">
        <f>'VORN objektu (05)'!I21</f>
        <v>0</v>
      </c>
    </row>
    <row r="15" spans="1:9" ht="15.75" x14ac:dyDescent="0.25">
      <c r="A15" s="206" t="s">
        <v>52</v>
      </c>
      <c r="B15" s="203" t="s">
        <v>37</v>
      </c>
      <c r="C15" s="204">
        <f>SUMIF('Stavební rozpočet'!AI12:AI752,"05",'Stavební rozpočet'!AC12:AC752)</f>
        <v>0</v>
      </c>
      <c r="D15" s="316" t="s">
        <v>1187</v>
      </c>
      <c r="E15" s="317"/>
      <c r="F15" s="204">
        <f>'VORN objektu (05)'!I16</f>
        <v>0</v>
      </c>
      <c r="G15" s="316" t="s">
        <v>1188</v>
      </c>
      <c r="H15" s="317"/>
      <c r="I15" s="205">
        <f>'VORN objektu (05)'!I22</f>
        <v>0</v>
      </c>
    </row>
    <row r="16" spans="1:9" ht="15.75" x14ac:dyDescent="0.25">
      <c r="A16" s="202" t="s">
        <v>1189</v>
      </c>
      <c r="B16" s="203" t="s">
        <v>1184</v>
      </c>
      <c r="C16" s="204">
        <f>SUMIF('Stavební rozpočet'!AI12:AI752,"05",'Stavební rozpočet'!AD12:AD752)</f>
        <v>0</v>
      </c>
      <c r="D16" s="316" t="s">
        <v>1190</v>
      </c>
      <c r="E16" s="317"/>
      <c r="F16" s="204">
        <f>'VORN objektu (05)'!I17</f>
        <v>0</v>
      </c>
      <c r="G16" s="316" t="s">
        <v>1191</v>
      </c>
      <c r="H16" s="317"/>
      <c r="I16" s="205">
        <f>'VORN objektu (05)'!I23</f>
        <v>0</v>
      </c>
    </row>
    <row r="17" spans="1:9" ht="15.75" x14ac:dyDescent="0.25">
      <c r="A17" s="206" t="s">
        <v>52</v>
      </c>
      <c r="B17" s="203" t="s">
        <v>37</v>
      </c>
      <c r="C17" s="204">
        <f>SUMIF('Stavební rozpočet'!AI12:AI752,"05",'Stavební rozpočet'!AE12:AE752)</f>
        <v>0</v>
      </c>
      <c r="D17" s="316" t="s">
        <v>52</v>
      </c>
      <c r="E17" s="317"/>
      <c r="F17" s="205" t="s">
        <v>52</v>
      </c>
      <c r="G17" s="316" t="s">
        <v>1192</v>
      </c>
      <c r="H17" s="317"/>
      <c r="I17" s="205">
        <f>'VORN objektu (05)'!I24</f>
        <v>0</v>
      </c>
    </row>
    <row r="18" spans="1:9" ht="15.75" x14ac:dyDescent="0.25">
      <c r="A18" s="202" t="s">
        <v>1193</v>
      </c>
      <c r="B18" s="203" t="s">
        <v>1184</v>
      </c>
      <c r="C18" s="204">
        <f>SUMIF('Stavební rozpočet'!AI12:AI752,"05",'Stavební rozpočet'!AF12:AF752)</f>
        <v>0</v>
      </c>
      <c r="D18" s="316" t="s">
        <v>52</v>
      </c>
      <c r="E18" s="317"/>
      <c r="F18" s="205" t="s">
        <v>52</v>
      </c>
      <c r="G18" s="316" t="s">
        <v>1194</v>
      </c>
      <c r="H18" s="317"/>
      <c r="I18" s="205">
        <f>'VORN objektu (05)'!I25</f>
        <v>0</v>
      </c>
    </row>
    <row r="19" spans="1:9" ht="15.75" x14ac:dyDescent="0.25">
      <c r="A19" s="206" t="s">
        <v>52</v>
      </c>
      <c r="B19" s="203" t="s">
        <v>37</v>
      </c>
      <c r="C19" s="204">
        <f>SUMIF('Stavební rozpočet'!AI12:AI752,"05",'Stavební rozpočet'!AG12:AG752)</f>
        <v>0</v>
      </c>
      <c r="D19" s="316" t="s">
        <v>52</v>
      </c>
      <c r="E19" s="317"/>
      <c r="F19" s="205" t="s">
        <v>52</v>
      </c>
      <c r="G19" s="316" t="s">
        <v>1195</v>
      </c>
      <c r="H19" s="317"/>
      <c r="I19" s="205">
        <f>'VORN objektu (05)'!I26</f>
        <v>0</v>
      </c>
    </row>
    <row r="20" spans="1:9" ht="15.75" x14ac:dyDescent="0.25">
      <c r="A20" s="310" t="s">
        <v>1196</v>
      </c>
      <c r="B20" s="311"/>
      <c r="C20" s="204">
        <f>SUMIF('Stavební rozpočet'!AI12:AI752,"05",'Stavební rozpočet'!AH12:AH752)</f>
        <v>0</v>
      </c>
      <c r="D20" s="316" t="s">
        <v>52</v>
      </c>
      <c r="E20" s="317"/>
      <c r="F20" s="205" t="s">
        <v>52</v>
      </c>
      <c r="G20" s="316" t="s">
        <v>52</v>
      </c>
      <c r="H20" s="317"/>
      <c r="I20" s="205" t="s">
        <v>52</v>
      </c>
    </row>
    <row r="21" spans="1:9" ht="15.75" x14ac:dyDescent="0.25">
      <c r="A21" s="312" t="s">
        <v>1197</v>
      </c>
      <c r="B21" s="313"/>
      <c r="C21" s="204">
        <f>SUMIF('Stavební rozpočet'!AI12:AI752,"05",'Stavební rozpočet'!Z12:Z752)</f>
        <v>0</v>
      </c>
      <c r="D21" s="318" t="s">
        <v>52</v>
      </c>
      <c r="E21" s="319"/>
      <c r="F21" s="208" t="s">
        <v>52</v>
      </c>
      <c r="G21" s="318" t="s">
        <v>52</v>
      </c>
      <c r="H21" s="319"/>
      <c r="I21" s="208" t="s">
        <v>52</v>
      </c>
    </row>
    <row r="22" spans="1:9" ht="16.5" customHeight="1" x14ac:dyDescent="0.25">
      <c r="A22" s="314" t="s">
        <v>1198</v>
      </c>
      <c r="B22" s="315"/>
      <c r="C22" s="204">
        <f>ROUND(SUM(C14:C21),2)</f>
        <v>0</v>
      </c>
      <c r="D22" s="320" t="s">
        <v>1199</v>
      </c>
      <c r="E22" s="315"/>
      <c r="F22" s="209">
        <f>SUM(F14:F21)</f>
        <v>0</v>
      </c>
      <c r="G22" s="320" t="s">
        <v>1200</v>
      </c>
      <c r="H22" s="315"/>
      <c r="I22" s="209">
        <f>SUM(I14:I21)</f>
        <v>0</v>
      </c>
    </row>
    <row r="23" spans="1:9" ht="15.75" x14ac:dyDescent="0.25">
      <c r="G23" s="310" t="s">
        <v>1203</v>
      </c>
      <c r="H23" s="311"/>
      <c r="I23" s="204">
        <f>'VORN objektu (05)'!I36</f>
        <v>0</v>
      </c>
    </row>
    <row r="25" spans="1:9" ht="15.75" x14ac:dyDescent="0.25">
      <c r="A25" s="322" t="s">
        <v>1205</v>
      </c>
      <c r="B25" s="323"/>
      <c r="C25" s="210">
        <f>ROUND(('Stavební rozpočet'!AS557+'Stavební rozpočet'!AS562+'Stavební rozpočet'!AS602),2)</f>
        <v>0</v>
      </c>
    </row>
    <row r="26" spans="1:9" ht="15.75" x14ac:dyDescent="0.25">
      <c r="A26" s="324" t="s">
        <v>1206</v>
      </c>
      <c r="B26" s="325"/>
      <c r="C26" s="211">
        <f>ROUND(('Stavební rozpočet'!AT557+'Stavební rozpočet'!AT562+'Stavební rozpočet'!AT602),2)</f>
        <v>0</v>
      </c>
      <c r="D26" s="326" t="s">
        <v>1207</v>
      </c>
      <c r="E26" s="323"/>
      <c r="F26" s="210">
        <f>ROUND(C26*(12/100),2)</f>
        <v>0</v>
      </c>
      <c r="G26" s="326" t="s">
        <v>1208</v>
      </c>
      <c r="H26" s="323"/>
      <c r="I26" s="210">
        <f>ROUND(SUM(C25:C27),2)</f>
        <v>0</v>
      </c>
    </row>
    <row r="27" spans="1:9" ht="15.75" x14ac:dyDescent="0.25">
      <c r="A27" s="324" t="s">
        <v>1209</v>
      </c>
      <c r="B27" s="325"/>
      <c r="C27" s="211">
        <f>ROUND(('Stavební rozpočet'!AU557+'Stavební rozpočet'!AU562+'Stavební rozpočet'!AU602)+(F22+I22+F23+I23+I24),2)</f>
        <v>0</v>
      </c>
      <c r="D27" s="327" t="s">
        <v>1210</v>
      </c>
      <c r="E27" s="325"/>
      <c r="F27" s="211">
        <f>ROUND(C27*(21/100),2)</f>
        <v>0</v>
      </c>
      <c r="G27" s="327" t="s">
        <v>1211</v>
      </c>
      <c r="H27" s="325"/>
      <c r="I27" s="211">
        <f>ROUND(SUM(F26:F27)+I26,2)</f>
        <v>0</v>
      </c>
    </row>
    <row r="29" spans="1:9" x14ac:dyDescent="0.25">
      <c r="A29" s="328" t="s">
        <v>1212</v>
      </c>
      <c r="B29" s="329"/>
      <c r="C29" s="330"/>
      <c r="D29" s="337" t="s">
        <v>1213</v>
      </c>
      <c r="E29" s="329"/>
      <c r="F29" s="330"/>
      <c r="G29" s="337" t="s">
        <v>1214</v>
      </c>
      <c r="H29" s="329"/>
      <c r="I29" s="330"/>
    </row>
    <row r="30" spans="1:9" x14ac:dyDescent="0.25">
      <c r="A30" s="331" t="s">
        <v>52</v>
      </c>
      <c r="B30" s="332"/>
      <c r="C30" s="333"/>
      <c r="D30" s="338" t="s">
        <v>52</v>
      </c>
      <c r="E30" s="332"/>
      <c r="F30" s="333"/>
      <c r="G30" s="338" t="s">
        <v>52</v>
      </c>
      <c r="H30" s="332"/>
      <c r="I30" s="333"/>
    </row>
    <row r="31" spans="1:9" x14ac:dyDescent="0.25">
      <c r="A31" s="331" t="s">
        <v>52</v>
      </c>
      <c r="B31" s="332"/>
      <c r="C31" s="333"/>
      <c r="D31" s="338" t="s">
        <v>52</v>
      </c>
      <c r="E31" s="332"/>
      <c r="F31" s="333"/>
      <c r="G31" s="338" t="s">
        <v>52</v>
      </c>
      <c r="H31" s="332"/>
      <c r="I31" s="333"/>
    </row>
    <row r="32" spans="1:9" x14ac:dyDescent="0.25">
      <c r="A32" s="331" t="s">
        <v>52</v>
      </c>
      <c r="B32" s="332"/>
      <c r="C32" s="333"/>
      <c r="D32" s="338" t="s">
        <v>52</v>
      </c>
      <c r="E32" s="332"/>
      <c r="F32" s="333"/>
      <c r="G32" s="338" t="s">
        <v>52</v>
      </c>
      <c r="H32" s="332"/>
      <c r="I32" s="333"/>
    </row>
    <row r="33" spans="1:9" x14ac:dyDescent="0.25">
      <c r="A33" s="334" t="s">
        <v>1215</v>
      </c>
      <c r="B33" s="335"/>
      <c r="C33" s="336"/>
      <c r="D33" s="339" t="s">
        <v>1215</v>
      </c>
      <c r="E33" s="335"/>
      <c r="F33" s="336"/>
      <c r="G33" s="339" t="s">
        <v>1215</v>
      </c>
      <c r="H33" s="335"/>
      <c r="I33" s="336"/>
    </row>
    <row r="34" spans="1:9" x14ac:dyDescent="0.25">
      <c r="A34" s="212" t="s">
        <v>148</v>
      </c>
    </row>
    <row r="35" spans="1:9" ht="12.75" customHeight="1" x14ac:dyDescent="0.25">
      <c r="A35" s="230" t="s">
        <v>52</v>
      </c>
      <c r="B35" s="225"/>
      <c r="C35" s="225"/>
      <c r="D35" s="225"/>
      <c r="E35" s="225"/>
      <c r="F35" s="225"/>
      <c r="G35" s="225"/>
      <c r="H35" s="225"/>
      <c r="I35" s="225"/>
    </row>
  </sheetData>
  <mergeCells count="80">
    <mergeCell ref="G32:I32"/>
    <mergeCell ref="G33:I33"/>
    <mergeCell ref="A35:I35"/>
    <mergeCell ref="A32:C32"/>
    <mergeCell ref="A33:C33"/>
    <mergeCell ref="D29:F29"/>
    <mergeCell ref="D30:F30"/>
    <mergeCell ref="D31:F31"/>
    <mergeCell ref="D32:F32"/>
    <mergeCell ref="D33:F33"/>
    <mergeCell ref="G26:H26"/>
    <mergeCell ref="G27:H27"/>
    <mergeCell ref="A29:C29"/>
    <mergeCell ref="A30:C30"/>
    <mergeCell ref="A31:C31"/>
    <mergeCell ref="G29:I29"/>
    <mergeCell ref="G30:I30"/>
    <mergeCell ref="G31:I31"/>
    <mergeCell ref="A25:B25"/>
    <mergeCell ref="A26:B26"/>
    <mergeCell ref="A27:B27"/>
    <mergeCell ref="D26:E26"/>
    <mergeCell ref="D27:E27"/>
    <mergeCell ref="G19:H19"/>
    <mergeCell ref="G20:H20"/>
    <mergeCell ref="G21:H21"/>
    <mergeCell ref="G22:H22"/>
    <mergeCell ref="G23:H23"/>
    <mergeCell ref="G14:H14"/>
    <mergeCell ref="G15:H15"/>
    <mergeCell ref="G16:H16"/>
    <mergeCell ref="G17:H17"/>
    <mergeCell ref="G18:H18"/>
    <mergeCell ref="A20:B20"/>
    <mergeCell ref="A21:B21"/>
    <mergeCell ref="A22:B22"/>
    <mergeCell ref="D14:E14"/>
    <mergeCell ref="D15:E15"/>
    <mergeCell ref="D16:E16"/>
    <mergeCell ref="D17:E17"/>
    <mergeCell ref="D18:E18"/>
    <mergeCell ref="D19:E19"/>
    <mergeCell ref="D20:E20"/>
    <mergeCell ref="D21:E21"/>
    <mergeCell ref="D22:E22"/>
    <mergeCell ref="I10:I11"/>
    <mergeCell ref="A12:I12"/>
    <mergeCell ref="B13:C13"/>
    <mergeCell ref="E13:F13"/>
    <mergeCell ref="H13:I13"/>
    <mergeCell ref="F10:G11"/>
    <mergeCell ref="H2:H3"/>
    <mergeCell ref="H4:H5"/>
    <mergeCell ref="H6:H7"/>
    <mergeCell ref="H8:H9"/>
    <mergeCell ref="H10:H11"/>
    <mergeCell ref="A10:B11"/>
    <mergeCell ref="E2:E3"/>
    <mergeCell ref="E4:E5"/>
    <mergeCell ref="E6:E7"/>
    <mergeCell ref="E8:E9"/>
    <mergeCell ref="E10:E11"/>
    <mergeCell ref="C2:D3"/>
    <mergeCell ref="C4:D5"/>
    <mergeCell ref="C6:D7"/>
    <mergeCell ref="C8:D9"/>
    <mergeCell ref="C10:D11"/>
    <mergeCell ref="A1:I1"/>
    <mergeCell ref="A2:B3"/>
    <mergeCell ref="A4:B5"/>
    <mergeCell ref="A6:B7"/>
    <mergeCell ref="A8:B9"/>
    <mergeCell ref="F2:G3"/>
    <mergeCell ref="F4:G5"/>
    <mergeCell ref="F6:G7"/>
    <mergeCell ref="F8:G9"/>
    <mergeCell ref="I2:I3"/>
    <mergeCell ref="I4:I5"/>
    <mergeCell ref="I6:I7"/>
    <mergeCell ref="I8:I9"/>
  </mergeCells>
  <pageMargins left="0.393999993801117" right="0.393999993801117" top="0.59100002050399802" bottom="0.59100002050399802" header="0" footer="0"/>
  <pageSetup orientation="landscape"/>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I36"/>
  <sheetViews>
    <sheetView workbookViewId="0">
      <selection activeCell="A36" sqref="A36:E36"/>
    </sheetView>
  </sheetViews>
  <sheetFormatPr defaultColWidth="12.140625" defaultRowHeight="15" customHeight="1" x14ac:dyDescent="0.25"/>
  <cols>
    <col min="1" max="1" width="9.140625" customWidth="1"/>
    <col min="2" max="2" width="12.85546875" customWidth="1"/>
    <col min="3" max="3" width="22.85546875" customWidth="1"/>
    <col min="4" max="4" width="10" customWidth="1"/>
    <col min="5" max="5" width="14" customWidth="1"/>
    <col min="6" max="6" width="22.85546875" customWidth="1"/>
    <col min="7" max="7" width="9.140625" customWidth="1"/>
    <col min="8" max="8" width="17.140625" customWidth="1"/>
    <col min="9" max="9" width="22.85546875" customWidth="1"/>
  </cols>
  <sheetData>
    <row r="1" spans="1:9" ht="54.75" customHeight="1" x14ac:dyDescent="0.25">
      <c r="A1" s="301" t="s">
        <v>1238</v>
      </c>
      <c r="B1" s="221"/>
      <c r="C1" s="221"/>
      <c r="D1" s="221"/>
      <c r="E1" s="221"/>
      <c r="F1" s="221"/>
      <c r="G1" s="221"/>
      <c r="H1" s="221"/>
      <c r="I1" s="221"/>
    </row>
    <row r="2" spans="1:9" x14ac:dyDescent="0.25">
      <c r="A2" s="222" t="s">
        <v>1</v>
      </c>
      <c r="B2" s="223"/>
      <c r="C2" s="231" t="str">
        <f>'Stavební rozpočet'!C2</f>
        <v>REKONSTRUKCE STŘECHY ZŠ T.G.MASARYKA V IVANČICÍCH</v>
      </c>
      <c r="D2" s="232"/>
      <c r="E2" s="229" t="s">
        <v>5</v>
      </c>
      <c r="F2" s="229" t="str">
        <f>'Stavební rozpočet'!I2</f>
        <v>Město Ivančice</v>
      </c>
      <c r="G2" s="223"/>
      <c r="H2" s="229" t="s">
        <v>1171</v>
      </c>
      <c r="I2" s="234" t="s">
        <v>1172</v>
      </c>
    </row>
    <row r="3" spans="1:9" ht="15" customHeight="1" x14ac:dyDescent="0.25">
      <c r="A3" s="224"/>
      <c r="B3" s="225"/>
      <c r="C3" s="233"/>
      <c r="D3" s="233"/>
      <c r="E3" s="225"/>
      <c r="F3" s="225"/>
      <c r="G3" s="225"/>
      <c r="H3" s="225"/>
      <c r="I3" s="235"/>
    </row>
    <row r="4" spans="1:9" x14ac:dyDescent="0.25">
      <c r="A4" s="226" t="s">
        <v>7</v>
      </c>
      <c r="B4" s="225"/>
      <c r="C4" s="230" t="str">
        <f>'Stavební rozpočet'!C4</f>
        <v>oprava střešní konstrukce</v>
      </c>
      <c r="D4" s="225"/>
      <c r="E4" s="230" t="s">
        <v>11</v>
      </c>
      <c r="F4" s="230" t="str">
        <f>'Stavební rozpočet'!I4</f>
        <v>Tomáš Sýkora</v>
      </c>
      <c r="G4" s="225"/>
      <c r="H4" s="230" t="s">
        <v>1171</v>
      </c>
      <c r="I4" s="235" t="s">
        <v>1173</v>
      </c>
    </row>
    <row r="5" spans="1:9" ht="15" customHeight="1" x14ac:dyDescent="0.25">
      <c r="A5" s="224"/>
      <c r="B5" s="225"/>
      <c r="C5" s="225"/>
      <c r="D5" s="225"/>
      <c r="E5" s="225"/>
      <c r="F5" s="225"/>
      <c r="G5" s="225"/>
      <c r="H5" s="225"/>
      <c r="I5" s="235"/>
    </row>
    <row r="6" spans="1:9" x14ac:dyDescent="0.25">
      <c r="A6" s="226" t="s">
        <v>13</v>
      </c>
      <c r="B6" s="225"/>
      <c r="C6" s="230" t="str">
        <f>'Stavební rozpočet'!C6</f>
        <v>ZŠ TGM Ivančice, Na Brněnce 1, 664 91 Ivančice</v>
      </c>
      <c r="D6" s="225"/>
      <c r="E6" s="230" t="s">
        <v>16</v>
      </c>
      <c r="F6" s="230" t="str">
        <f>'Stavební rozpočet'!I6</f>
        <v> </v>
      </c>
      <c r="G6" s="225"/>
      <c r="H6" s="230" t="s">
        <v>1171</v>
      </c>
      <c r="I6" s="235" t="s">
        <v>52</v>
      </c>
    </row>
    <row r="7" spans="1:9" ht="15" customHeight="1" x14ac:dyDescent="0.25">
      <c r="A7" s="224"/>
      <c r="B7" s="225"/>
      <c r="C7" s="225"/>
      <c r="D7" s="225"/>
      <c r="E7" s="225"/>
      <c r="F7" s="225"/>
      <c r="G7" s="225"/>
      <c r="H7" s="225"/>
      <c r="I7" s="235"/>
    </row>
    <row r="8" spans="1:9" x14ac:dyDescent="0.25">
      <c r="A8" s="226" t="s">
        <v>9</v>
      </c>
      <c r="B8" s="225"/>
      <c r="C8" s="230" t="str">
        <f>'Stavební rozpočet'!G4</f>
        <v>13.01.2025</v>
      </c>
      <c r="D8" s="225"/>
      <c r="E8" s="230" t="s">
        <v>15</v>
      </c>
      <c r="F8" s="230" t="str">
        <f>'Stavební rozpočet'!G6</f>
        <v>13.01.2025</v>
      </c>
      <c r="G8" s="225"/>
      <c r="H8" s="225" t="s">
        <v>1174</v>
      </c>
      <c r="I8" s="304">
        <v>47</v>
      </c>
    </row>
    <row r="9" spans="1:9" x14ac:dyDescent="0.25">
      <c r="A9" s="224"/>
      <c r="B9" s="225"/>
      <c r="C9" s="225"/>
      <c r="D9" s="225"/>
      <c r="E9" s="225"/>
      <c r="F9" s="225"/>
      <c r="G9" s="225"/>
      <c r="H9" s="225"/>
      <c r="I9" s="235"/>
    </row>
    <row r="10" spans="1:9" x14ac:dyDescent="0.25">
      <c r="A10" s="226" t="s">
        <v>18</v>
      </c>
      <c r="B10" s="225"/>
      <c r="C10" s="230" t="str">
        <f>'Stavební rozpočet'!C8</f>
        <v>8013212</v>
      </c>
      <c r="D10" s="225"/>
      <c r="E10" s="230" t="s">
        <v>21</v>
      </c>
      <c r="F10" s="230" t="str">
        <f>'Stavební rozpočet'!I8</f>
        <v>Tomáš Sýkora</v>
      </c>
      <c r="G10" s="225"/>
      <c r="H10" s="225" t="s">
        <v>1175</v>
      </c>
      <c r="I10" s="305" t="str">
        <f>'Stavební rozpočet'!G8</f>
        <v>13.01.2025</v>
      </c>
    </row>
    <row r="11" spans="1:9" x14ac:dyDescent="0.25">
      <c r="A11" s="302"/>
      <c r="B11" s="303"/>
      <c r="C11" s="303"/>
      <c r="D11" s="303"/>
      <c r="E11" s="303"/>
      <c r="F11" s="303"/>
      <c r="G11" s="303"/>
      <c r="H11" s="303"/>
      <c r="I11" s="306"/>
    </row>
    <row r="13" spans="1:9" ht="15.75" x14ac:dyDescent="0.25">
      <c r="A13" s="340" t="s">
        <v>1217</v>
      </c>
      <c r="B13" s="340"/>
      <c r="C13" s="340"/>
      <c r="D13" s="340"/>
      <c r="E13" s="340"/>
    </row>
    <row r="14" spans="1:9" x14ac:dyDescent="0.25">
      <c r="A14" s="341" t="s">
        <v>1218</v>
      </c>
      <c r="B14" s="342"/>
      <c r="C14" s="342"/>
      <c r="D14" s="342"/>
      <c r="E14" s="343"/>
      <c r="F14" s="213" t="s">
        <v>1219</v>
      </c>
      <c r="G14" s="213" t="s">
        <v>380</v>
      </c>
      <c r="H14" s="213" t="s">
        <v>1220</v>
      </c>
      <c r="I14" s="213" t="s">
        <v>1219</v>
      </c>
    </row>
    <row r="15" spans="1:9" x14ac:dyDescent="0.25">
      <c r="A15" s="344" t="s">
        <v>1185</v>
      </c>
      <c r="B15" s="345"/>
      <c r="C15" s="345"/>
      <c r="D15" s="345"/>
      <c r="E15" s="346"/>
      <c r="F15" s="214">
        <v>0</v>
      </c>
      <c r="G15" s="215" t="s">
        <v>52</v>
      </c>
      <c r="H15" s="215" t="s">
        <v>52</v>
      </c>
      <c r="I15" s="214">
        <f>F15</f>
        <v>0</v>
      </c>
    </row>
    <row r="16" spans="1:9" x14ac:dyDescent="0.25">
      <c r="A16" s="344" t="s">
        <v>1187</v>
      </c>
      <c r="B16" s="345"/>
      <c r="C16" s="345"/>
      <c r="D16" s="345"/>
      <c r="E16" s="346"/>
      <c r="F16" s="214">
        <v>0</v>
      </c>
      <c r="G16" s="215" t="s">
        <v>52</v>
      </c>
      <c r="H16" s="215" t="s">
        <v>52</v>
      </c>
      <c r="I16" s="214">
        <f>F16</f>
        <v>0</v>
      </c>
    </row>
    <row r="17" spans="1:9" x14ac:dyDescent="0.25">
      <c r="A17" s="347" t="s">
        <v>1190</v>
      </c>
      <c r="B17" s="348"/>
      <c r="C17" s="348"/>
      <c r="D17" s="348"/>
      <c r="E17" s="349"/>
      <c r="F17" s="216">
        <v>0</v>
      </c>
      <c r="G17" s="217" t="s">
        <v>52</v>
      </c>
      <c r="H17" s="217" t="s">
        <v>52</v>
      </c>
      <c r="I17" s="216">
        <f>F17</f>
        <v>0</v>
      </c>
    </row>
    <row r="18" spans="1:9" x14ac:dyDescent="0.25">
      <c r="A18" s="350" t="s">
        <v>1221</v>
      </c>
      <c r="B18" s="351"/>
      <c r="C18" s="351"/>
      <c r="D18" s="351"/>
      <c r="E18" s="352"/>
      <c r="F18" s="218" t="s">
        <v>52</v>
      </c>
      <c r="G18" s="219" t="s">
        <v>52</v>
      </c>
      <c r="H18" s="219" t="s">
        <v>52</v>
      </c>
      <c r="I18" s="220">
        <f>SUM(I15:I17)</f>
        <v>0</v>
      </c>
    </row>
    <row r="20" spans="1:9" x14ac:dyDescent="0.25">
      <c r="A20" s="341" t="s">
        <v>1182</v>
      </c>
      <c r="B20" s="342"/>
      <c r="C20" s="342"/>
      <c r="D20" s="342"/>
      <c r="E20" s="343"/>
      <c r="F20" s="213" t="s">
        <v>1219</v>
      </c>
      <c r="G20" s="213" t="s">
        <v>380</v>
      </c>
      <c r="H20" s="213" t="s">
        <v>1220</v>
      </c>
      <c r="I20" s="213" t="s">
        <v>1219</v>
      </c>
    </row>
    <row r="21" spans="1:9" x14ac:dyDescent="0.25">
      <c r="A21" s="344" t="s">
        <v>1186</v>
      </c>
      <c r="B21" s="345"/>
      <c r="C21" s="345"/>
      <c r="D21" s="345"/>
      <c r="E21" s="346"/>
      <c r="F21" s="214">
        <v>0</v>
      </c>
      <c r="G21" s="215" t="s">
        <v>52</v>
      </c>
      <c r="H21" s="215" t="s">
        <v>52</v>
      </c>
      <c r="I21" s="214">
        <f t="shared" ref="I21:I26" si="0">F21</f>
        <v>0</v>
      </c>
    </row>
    <row r="22" spans="1:9" x14ac:dyDescent="0.25">
      <c r="A22" s="344" t="s">
        <v>1188</v>
      </c>
      <c r="B22" s="345"/>
      <c r="C22" s="345"/>
      <c r="D22" s="345"/>
      <c r="E22" s="346"/>
      <c r="F22" s="214">
        <v>0</v>
      </c>
      <c r="G22" s="215" t="s">
        <v>52</v>
      </c>
      <c r="H22" s="215" t="s">
        <v>52</v>
      </c>
      <c r="I22" s="214">
        <f t="shared" si="0"/>
        <v>0</v>
      </c>
    </row>
    <row r="23" spans="1:9" x14ac:dyDescent="0.25">
      <c r="A23" s="344" t="s">
        <v>1191</v>
      </c>
      <c r="B23" s="345"/>
      <c r="C23" s="345"/>
      <c r="D23" s="345"/>
      <c r="E23" s="346"/>
      <c r="F23" s="214">
        <v>0</v>
      </c>
      <c r="G23" s="215" t="s">
        <v>52</v>
      </c>
      <c r="H23" s="215" t="s">
        <v>52</v>
      </c>
      <c r="I23" s="214">
        <f t="shared" si="0"/>
        <v>0</v>
      </c>
    </row>
    <row r="24" spans="1:9" x14ac:dyDescent="0.25">
      <c r="A24" s="344" t="s">
        <v>1192</v>
      </c>
      <c r="B24" s="345"/>
      <c r="C24" s="345"/>
      <c r="D24" s="345"/>
      <c r="E24" s="346"/>
      <c r="F24" s="214">
        <v>0</v>
      </c>
      <c r="G24" s="215" t="s">
        <v>52</v>
      </c>
      <c r="H24" s="215" t="s">
        <v>52</v>
      </c>
      <c r="I24" s="214">
        <f t="shared" si="0"/>
        <v>0</v>
      </c>
    </row>
    <row r="25" spans="1:9" x14ac:dyDescent="0.25">
      <c r="A25" s="344" t="s">
        <v>1194</v>
      </c>
      <c r="B25" s="345"/>
      <c r="C25" s="345"/>
      <c r="D25" s="345"/>
      <c r="E25" s="346"/>
      <c r="F25" s="214">
        <v>0</v>
      </c>
      <c r="G25" s="215" t="s">
        <v>52</v>
      </c>
      <c r="H25" s="215" t="s">
        <v>52</v>
      </c>
      <c r="I25" s="214">
        <f t="shared" si="0"/>
        <v>0</v>
      </c>
    </row>
    <row r="26" spans="1:9" x14ac:dyDescent="0.25">
      <c r="A26" s="347" t="s">
        <v>1195</v>
      </c>
      <c r="B26" s="348"/>
      <c r="C26" s="348"/>
      <c r="D26" s="348"/>
      <c r="E26" s="349"/>
      <c r="F26" s="216">
        <v>0</v>
      </c>
      <c r="G26" s="217" t="s">
        <v>52</v>
      </c>
      <c r="H26" s="217" t="s">
        <v>52</v>
      </c>
      <c r="I26" s="216">
        <f t="shared" si="0"/>
        <v>0</v>
      </c>
    </row>
    <row r="27" spans="1:9" x14ac:dyDescent="0.25">
      <c r="A27" s="350" t="s">
        <v>1222</v>
      </c>
      <c r="B27" s="351"/>
      <c r="C27" s="351"/>
      <c r="D27" s="351"/>
      <c r="E27" s="352"/>
      <c r="F27" s="218" t="s">
        <v>52</v>
      </c>
      <c r="G27" s="219" t="s">
        <v>52</v>
      </c>
      <c r="H27" s="219" t="s">
        <v>52</v>
      </c>
      <c r="I27" s="220">
        <f>SUM(I21:I26)</f>
        <v>0</v>
      </c>
    </row>
    <row r="29" spans="1:9" ht="15.75" x14ac:dyDescent="0.25">
      <c r="A29" s="353" t="s">
        <v>1223</v>
      </c>
      <c r="B29" s="354"/>
      <c r="C29" s="354"/>
      <c r="D29" s="354"/>
      <c r="E29" s="355"/>
      <c r="F29" s="356">
        <f>I18+I27</f>
        <v>0</v>
      </c>
      <c r="G29" s="357"/>
      <c r="H29" s="357"/>
      <c r="I29" s="358"/>
    </row>
    <row r="33" spans="1:9" ht="15.75" x14ac:dyDescent="0.25">
      <c r="A33" s="340" t="s">
        <v>1224</v>
      </c>
      <c r="B33" s="340"/>
      <c r="C33" s="340"/>
      <c r="D33" s="340"/>
      <c r="E33" s="340"/>
    </row>
    <row r="34" spans="1:9" x14ac:dyDescent="0.25">
      <c r="A34" s="341" t="s">
        <v>1225</v>
      </c>
      <c r="B34" s="342"/>
      <c r="C34" s="342"/>
      <c r="D34" s="342"/>
      <c r="E34" s="343"/>
      <c r="F34" s="213" t="s">
        <v>1219</v>
      </c>
      <c r="G34" s="213" t="s">
        <v>380</v>
      </c>
      <c r="H34" s="213" t="s">
        <v>1220</v>
      </c>
      <c r="I34" s="213" t="s">
        <v>1219</v>
      </c>
    </row>
    <row r="35" spans="1:9" x14ac:dyDescent="0.25">
      <c r="A35" s="347" t="s">
        <v>52</v>
      </c>
      <c r="B35" s="348"/>
      <c r="C35" s="348"/>
      <c r="D35" s="348"/>
      <c r="E35" s="349"/>
      <c r="F35" s="216">
        <v>0</v>
      </c>
      <c r="G35" s="217" t="s">
        <v>52</v>
      </c>
      <c r="H35" s="217" t="s">
        <v>52</v>
      </c>
      <c r="I35" s="216">
        <f>F35</f>
        <v>0</v>
      </c>
    </row>
    <row r="36" spans="1:9" x14ac:dyDescent="0.25">
      <c r="A36" s="350" t="s">
        <v>1226</v>
      </c>
      <c r="B36" s="351"/>
      <c r="C36" s="351"/>
      <c r="D36" s="351"/>
      <c r="E36" s="352"/>
      <c r="F36" s="218" t="s">
        <v>52</v>
      </c>
      <c r="G36" s="219" t="s">
        <v>52</v>
      </c>
      <c r="H36" s="219" t="s">
        <v>52</v>
      </c>
      <c r="I36" s="220">
        <f>SUM(I35:I35)</f>
        <v>0</v>
      </c>
    </row>
  </sheetData>
  <mergeCells count="51">
    <mergeCell ref="A36:E36"/>
    <mergeCell ref="A29:E29"/>
    <mergeCell ref="F29:I29"/>
    <mergeCell ref="A33:E33"/>
    <mergeCell ref="A34:E34"/>
    <mergeCell ref="A35:E35"/>
    <mergeCell ref="A23:E23"/>
    <mergeCell ref="A24:E24"/>
    <mergeCell ref="A25:E25"/>
    <mergeCell ref="A26:E26"/>
    <mergeCell ref="A27:E27"/>
    <mergeCell ref="A17:E17"/>
    <mergeCell ref="A18:E18"/>
    <mergeCell ref="A20:E20"/>
    <mergeCell ref="A21:E21"/>
    <mergeCell ref="A22:E22"/>
    <mergeCell ref="I10:I11"/>
    <mergeCell ref="A13:E13"/>
    <mergeCell ref="A14:E14"/>
    <mergeCell ref="A15:E15"/>
    <mergeCell ref="A16:E16"/>
    <mergeCell ref="H10:H11"/>
    <mergeCell ref="C2:D3"/>
    <mergeCell ref="C4:D5"/>
    <mergeCell ref="C6:D7"/>
    <mergeCell ref="C8:D9"/>
    <mergeCell ref="C10:D11"/>
    <mergeCell ref="F2:G3"/>
    <mergeCell ref="F4:G5"/>
    <mergeCell ref="F6:G7"/>
    <mergeCell ref="F8:G9"/>
    <mergeCell ref="F10:G11"/>
    <mergeCell ref="A10:B11"/>
    <mergeCell ref="E2:E3"/>
    <mergeCell ref="E4:E5"/>
    <mergeCell ref="E6:E7"/>
    <mergeCell ref="E8:E9"/>
    <mergeCell ref="E10:E11"/>
    <mergeCell ref="A1:I1"/>
    <mergeCell ref="A2:B3"/>
    <mergeCell ref="A4:B5"/>
    <mergeCell ref="A6:B7"/>
    <mergeCell ref="A8:B9"/>
    <mergeCell ref="H2:H3"/>
    <mergeCell ref="H4:H5"/>
    <mergeCell ref="H6:H7"/>
    <mergeCell ref="H8:H9"/>
    <mergeCell ref="I2:I3"/>
    <mergeCell ref="I4:I5"/>
    <mergeCell ref="I6:I7"/>
    <mergeCell ref="I8:I9"/>
  </mergeCells>
  <pageMargins left="0.393999993801117" right="0.393999993801117" top="0.59100002050399802" bottom="0.59100002050399802" header="0" footer="0"/>
  <pageSetup fitToHeight="0" orientation="landscape"/>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I35"/>
  <sheetViews>
    <sheetView workbookViewId="0">
      <selection activeCell="A35" sqref="A35:I35"/>
    </sheetView>
  </sheetViews>
  <sheetFormatPr defaultColWidth="12.140625" defaultRowHeight="15" customHeight="1" x14ac:dyDescent="0.25"/>
  <cols>
    <col min="1" max="1" width="9.140625" customWidth="1"/>
    <col min="2" max="2" width="12.85546875" customWidth="1"/>
    <col min="3" max="3" width="27.140625" customWidth="1"/>
    <col min="4" max="4" width="10" customWidth="1"/>
    <col min="5" max="5" width="14" customWidth="1"/>
    <col min="6" max="6" width="27.140625" customWidth="1"/>
    <col min="7" max="7" width="9.140625" customWidth="1"/>
    <col min="8" max="8" width="12.85546875" customWidth="1"/>
    <col min="9" max="9" width="27.140625" customWidth="1"/>
  </cols>
  <sheetData>
    <row r="1" spans="1:9" ht="54.75" customHeight="1" x14ac:dyDescent="0.25">
      <c r="A1" s="301" t="s">
        <v>1239</v>
      </c>
      <c r="B1" s="221"/>
      <c r="C1" s="221"/>
      <c r="D1" s="221"/>
      <c r="E1" s="221"/>
      <c r="F1" s="221"/>
      <c r="G1" s="221"/>
      <c r="H1" s="221"/>
      <c r="I1" s="221"/>
    </row>
    <row r="2" spans="1:9" x14ac:dyDescent="0.25">
      <c r="A2" s="222" t="s">
        <v>1</v>
      </c>
      <c r="B2" s="223"/>
      <c r="C2" s="231" t="str">
        <f>'Stavební rozpočet'!C2</f>
        <v>REKONSTRUKCE STŘECHY ZŠ T.G.MASARYKA V IVANČICÍCH</v>
      </c>
      <c r="D2" s="232"/>
      <c r="E2" s="229" t="s">
        <v>5</v>
      </c>
      <c r="F2" s="229" t="str">
        <f>'Stavební rozpočet'!I2</f>
        <v>Město Ivančice</v>
      </c>
      <c r="G2" s="223"/>
      <c r="H2" s="229" t="s">
        <v>1171</v>
      </c>
      <c r="I2" s="234" t="s">
        <v>1172</v>
      </c>
    </row>
    <row r="3" spans="1:9" ht="15" customHeight="1" x14ac:dyDescent="0.25">
      <c r="A3" s="224"/>
      <c r="B3" s="225"/>
      <c r="C3" s="233"/>
      <c r="D3" s="233"/>
      <c r="E3" s="225"/>
      <c r="F3" s="225"/>
      <c r="G3" s="225"/>
      <c r="H3" s="225"/>
      <c r="I3" s="235"/>
    </row>
    <row r="4" spans="1:9" x14ac:dyDescent="0.25">
      <c r="A4" s="226" t="s">
        <v>7</v>
      </c>
      <c r="B4" s="225"/>
      <c r="C4" s="230" t="str">
        <f>'Stavební rozpočet'!C4</f>
        <v>oprava střešní konstrukce</v>
      </c>
      <c r="D4" s="225"/>
      <c r="E4" s="230" t="s">
        <v>11</v>
      </c>
      <c r="F4" s="230" t="str">
        <f>'Stavební rozpočet'!I4</f>
        <v>Tomáš Sýkora</v>
      </c>
      <c r="G4" s="225"/>
      <c r="H4" s="230" t="s">
        <v>1171</v>
      </c>
      <c r="I4" s="235" t="s">
        <v>1173</v>
      </c>
    </row>
    <row r="5" spans="1:9" ht="15" customHeight="1" x14ac:dyDescent="0.25">
      <c r="A5" s="224"/>
      <c r="B5" s="225"/>
      <c r="C5" s="225"/>
      <c r="D5" s="225"/>
      <c r="E5" s="225"/>
      <c r="F5" s="225"/>
      <c r="G5" s="225"/>
      <c r="H5" s="225"/>
      <c r="I5" s="235"/>
    </row>
    <row r="6" spans="1:9" x14ac:dyDescent="0.25">
      <c r="A6" s="226" t="s">
        <v>13</v>
      </c>
      <c r="B6" s="225"/>
      <c r="C6" s="230" t="str">
        <f>'Stavební rozpočet'!C6</f>
        <v>ZŠ TGM Ivančice, Na Brněnce 1, 664 91 Ivančice</v>
      </c>
      <c r="D6" s="225"/>
      <c r="E6" s="230" t="s">
        <v>16</v>
      </c>
      <c r="F6" s="230" t="str">
        <f>'Stavební rozpočet'!I6</f>
        <v> </v>
      </c>
      <c r="G6" s="225"/>
      <c r="H6" s="230" t="s">
        <v>1171</v>
      </c>
      <c r="I6" s="235" t="s">
        <v>52</v>
      </c>
    </row>
    <row r="7" spans="1:9" ht="15" customHeight="1" x14ac:dyDescent="0.25">
      <c r="A7" s="224"/>
      <c r="B7" s="225"/>
      <c r="C7" s="225"/>
      <c r="D7" s="225"/>
      <c r="E7" s="225"/>
      <c r="F7" s="225"/>
      <c r="G7" s="225"/>
      <c r="H7" s="225"/>
      <c r="I7" s="235"/>
    </row>
    <row r="8" spans="1:9" x14ac:dyDescent="0.25">
      <c r="A8" s="226" t="s">
        <v>9</v>
      </c>
      <c r="B8" s="225"/>
      <c r="C8" s="230" t="str">
        <f>'Stavební rozpočet'!G4</f>
        <v>13.01.2025</v>
      </c>
      <c r="D8" s="225"/>
      <c r="E8" s="230" t="s">
        <v>15</v>
      </c>
      <c r="F8" s="230" t="str">
        <f>'Stavební rozpočet'!G6</f>
        <v>13.01.2025</v>
      </c>
      <c r="G8" s="225"/>
      <c r="H8" s="225" t="s">
        <v>1174</v>
      </c>
      <c r="I8" s="304">
        <v>15</v>
      </c>
    </row>
    <row r="9" spans="1:9" x14ac:dyDescent="0.25">
      <c r="A9" s="224"/>
      <c r="B9" s="225"/>
      <c r="C9" s="225"/>
      <c r="D9" s="225"/>
      <c r="E9" s="225"/>
      <c r="F9" s="225"/>
      <c r="G9" s="225"/>
      <c r="H9" s="225"/>
      <c r="I9" s="235"/>
    </row>
    <row r="10" spans="1:9" x14ac:dyDescent="0.25">
      <c r="A10" s="226" t="s">
        <v>18</v>
      </c>
      <c r="B10" s="225"/>
      <c r="C10" s="230" t="str">
        <f>'Stavební rozpočet'!C8</f>
        <v>8013212</v>
      </c>
      <c r="D10" s="225"/>
      <c r="E10" s="230" t="s">
        <v>21</v>
      </c>
      <c r="F10" s="230" t="str">
        <f>'Stavební rozpočet'!I8</f>
        <v>Tomáš Sýkora</v>
      </c>
      <c r="G10" s="225"/>
      <c r="H10" s="225" t="s">
        <v>1175</v>
      </c>
      <c r="I10" s="305" t="str">
        <f>'Stavební rozpočet'!G8</f>
        <v>13.01.2025</v>
      </c>
    </row>
    <row r="11" spans="1:9" x14ac:dyDescent="0.25">
      <c r="A11" s="302"/>
      <c r="B11" s="303"/>
      <c r="C11" s="303"/>
      <c r="D11" s="303"/>
      <c r="E11" s="303"/>
      <c r="F11" s="303"/>
      <c r="G11" s="303"/>
      <c r="H11" s="303"/>
      <c r="I11" s="306"/>
    </row>
    <row r="12" spans="1:9" ht="23.25" x14ac:dyDescent="0.25">
      <c r="A12" s="307" t="s">
        <v>1176</v>
      </c>
      <c r="B12" s="307"/>
      <c r="C12" s="307"/>
      <c r="D12" s="307"/>
      <c r="E12" s="307"/>
      <c r="F12" s="307"/>
      <c r="G12" s="307"/>
      <c r="H12" s="307"/>
      <c r="I12" s="307"/>
    </row>
    <row r="13" spans="1:9" ht="26.25" customHeight="1" x14ac:dyDescent="0.25">
      <c r="A13" s="200" t="s">
        <v>1177</v>
      </c>
      <c r="B13" s="308" t="s">
        <v>1178</v>
      </c>
      <c r="C13" s="309"/>
      <c r="D13" s="201" t="s">
        <v>1179</v>
      </c>
      <c r="E13" s="308" t="s">
        <v>1180</v>
      </c>
      <c r="F13" s="309"/>
      <c r="G13" s="201" t="s">
        <v>1181</v>
      </c>
      <c r="H13" s="308" t="s">
        <v>1182</v>
      </c>
      <c r="I13" s="309"/>
    </row>
    <row r="14" spans="1:9" ht="15.75" x14ac:dyDescent="0.25">
      <c r="A14" s="202" t="s">
        <v>1183</v>
      </c>
      <c r="B14" s="203" t="s">
        <v>1184</v>
      </c>
      <c r="C14" s="204">
        <f>SUMIF('Stavební rozpočet'!AI12:AI752,"06",'Stavební rozpočet'!AB12:AB752)</f>
        <v>0</v>
      </c>
      <c r="D14" s="316" t="s">
        <v>1185</v>
      </c>
      <c r="E14" s="317"/>
      <c r="F14" s="204">
        <f>'VORN objektu (06)'!I15</f>
        <v>0</v>
      </c>
      <c r="G14" s="316" t="s">
        <v>1186</v>
      </c>
      <c r="H14" s="317"/>
      <c r="I14" s="205">
        <f>'VORN objektu (06)'!I21</f>
        <v>0</v>
      </c>
    </row>
    <row r="15" spans="1:9" ht="15.75" x14ac:dyDescent="0.25">
      <c r="A15" s="206" t="s">
        <v>52</v>
      </c>
      <c r="B15" s="203" t="s">
        <v>37</v>
      </c>
      <c r="C15" s="204">
        <f>SUMIF('Stavební rozpočet'!AI12:AI752,"06",'Stavební rozpočet'!AC12:AC752)</f>
        <v>0</v>
      </c>
      <c r="D15" s="316" t="s">
        <v>1187</v>
      </c>
      <c r="E15" s="317"/>
      <c r="F15" s="204">
        <f>'VORN objektu (06)'!I16</f>
        <v>0</v>
      </c>
      <c r="G15" s="316" t="s">
        <v>1188</v>
      </c>
      <c r="H15" s="317"/>
      <c r="I15" s="205">
        <f>'VORN objektu (06)'!I22</f>
        <v>0</v>
      </c>
    </row>
    <row r="16" spans="1:9" ht="15.75" x14ac:dyDescent="0.25">
      <c r="A16" s="202" t="s">
        <v>1189</v>
      </c>
      <c r="B16" s="203" t="s">
        <v>1184</v>
      </c>
      <c r="C16" s="204">
        <f>SUMIF('Stavební rozpočet'!AI12:AI752,"06",'Stavební rozpočet'!AD12:AD752)</f>
        <v>0</v>
      </c>
      <c r="D16" s="316" t="s">
        <v>1190</v>
      </c>
      <c r="E16" s="317"/>
      <c r="F16" s="204">
        <f>'VORN objektu (06)'!I17</f>
        <v>0</v>
      </c>
      <c r="G16" s="316" t="s">
        <v>1191</v>
      </c>
      <c r="H16" s="317"/>
      <c r="I16" s="205">
        <f>'VORN objektu (06)'!I23</f>
        <v>0</v>
      </c>
    </row>
    <row r="17" spans="1:9" ht="15.75" x14ac:dyDescent="0.25">
      <c r="A17" s="206" t="s">
        <v>52</v>
      </c>
      <c r="B17" s="203" t="s">
        <v>37</v>
      </c>
      <c r="C17" s="204">
        <f>SUMIF('Stavební rozpočet'!AI12:AI752,"06",'Stavební rozpočet'!AE12:AE752)</f>
        <v>0</v>
      </c>
      <c r="D17" s="316" t="s">
        <v>52</v>
      </c>
      <c r="E17" s="317"/>
      <c r="F17" s="205" t="s">
        <v>52</v>
      </c>
      <c r="G17" s="316" t="s">
        <v>1192</v>
      </c>
      <c r="H17" s="317"/>
      <c r="I17" s="205">
        <f>'VORN objektu (06)'!I24</f>
        <v>0</v>
      </c>
    </row>
    <row r="18" spans="1:9" ht="15.75" x14ac:dyDescent="0.25">
      <c r="A18" s="202" t="s">
        <v>1193</v>
      </c>
      <c r="B18" s="203" t="s">
        <v>1184</v>
      </c>
      <c r="C18" s="204">
        <f>SUMIF('Stavební rozpočet'!AI12:AI752,"06",'Stavební rozpočet'!AF12:AF752)</f>
        <v>0</v>
      </c>
      <c r="D18" s="316" t="s">
        <v>52</v>
      </c>
      <c r="E18" s="317"/>
      <c r="F18" s="205" t="s">
        <v>52</v>
      </c>
      <c r="G18" s="316" t="s">
        <v>1194</v>
      </c>
      <c r="H18" s="317"/>
      <c r="I18" s="205">
        <f>'VORN objektu (06)'!I25</f>
        <v>0</v>
      </c>
    </row>
    <row r="19" spans="1:9" ht="15.75" x14ac:dyDescent="0.25">
      <c r="A19" s="206" t="s">
        <v>52</v>
      </c>
      <c r="B19" s="203" t="s">
        <v>37</v>
      </c>
      <c r="C19" s="204">
        <f>SUMIF('Stavební rozpočet'!AI12:AI752,"06",'Stavební rozpočet'!AG12:AG752)</f>
        <v>0</v>
      </c>
      <c r="D19" s="316" t="s">
        <v>52</v>
      </c>
      <c r="E19" s="317"/>
      <c r="F19" s="205" t="s">
        <v>52</v>
      </c>
      <c r="G19" s="316" t="s">
        <v>1195</v>
      </c>
      <c r="H19" s="317"/>
      <c r="I19" s="205">
        <f>'VORN objektu (06)'!I26</f>
        <v>0</v>
      </c>
    </row>
    <row r="20" spans="1:9" ht="15.75" x14ac:dyDescent="0.25">
      <c r="A20" s="310" t="s">
        <v>1196</v>
      </c>
      <c r="B20" s="311"/>
      <c r="C20" s="204">
        <f>SUMIF('Stavební rozpočet'!AI12:AI752,"06",'Stavební rozpočet'!AH12:AH752)</f>
        <v>0</v>
      </c>
      <c r="D20" s="316" t="s">
        <v>52</v>
      </c>
      <c r="E20" s="317"/>
      <c r="F20" s="205" t="s">
        <v>52</v>
      </c>
      <c r="G20" s="316" t="s">
        <v>52</v>
      </c>
      <c r="H20" s="317"/>
      <c r="I20" s="205" t="s">
        <v>52</v>
      </c>
    </row>
    <row r="21" spans="1:9" ht="15.75" x14ac:dyDescent="0.25">
      <c r="A21" s="312" t="s">
        <v>1197</v>
      </c>
      <c r="B21" s="313"/>
      <c r="C21" s="204">
        <f>SUMIF('Stavební rozpočet'!AI12:AI752,"06",'Stavební rozpočet'!Z12:Z752)</f>
        <v>0</v>
      </c>
      <c r="D21" s="318" t="s">
        <v>52</v>
      </c>
      <c r="E21" s="319"/>
      <c r="F21" s="208" t="s">
        <v>52</v>
      </c>
      <c r="G21" s="318" t="s">
        <v>52</v>
      </c>
      <c r="H21" s="319"/>
      <c r="I21" s="208" t="s">
        <v>52</v>
      </c>
    </row>
    <row r="22" spans="1:9" ht="16.5" customHeight="1" x14ac:dyDescent="0.25">
      <c r="A22" s="314" t="s">
        <v>1198</v>
      </c>
      <c r="B22" s="315"/>
      <c r="C22" s="204">
        <f>ROUND(SUM(C14:C21),2)</f>
        <v>0</v>
      </c>
      <c r="D22" s="320" t="s">
        <v>1199</v>
      </c>
      <c r="E22" s="315"/>
      <c r="F22" s="209">
        <f>SUM(F14:F21)</f>
        <v>0</v>
      </c>
      <c r="G22" s="320" t="s">
        <v>1200</v>
      </c>
      <c r="H22" s="315"/>
      <c r="I22" s="209">
        <f>SUM(I14:I21)</f>
        <v>0</v>
      </c>
    </row>
    <row r="23" spans="1:9" ht="15.75" x14ac:dyDescent="0.25">
      <c r="G23" s="310" t="s">
        <v>1203</v>
      </c>
      <c r="H23" s="311"/>
      <c r="I23" s="204">
        <f>'VORN objektu (06)'!I36</f>
        <v>0</v>
      </c>
    </row>
    <row r="25" spans="1:9" ht="15.75" x14ac:dyDescent="0.25">
      <c r="A25" s="322" t="s">
        <v>1205</v>
      </c>
      <c r="B25" s="323"/>
      <c r="C25" s="210">
        <f>ROUND(('Stavební rozpočet'!AS704+'Stavební rozpočet'!AS709+'Stavební rozpočet'!AS717+'Stavební rozpočet'!AS722+'Stavební rozpočet'!AS728+'Stavební rozpočet'!AS741),2)</f>
        <v>0</v>
      </c>
    </row>
    <row r="26" spans="1:9" ht="15.75" x14ac:dyDescent="0.25">
      <c r="A26" s="324" t="s">
        <v>1206</v>
      </c>
      <c r="B26" s="325"/>
      <c r="C26" s="211">
        <f>ROUND(('Stavební rozpočet'!AT704+'Stavební rozpočet'!AT709+'Stavební rozpočet'!AT717+'Stavební rozpočet'!AT722+'Stavební rozpočet'!AT728+'Stavební rozpočet'!AT741),2)</f>
        <v>0</v>
      </c>
      <c r="D26" s="326" t="s">
        <v>1207</v>
      </c>
      <c r="E26" s="323"/>
      <c r="F26" s="210">
        <f>ROUND(C26*(12/100),2)</f>
        <v>0</v>
      </c>
      <c r="G26" s="326" t="s">
        <v>1208</v>
      </c>
      <c r="H26" s="323"/>
      <c r="I26" s="210">
        <f>ROUND(SUM(C25:C27),2)</f>
        <v>0</v>
      </c>
    </row>
    <row r="27" spans="1:9" ht="15.75" x14ac:dyDescent="0.25">
      <c r="A27" s="324" t="s">
        <v>1209</v>
      </c>
      <c r="B27" s="325"/>
      <c r="C27" s="211">
        <f>ROUND(('Stavební rozpočet'!AU704+'Stavební rozpočet'!AU709+'Stavební rozpočet'!AU717+'Stavební rozpočet'!AU722+'Stavební rozpočet'!AU728+'Stavební rozpočet'!AU741)+(F22+I22+F23+I23+I24),2)</f>
        <v>0</v>
      </c>
      <c r="D27" s="327" t="s">
        <v>1210</v>
      </c>
      <c r="E27" s="325"/>
      <c r="F27" s="211">
        <f>ROUND(C27*(21/100),2)</f>
        <v>0</v>
      </c>
      <c r="G27" s="327" t="s">
        <v>1211</v>
      </c>
      <c r="H27" s="325"/>
      <c r="I27" s="211">
        <f>ROUND(SUM(F26:F27)+I26,2)</f>
        <v>0</v>
      </c>
    </row>
    <row r="29" spans="1:9" x14ac:dyDescent="0.25">
      <c r="A29" s="328" t="s">
        <v>1212</v>
      </c>
      <c r="B29" s="329"/>
      <c r="C29" s="330"/>
      <c r="D29" s="337" t="s">
        <v>1213</v>
      </c>
      <c r="E29" s="329"/>
      <c r="F29" s="330"/>
      <c r="G29" s="337" t="s">
        <v>1214</v>
      </c>
      <c r="H29" s="329"/>
      <c r="I29" s="330"/>
    </row>
    <row r="30" spans="1:9" x14ac:dyDescent="0.25">
      <c r="A30" s="331" t="s">
        <v>52</v>
      </c>
      <c r="B30" s="332"/>
      <c r="C30" s="333"/>
      <c r="D30" s="338" t="s">
        <v>52</v>
      </c>
      <c r="E30" s="332"/>
      <c r="F30" s="333"/>
      <c r="G30" s="338" t="s">
        <v>52</v>
      </c>
      <c r="H30" s="332"/>
      <c r="I30" s="333"/>
    </row>
    <row r="31" spans="1:9" x14ac:dyDescent="0.25">
      <c r="A31" s="331" t="s">
        <v>52</v>
      </c>
      <c r="B31" s="332"/>
      <c r="C31" s="333"/>
      <c r="D31" s="338" t="s">
        <v>52</v>
      </c>
      <c r="E31" s="332"/>
      <c r="F31" s="333"/>
      <c r="G31" s="338" t="s">
        <v>52</v>
      </c>
      <c r="H31" s="332"/>
      <c r="I31" s="333"/>
    </row>
    <row r="32" spans="1:9" x14ac:dyDescent="0.25">
      <c r="A32" s="331" t="s">
        <v>52</v>
      </c>
      <c r="B32" s="332"/>
      <c r="C32" s="333"/>
      <c r="D32" s="338" t="s">
        <v>52</v>
      </c>
      <c r="E32" s="332"/>
      <c r="F32" s="333"/>
      <c r="G32" s="338" t="s">
        <v>52</v>
      </c>
      <c r="H32" s="332"/>
      <c r="I32" s="333"/>
    </row>
    <row r="33" spans="1:9" x14ac:dyDescent="0.25">
      <c r="A33" s="334" t="s">
        <v>1215</v>
      </c>
      <c r="B33" s="335"/>
      <c r="C33" s="336"/>
      <c r="D33" s="339" t="s">
        <v>1215</v>
      </c>
      <c r="E33" s="335"/>
      <c r="F33" s="336"/>
      <c r="G33" s="339" t="s">
        <v>1215</v>
      </c>
      <c r="H33" s="335"/>
      <c r="I33" s="336"/>
    </row>
    <row r="34" spans="1:9" x14ac:dyDescent="0.25">
      <c r="A34" s="212" t="s">
        <v>148</v>
      </c>
    </row>
    <row r="35" spans="1:9" ht="12.75" customHeight="1" x14ac:dyDescent="0.25">
      <c r="A35" s="230" t="s">
        <v>52</v>
      </c>
      <c r="B35" s="225"/>
      <c r="C35" s="225"/>
      <c r="D35" s="225"/>
      <c r="E35" s="225"/>
      <c r="F35" s="225"/>
      <c r="G35" s="225"/>
      <c r="H35" s="225"/>
      <c r="I35" s="225"/>
    </row>
  </sheetData>
  <mergeCells count="80">
    <mergeCell ref="G32:I32"/>
    <mergeCell ref="G33:I33"/>
    <mergeCell ref="A35:I35"/>
    <mergeCell ref="A32:C32"/>
    <mergeCell ref="A33:C33"/>
    <mergeCell ref="D29:F29"/>
    <mergeCell ref="D30:F30"/>
    <mergeCell ref="D31:F31"/>
    <mergeCell ref="D32:F32"/>
    <mergeCell ref="D33:F33"/>
    <mergeCell ref="G26:H26"/>
    <mergeCell ref="G27:H27"/>
    <mergeCell ref="A29:C29"/>
    <mergeCell ref="A30:C30"/>
    <mergeCell ref="A31:C31"/>
    <mergeCell ref="G29:I29"/>
    <mergeCell ref="G30:I30"/>
    <mergeCell ref="G31:I31"/>
    <mergeCell ref="A25:B25"/>
    <mergeCell ref="A26:B26"/>
    <mergeCell ref="A27:B27"/>
    <mergeCell ref="D26:E26"/>
    <mergeCell ref="D27:E27"/>
    <mergeCell ref="G19:H19"/>
    <mergeCell ref="G20:H20"/>
    <mergeCell ref="G21:H21"/>
    <mergeCell ref="G22:H22"/>
    <mergeCell ref="G23:H23"/>
    <mergeCell ref="G14:H14"/>
    <mergeCell ref="G15:H15"/>
    <mergeCell ref="G16:H16"/>
    <mergeCell ref="G17:H17"/>
    <mergeCell ref="G18:H18"/>
    <mergeCell ref="A20:B20"/>
    <mergeCell ref="A21:B21"/>
    <mergeCell ref="A22:B22"/>
    <mergeCell ref="D14:E14"/>
    <mergeCell ref="D15:E15"/>
    <mergeCell ref="D16:E16"/>
    <mergeCell ref="D17:E17"/>
    <mergeCell ref="D18:E18"/>
    <mergeCell ref="D19:E19"/>
    <mergeCell ref="D20:E20"/>
    <mergeCell ref="D21:E21"/>
    <mergeCell ref="D22:E22"/>
    <mergeCell ref="I10:I11"/>
    <mergeCell ref="A12:I12"/>
    <mergeCell ref="B13:C13"/>
    <mergeCell ref="E13:F13"/>
    <mergeCell ref="H13:I13"/>
    <mergeCell ref="F10:G11"/>
    <mergeCell ref="H2:H3"/>
    <mergeCell ref="H4:H5"/>
    <mergeCell ref="H6:H7"/>
    <mergeCell ref="H8:H9"/>
    <mergeCell ref="H10:H11"/>
    <mergeCell ref="A10:B11"/>
    <mergeCell ref="E2:E3"/>
    <mergeCell ref="E4:E5"/>
    <mergeCell ref="E6:E7"/>
    <mergeCell ref="E8:E9"/>
    <mergeCell ref="E10:E11"/>
    <mergeCell ref="C2:D3"/>
    <mergeCell ref="C4:D5"/>
    <mergeCell ref="C6:D7"/>
    <mergeCell ref="C8:D9"/>
    <mergeCell ref="C10:D11"/>
    <mergeCell ref="A1:I1"/>
    <mergeCell ref="A2:B3"/>
    <mergeCell ref="A4:B5"/>
    <mergeCell ref="A6:B7"/>
    <mergeCell ref="A8:B9"/>
    <mergeCell ref="F2:G3"/>
    <mergeCell ref="F4:G5"/>
    <mergeCell ref="F6:G7"/>
    <mergeCell ref="F8:G9"/>
    <mergeCell ref="I2:I3"/>
    <mergeCell ref="I4:I5"/>
    <mergeCell ref="I6:I7"/>
    <mergeCell ref="I8:I9"/>
  </mergeCells>
  <pageMargins left="0.393999993801117" right="0.393999993801117" top="0.59100002050399802" bottom="0.59100002050399802" header="0" footer="0"/>
  <pageSetup orientation="landscape"/>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Z755"/>
  <sheetViews>
    <sheetView workbookViewId="0">
      <pane ySplit="11" topLeftCell="A12" activePane="bottomLeft" state="frozen"/>
      <selection pane="bottomLeft" activeCell="A755" sqref="A755:K755"/>
    </sheetView>
  </sheetViews>
  <sheetFormatPr defaultColWidth="12.140625" defaultRowHeight="15" customHeight="1" x14ac:dyDescent="0.25"/>
  <cols>
    <col min="1" max="1" width="4" customWidth="1"/>
    <col min="2" max="2" width="17.85546875" customWidth="1"/>
    <col min="3" max="3" width="42.85546875" customWidth="1"/>
    <col min="4" max="4" width="35.7109375" customWidth="1"/>
    <col min="5" max="5" width="6.7109375" customWidth="1"/>
    <col min="6" max="6" width="12.85546875" customWidth="1"/>
    <col min="7" max="7" width="12" customWidth="1"/>
    <col min="8" max="10" width="15.7109375" customWidth="1"/>
    <col min="11" max="11" width="13.42578125" customWidth="1"/>
    <col min="25" max="75" width="12.140625" hidden="1"/>
    <col min="76" max="76" width="78.5703125" hidden="1" customWidth="1"/>
    <col min="77" max="78" width="12.140625" hidden="1"/>
  </cols>
  <sheetData>
    <row r="1" spans="1:76" ht="54.75" customHeight="1" x14ac:dyDescent="0.25">
      <c r="A1" s="221" t="s">
        <v>0</v>
      </c>
      <c r="B1" s="221"/>
      <c r="C1" s="221"/>
      <c r="D1" s="221"/>
      <c r="E1" s="221"/>
      <c r="F1" s="221"/>
      <c r="G1" s="221"/>
      <c r="H1" s="221"/>
      <c r="I1" s="221"/>
      <c r="J1" s="221"/>
      <c r="K1" s="221"/>
      <c r="AS1" s="1">
        <f>SUM(AJ1:AJ2)</f>
        <v>0</v>
      </c>
      <c r="AT1" s="1">
        <f>SUM(AK1:AK2)</f>
        <v>0</v>
      </c>
      <c r="AU1" s="1">
        <f>SUM(AL1:AL2)</f>
        <v>0</v>
      </c>
    </row>
    <row r="2" spans="1:76" x14ac:dyDescent="0.25">
      <c r="A2" s="222" t="s">
        <v>1</v>
      </c>
      <c r="B2" s="223"/>
      <c r="C2" s="231" t="s">
        <v>2</v>
      </c>
      <c r="D2" s="232"/>
      <c r="E2" s="223" t="s">
        <v>3</v>
      </c>
      <c r="F2" s="223"/>
      <c r="G2" s="223" t="s">
        <v>4</v>
      </c>
      <c r="H2" s="229" t="s">
        <v>5</v>
      </c>
      <c r="I2" s="229" t="s">
        <v>6</v>
      </c>
      <c r="J2" s="223"/>
      <c r="K2" s="234"/>
    </row>
    <row r="3" spans="1:76" x14ac:dyDescent="0.25">
      <c r="A3" s="224"/>
      <c r="B3" s="225"/>
      <c r="C3" s="233"/>
      <c r="D3" s="233"/>
      <c r="E3" s="225"/>
      <c r="F3" s="225"/>
      <c r="G3" s="225"/>
      <c r="H3" s="225"/>
      <c r="I3" s="225"/>
      <c r="J3" s="225"/>
      <c r="K3" s="235"/>
    </row>
    <row r="4" spans="1:76" x14ac:dyDescent="0.25">
      <c r="A4" s="226" t="s">
        <v>7</v>
      </c>
      <c r="B4" s="225"/>
      <c r="C4" s="230" t="s">
        <v>8</v>
      </c>
      <c r="D4" s="225"/>
      <c r="E4" s="225" t="s">
        <v>9</v>
      </c>
      <c r="F4" s="225"/>
      <c r="G4" s="225" t="s">
        <v>10</v>
      </c>
      <c r="H4" s="230" t="s">
        <v>11</v>
      </c>
      <c r="I4" s="230" t="s">
        <v>12</v>
      </c>
      <c r="J4" s="225"/>
      <c r="K4" s="235"/>
    </row>
    <row r="5" spans="1:76" x14ac:dyDescent="0.25">
      <c r="A5" s="224"/>
      <c r="B5" s="225"/>
      <c r="C5" s="225"/>
      <c r="D5" s="225"/>
      <c r="E5" s="225"/>
      <c r="F5" s="225"/>
      <c r="G5" s="225"/>
      <c r="H5" s="225"/>
      <c r="I5" s="225"/>
      <c r="J5" s="225"/>
      <c r="K5" s="235"/>
    </row>
    <row r="6" spans="1:76" x14ac:dyDescent="0.25">
      <c r="A6" s="226" t="s">
        <v>13</v>
      </c>
      <c r="B6" s="225"/>
      <c r="C6" s="230" t="s">
        <v>14</v>
      </c>
      <c r="D6" s="225"/>
      <c r="E6" s="225" t="s">
        <v>15</v>
      </c>
      <c r="F6" s="225"/>
      <c r="G6" s="225" t="s">
        <v>10</v>
      </c>
      <c r="H6" s="230" t="s">
        <v>16</v>
      </c>
      <c r="I6" s="225" t="s">
        <v>17</v>
      </c>
      <c r="J6" s="225"/>
      <c r="K6" s="235"/>
    </row>
    <row r="7" spans="1:76" x14ac:dyDescent="0.25">
      <c r="A7" s="224"/>
      <c r="B7" s="225"/>
      <c r="C7" s="225"/>
      <c r="D7" s="225"/>
      <c r="E7" s="225"/>
      <c r="F7" s="225"/>
      <c r="G7" s="225"/>
      <c r="H7" s="225"/>
      <c r="I7" s="225"/>
      <c r="J7" s="225"/>
      <c r="K7" s="235"/>
    </row>
    <row r="8" spans="1:76" x14ac:dyDescent="0.25">
      <c r="A8" s="226" t="s">
        <v>18</v>
      </c>
      <c r="B8" s="225"/>
      <c r="C8" s="230" t="s">
        <v>19</v>
      </c>
      <c r="D8" s="225"/>
      <c r="E8" s="225" t="s">
        <v>20</v>
      </c>
      <c r="F8" s="225"/>
      <c r="G8" s="225" t="s">
        <v>10</v>
      </c>
      <c r="H8" s="230" t="s">
        <v>21</v>
      </c>
      <c r="I8" s="230" t="s">
        <v>12</v>
      </c>
      <c r="J8" s="225"/>
      <c r="K8" s="235"/>
    </row>
    <row r="9" spans="1:76" x14ac:dyDescent="0.25">
      <c r="A9" s="227"/>
      <c r="B9" s="228"/>
      <c r="C9" s="228"/>
      <c r="D9" s="228"/>
      <c r="E9" s="228"/>
      <c r="F9" s="228"/>
      <c r="G9" s="228"/>
      <c r="H9" s="228"/>
      <c r="I9" s="228"/>
      <c r="J9" s="228"/>
      <c r="K9" s="236"/>
    </row>
    <row r="10" spans="1:76" x14ac:dyDescent="0.25">
      <c r="A10" s="5" t="s">
        <v>22</v>
      </c>
      <c r="B10" s="6" t="s">
        <v>23</v>
      </c>
      <c r="C10" s="237" t="s">
        <v>24</v>
      </c>
      <c r="D10" s="238"/>
      <c r="E10" s="6" t="s">
        <v>25</v>
      </c>
      <c r="F10" s="7" t="s">
        <v>26</v>
      </c>
      <c r="G10" s="8" t="s">
        <v>27</v>
      </c>
      <c r="H10" s="241" t="s">
        <v>28</v>
      </c>
      <c r="I10" s="242"/>
      <c r="J10" s="243"/>
      <c r="K10" s="9" t="s">
        <v>29</v>
      </c>
      <c r="BK10" s="10" t="s">
        <v>30</v>
      </c>
      <c r="BL10" s="11" t="s">
        <v>31</v>
      </c>
      <c r="BW10" s="11" t="s">
        <v>32</v>
      </c>
    </row>
    <row r="11" spans="1:76" x14ac:dyDescent="0.25">
      <c r="A11" s="12" t="s">
        <v>33</v>
      </c>
      <c r="B11" s="13" t="s">
        <v>33</v>
      </c>
      <c r="C11" s="239" t="s">
        <v>34</v>
      </c>
      <c r="D11" s="240"/>
      <c r="E11" s="13" t="s">
        <v>33</v>
      </c>
      <c r="F11" s="13" t="s">
        <v>33</v>
      </c>
      <c r="G11" s="14" t="s">
        <v>35</v>
      </c>
      <c r="H11" s="15" t="s">
        <v>36</v>
      </c>
      <c r="I11" s="16" t="s">
        <v>37</v>
      </c>
      <c r="J11" s="17" t="s">
        <v>38</v>
      </c>
      <c r="K11" s="18" t="s">
        <v>39</v>
      </c>
      <c r="Z11" s="10" t="s">
        <v>40</v>
      </c>
      <c r="AA11" s="10" t="s">
        <v>41</v>
      </c>
      <c r="AB11" s="10" t="s">
        <v>42</v>
      </c>
      <c r="AC11" s="10" t="s">
        <v>43</v>
      </c>
      <c r="AD11" s="10" t="s">
        <v>44</v>
      </c>
      <c r="AE11" s="10" t="s">
        <v>45</v>
      </c>
      <c r="AF11" s="10" t="s">
        <v>46</v>
      </c>
      <c r="AG11" s="10" t="s">
        <v>47</v>
      </c>
      <c r="AH11" s="10" t="s">
        <v>48</v>
      </c>
      <c r="BH11" s="10" t="s">
        <v>49</v>
      </c>
      <c r="BI11" s="10" t="s">
        <v>50</v>
      </c>
      <c r="BJ11" s="10" t="s">
        <v>51</v>
      </c>
    </row>
    <row r="12" spans="1:76" x14ac:dyDescent="0.25">
      <c r="A12" s="19" t="s">
        <v>52</v>
      </c>
      <c r="B12" s="20" t="s">
        <v>52</v>
      </c>
      <c r="C12" s="244" t="s">
        <v>53</v>
      </c>
      <c r="D12" s="245"/>
      <c r="E12" s="21" t="s">
        <v>33</v>
      </c>
      <c r="F12" s="21" t="s">
        <v>33</v>
      </c>
      <c r="G12" s="21" t="s">
        <v>33</v>
      </c>
      <c r="H12" s="22">
        <f>H13+H16+H41+H50</f>
        <v>0</v>
      </c>
      <c r="I12" s="22">
        <f>I13+I16+I41+I50</f>
        <v>0</v>
      </c>
      <c r="J12" s="22">
        <f>J13+J16+J41+J50</f>
        <v>0</v>
      </c>
      <c r="K12" s="23" t="s">
        <v>52</v>
      </c>
    </row>
    <row r="13" spans="1:76" x14ac:dyDescent="0.25">
      <c r="A13" s="24" t="s">
        <v>52</v>
      </c>
      <c r="B13" s="25" t="s">
        <v>54</v>
      </c>
      <c r="C13" s="246" t="s">
        <v>55</v>
      </c>
      <c r="D13" s="247"/>
      <c r="E13" s="26" t="s">
        <v>33</v>
      </c>
      <c r="F13" s="26" t="s">
        <v>33</v>
      </c>
      <c r="G13" s="26" t="s">
        <v>33</v>
      </c>
      <c r="H13" s="1">
        <f>SUM(H14:H14)</f>
        <v>0</v>
      </c>
      <c r="I13" s="1">
        <f>SUM(I14:I14)</f>
        <v>0</v>
      </c>
      <c r="J13" s="1">
        <f>SUM(J14:J14)</f>
        <v>0</v>
      </c>
      <c r="K13" s="27" t="s">
        <v>52</v>
      </c>
      <c r="AI13" s="10" t="s">
        <v>56</v>
      </c>
      <c r="AS13" s="1">
        <f>SUM(AJ14:AJ14)</f>
        <v>0</v>
      </c>
      <c r="AT13" s="1">
        <f>SUM(AK14:AK14)</f>
        <v>0</v>
      </c>
      <c r="AU13" s="1">
        <f>SUM(AL14:AL14)</f>
        <v>0</v>
      </c>
    </row>
    <row r="14" spans="1:76" x14ac:dyDescent="0.25">
      <c r="A14" s="2" t="s">
        <v>57</v>
      </c>
      <c r="B14" s="3" t="s">
        <v>58</v>
      </c>
      <c r="C14" s="230" t="s">
        <v>59</v>
      </c>
      <c r="D14" s="225"/>
      <c r="E14" s="3" t="s">
        <v>52</v>
      </c>
      <c r="F14" s="28">
        <v>0</v>
      </c>
      <c r="G14" s="28">
        <v>0</v>
      </c>
      <c r="H14" s="28">
        <f>ROUND(F14*AO14,2)</f>
        <v>0</v>
      </c>
      <c r="I14" s="28">
        <f>ROUND(F14*AP14,2)</f>
        <v>0</v>
      </c>
      <c r="J14" s="28">
        <f>ROUND(F14*G14,2)</f>
        <v>0</v>
      </c>
      <c r="K14" s="29" t="s">
        <v>52</v>
      </c>
      <c r="Z14" s="28">
        <f>ROUND(IF(AQ14="5",BJ14,0),2)</f>
        <v>0</v>
      </c>
      <c r="AB14" s="28">
        <f>ROUND(IF(AQ14="1",BH14,0),2)</f>
        <v>0</v>
      </c>
      <c r="AC14" s="28">
        <f>ROUND(IF(AQ14="1",BI14,0),2)</f>
        <v>0</v>
      </c>
      <c r="AD14" s="28">
        <f>ROUND(IF(AQ14="7",BH14,0),2)</f>
        <v>0</v>
      </c>
      <c r="AE14" s="28">
        <f>ROUND(IF(AQ14="7",BI14,0),2)</f>
        <v>0</v>
      </c>
      <c r="AF14" s="28">
        <f>ROUND(IF(AQ14="2",BH14,0),2)</f>
        <v>0</v>
      </c>
      <c r="AG14" s="28">
        <f>ROUND(IF(AQ14="2",BI14,0),2)</f>
        <v>0</v>
      </c>
      <c r="AH14" s="28">
        <f>ROUND(IF(AQ14="0",BJ14,0),2)</f>
        <v>0</v>
      </c>
      <c r="AI14" s="10" t="s">
        <v>56</v>
      </c>
      <c r="AJ14" s="28">
        <f>IF(AN14=0,J14,0)</f>
        <v>0</v>
      </c>
      <c r="AK14" s="28">
        <f>IF(AN14=12,J14,0)</f>
        <v>0</v>
      </c>
      <c r="AL14" s="28">
        <f>IF(AN14=21,J14,0)</f>
        <v>0</v>
      </c>
      <c r="AN14" s="28">
        <v>21</v>
      </c>
      <c r="AO14" s="28">
        <f>G14*0</f>
        <v>0</v>
      </c>
      <c r="AP14" s="28">
        <f>G14*(1-0)</f>
        <v>0</v>
      </c>
      <c r="AQ14" s="30" t="s">
        <v>60</v>
      </c>
      <c r="AV14" s="28">
        <f>ROUND(AW14+AX14,2)</f>
        <v>0</v>
      </c>
      <c r="AW14" s="28">
        <f>ROUND(F14*AO14,2)</f>
        <v>0</v>
      </c>
      <c r="AX14" s="28">
        <f>ROUND(F14*AP14,2)</f>
        <v>0</v>
      </c>
      <c r="AY14" s="30" t="s">
        <v>61</v>
      </c>
      <c r="AZ14" s="30" t="s">
        <v>62</v>
      </c>
      <c r="BA14" s="10" t="s">
        <v>63</v>
      </c>
      <c r="BC14" s="28">
        <f>AW14+AX14</f>
        <v>0</v>
      </c>
      <c r="BD14" s="28">
        <f>G14/(100-BE14)*100</f>
        <v>0</v>
      </c>
      <c r="BE14" s="28">
        <v>0</v>
      </c>
      <c r="BF14" s="28">
        <f>14</f>
        <v>14</v>
      </c>
      <c r="BH14" s="28">
        <f>F14*AO14</f>
        <v>0</v>
      </c>
      <c r="BI14" s="28">
        <f>F14*AP14</f>
        <v>0</v>
      </c>
      <c r="BJ14" s="28">
        <f>F14*G14</f>
        <v>0</v>
      </c>
      <c r="BK14" s="28"/>
      <c r="BL14" s="28"/>
      <c r="BW14" s="28">
        <v>21</v>
      </c>
      <c r="BX14" s="4" t="s">
        <v>59</v>
      </c>
    </row>
    <row r="15" spans="1:76" ht="81" customHeight="1" x14ac:dyDescent="0.25">
      <c r="A15" s="31"/>
      <c r="C15" s="248" t="s">
        <v>64</v>
      </c>
      <c r="D15" s="249"/>
      <c r="E15" s="249"/>
      <c r="F15" s="249"/>
      <c r="G15" s="249"/>
      <c r="H15" s="249"/>
      <c r="I15" s="249"/>
      <c r="J15" s="249"/>
      <c r="K15" s="250"/>
    </row>
    <row r="16" spans="1:76" x14ac:dyDescent="0.25">
      <c r="A16" s="24" t="s">
        <v>52</v>
      </c>
      <c r="B16" s="25" t="s">
        <v>65</v>
      </c>
      <c r="C16" s="246" t="s">
        <v>66</v>
      </c>
      <c r="D16" s="247"/>
      <c r="E16" s="26" t="s">
        <v>33</v>
      </c>
      <c r="F16" s="26" t="s">
        <v>33</v>
      </c>
      <c r="G16" s="26" t="s">
        <v>33</v>
      </c>
      <c r="H16" s="1">
        <f>SUM(H17:H33)</f>
        <v>0</v>
      </c>
      <c r="I16" s="1">
        <f>SUM(I17:I33)</f>
        <v>0</v>
      </c>
      <c r="J16" s="1">
        <f>SUM(J17:J33)</f>
        <v>0</v>
      </c>
      <c r="K16" s="27" t="s">
        <v>52</v>
      </c>
      <c r="AI16" s="10" t="s">
        <v>56</v>
      </c>
      <c r="AS16" s="1">
        <f>SUM(AJ17:AJ33)</f>
        <v>0</v>
      </c>
      <c r="AT16" s="1">
        <f>SUM(AK17:AK33)</f>
        <v>0</v>
      </c>
      <c r="AU16" s="1">
        <f>SUM(AL17:AL33)</f>
        <v>0</v>
      </c>
    </row>
    <row r="17" spans="1:76" x14ac:dyDescent="0.25">
      <c r="A17" s="2" t="s">
        <v>60</v>
      </c>
      <c r="B17" s="3" t="s">
        <v>67</v>
      </c>
      <c r="C17" s="230" t="s">
        <v>68</v>
      </c>
      <c r="D17" s="225"/>
      <c r="E17" s="3" t="s">
        <v>69</v>
      </c>
      <c r="F17" s="28">
        <v>4016.2746000000002</v>
      </c>
      <c r="G17" s="28">
        <v>0</v>
      </c>
      <c r="H17" s="28">
        <f>ROUND(F17*AO17,2)</f>
        <v>0</v>
      </c>
      <c r="I17" s="28">
        <f>ROUND(F17*AP17,2)</f>
        <v>0</v>
      </c>
      <c r="J17" s="28">
        <f>ROUND(F17*G17,2)</f>
        <v>0</v>
      </c>
      <c r="K17" s="29" t="s">
        <v>70</v>
      </c>
      <c r="Z17" s="28">
        <f>ROUND(IF(AQ17="5",BJ17,0),2)</f>
        <v>0</v>
      </c>
      <c r="AB17" s="28">
        <f>ROUND(IF(AQ17="1",BH17,0),2)</f>
        <v>0</v>
      </c>
      <c r="AC17" s="28">
        <f>ROUND(IF(AQ17="1",BI17,0),2)</f>
        <v>0</v>
      </c>
      <c r="AD17" s="28">
        <f>ROUND(IF(AQ17="7",BH17,0),2)</f>
        <v>0</v>
      </c>
      <c r="AE17" s="28">
        <f>ROUND(IF(AQ17="7",BI17,0),2)</f>
        <v>0</v>
      </c>
      <c r="AF17" s="28">
        <f>ROUND(IF(AQ17="2",BH17,0),2)</f>
        <v>0</v>
      </c>
      <c r="AG17" s="28">
        <f>ROUND(IF(AQ17="2",BI17,0),2)</f>
        <v>0</v>
      </c>
      <c r="AH17" s="28">
        <f>ROUND(IF(AQ17="0",BJ17,0),2)</f>
        <v>0</v>
      </c>
      <c r="AI17" s="10" t="s">
        <v>56</v>
      </c>
      <c r="AJ17" s="28">
        <f>IF(AN17=0,J17,0)</f>
        <v>0</v>
      </c>
      <c r="AK17" s="28">
        <f>IF(AN17=12,J17,0)</f>
        <v>0</v>
      </c>
      <c r="AL17" s="28">
        <f>IF(AN17=21,J17,0)</f>
        <v>0</v>
      </c>
      <c r="AN17" s="28">
        <v>21</v>
      </c>
      <c r="AO17" s="28">
        <f>G17*0</f>
        <v>0</v>
      </c>
      <c r="AP17" s="28">
        <f>G17*(1-0)</f>
        <v>0</v>
      </c>
      <c r="AQ17" s="30" t="s">
        <v>57</v>
      </c>
      <c r="AV17" s="28">
        <f>ROUND(AW17+AX17,2)</f>
        <v>0</v>
      </c>
      <c r="AW17" s="28">
        <f>ROUND(F17*AO17,2)</f>
        <v>0</v>
      </c>
      <c r="AX17" s="28">
        <f>ROUND(F17*AP17,2)</f>
        <v>0</v>
      </c>
      <c r="AY17" s="30" t="s">
        <v>71</v>
      </c>
      <c r="AZ17" s="30" t="s">
        <v>62</v>
      </c>
      <c r="BA17" s="10" t="s">
        <v>63</v>
      </c>
      <c r="BC17" s="28">
        <f>AW17+AX17</f>
        <v>0</v>
      </c>
      <c r="BD17" s="28">
        <f>G17/(100-BE17)*100</f>
        <v>0</v>
      </c>
      <c r="BE17" s="28">
        <v>0</v>
      </c>
      <c r="BF17" s="28">
        <f>17</f>
        <v>17</v>
      </c>
      <c r="BH17" s="28">
        <f>F17*AO17</f>
        <v>0</v>
      </c>
      <c r="BI17" s="28">
        <f>F17*AP17</f>
        <v>0</v>
      </c>
      <c r="BJ17" s="28">
        <f>F17*G17</f>
        <v>0</v>
      </c>
      <c r="BK17" s="28"/>
      <c r="BL17" s="28">
        <v>94</v>
      </c>
      <c r="BW17" s="28">
        <v>21</v>
      </c>
      <c r="BX17" s="4" t="s">
        <v>68</v>
      </c>
    </row>
    <row r="18" spans="1:76" ht="40.5" customHeight="1" x14ac:dyDescent="0.25">
      <c r="A18" s="31"/>
      <c r="C18" s="248" t="s">
        <v>72</v>
      </c>
      <c r="D18" s="249"/>
      <c r="E18" s="249"/>
      <c r="F18" s="249"/>
      <c r="G18" s="249"/>
      <c r="H18" s="249"/>
      <c r="I18" s="249"/>
      <c r="J18" s="249"/>
      <c r="K18" s="250"/>
    </row>
    <row r="19" spans="1:76" x14ac:dyDescent="0.25">
      <c r="A19" s="31"/>
      <c r="C19" s="34" t="s">
        <v>73</v>
      </c>
      <c r="D19" s="33" t="s">
        <v>74</v>
      </c>
      <c r="F19" s="35">
        <v>1163.4276</v>
      </c>
      <c r="K19" s="36"/>
    </row>
    <row r="20" spans="1:76" x14ac:dyDescent="0.25">
      <c r="A20" s="31"/>
      <c r="C20" s="34" t="s">
        <v>75</v>
      </c>
      <c r="D20" s="33" t="s">
        <v>76</v>
      </c>
      <c r="F20" s="35">
        <v>980.17399999999998</v>
      </c>
      <c r="K20" s="36"/>
    </row>
    <row r="21" spans="1:76" x14ac:dyDescent="0.25">
      <c r="A21" s="31"/>
      <c r="C21" s="34" t="s">
        <v>77</v>
      </c>
      <c r="D21" s="33" t="s">
        <v>78</v>
      </c>
      <c r="F21" s="35">
        <v>206.655</v>
      </c>
      <c r="K21" s="36"/>
    </row>
    <row r="22" spans="1:76" x14ac:dyDescent="0.25">
      <c r="A22" s="31"/>
      <c r="C22" s="34" t="s">
        <v>79</v>
      </c>
      <c r="D22" s="33" t="s">
        <v>80</v>
      </c>
      <c r="F22" s="35">
        <v>864.80499999999995</v>
      </c>
      <c r="K22" s="36"/>
    </row>
    <row r="23" spans="1:76" x14ac:dyDescent="0.25">
      <c r="A23" s="31"/>
      <c r="C23" s="34" t="s">
        <v>81</v>
      </c>
      <c r="D23" s="33" t="s">
        <v>82</v>
      </c>
      <c r="F23" s="35">
        <v>846.71299999999997</v>
      </c>
      <c r="K23" s="36"/>
    </row>
    <row r="24" spans="1:76" x14ac:dyDescent="0.25">
      <c r="A24" s="31"/>
      <c r="C24" s="34" t="s">
        <v>83</v>
      </c>
      <c r="D24" s="33" t="s">
        <v>84</v>
      </c>
      <c r="F24" s="35">
        <v>-45.5</v>
      </c>
      <c r="K24" s="36"/>
    </row>
    <row r="25" spans="1:76" ht="25.5" x14ac:dyDescent="0.25">
      <c r="A25" s="31"/>
      <c r="B25" s="37" t="s">
        <v>85</v>
      </c>
      <c r="C25" s="248" t="s">
        <v>86</v>
      </c>
      <c r="D25" s="249"/>
      <c r="E25" s="249"/>
      <c r="F25" s="249"/>
      <c r="G25" s="249"/>
      <c r="H25" s="249"/>
      <c r="I25" s="249"/>
      <c r="J25" s="249"/>
      <c r="K25" s="250"/>
      <c r="BX25" s="32" t="s">
        <v>86</v>
      </c>
    </row>
    <row r="26" spans="1:76" x14ac:dyDescent="0.25">
      <c r="A26" s="2" t="s">
        <v>87</v>
      </c>
      <c r="B26" s="3" t="s">
        <v>88</v>
      </c>
      <c r="C26" s="230" t="s">
        <v>89</v>
      </c>
      <c r="D26" s="225"/>
      <c r="E26" s="3" t="s">
        <v>90</v>
      </c>
      <c r="F26" s="28">
        <v>73.819130000000001</v>
      </c>
      <c r="G26" s="28">
        <v>0</v>
      </c>
      <c r="H26" s="28">
        <f>ROUND(F26*AO26,2)</f>
        <v>0</v>
      </c>
      <c r="I26" s="28">
        <f>ROUND(F26*AP26,2)</f>
        <v>0</v>
      </c>
      <c r="J26" s="28">
        <f>ROUND(F26*G26,2)</f>
        <v>0</v>
      </c>
      <c r="K26" s="29" t="s">
        <v>70</v>
      </c>
      <c r="Z26" s="28">
        <f>ROUND(IF(AQ26="5",BJ26,0),2)</f>
        <v>0</v>
      </c>
      <c r="AB26" s="28">
        <f>ROUND(IF(AQ26="1",BH26,0),2)</f>
        <v>0</v>
      </c>
      <c r="AC26" s="28">
        <f>ROUND(IF(AQ26="1",BI26,0),2)</f>
        <v>0</v>
      </c>
      <c r="AD26" s="28">
        <f>ROUND(IF(AQ26="7",BH26,0),2)</f>
        <v>0</v>
      </c>
      <c r="AE26" s="28">
        <f>ROUND(IF(AQ26="7",BI26,0),2)</f>
        <v>0</v>
      </c>
      <c r="AF26" s="28">
        <f>ROUND(IF(AQ26="2",BH26,0),2)</f>
        <v>0</v>
      </c>
      <c r="AG26" s="28">
        <f>ROUND(IF(AQ26="2",BI26,0),2)</f>
        <v>0</v>
      </c>
      <c r="AH26" s="28">
        <f>ROUND(IF(AQ26="0",BJ26,0),2)</f>
        <v>0</v>
      </c>
      <c r="AI26" s="10" t="s">
        <v>56</v>
      </c>
      <c r="AJ26" s="28">
        <f>IF(AN26=0,J26,0)</f>
        <v>0</v>
      </c>
      <c r="AK26" s="28">
        <f>IF(AN26=12,J26,0)</f>
        <v>0</v>
      </c>
      <c r="AL26" s="28">
        <f>IF(AN26=21,J26,0)</f>
        <v>0</v>
      </c>
      <c r="AN26" s="28">
        <v>21</v>
      </c>
      <c r="AO26" s="28">
        <f>G26*0</f>
        <v>0</v>
      </c>
      <c r="AP26" s="28">
        <f>G26*(1-0)</f>
        <v>0</v>
      </c>
      <c r="AQ26" s="30" t="s">
        <v>91</v>
      </c>
      <c r="AV26" s="28">
        <f>ROUND(AW26+AX26,2)</f>
        <v>0</v>
      </c>
      <c r="AW26" s="28">
        <f>ROUND(F26*AO26,2)</f>
        <v>0</v>
      </c>
      <c r="AX26" s="28">
        <f>ROUND(F26*AP26,2)</f>
        <v>0</v>
      </c>
      <c r="AY26" s="30" t="s">
        <v>71</v>
      </c>
      <c r="AZ26" s="30" t="s">
        <v>62</v>
      </c>
      <c r="BA26" s="10" t="s">
        <v>63</v>
      </c>
      <c r="BC26" s="28">
        <f>AW26+AX26</f>
        <v>0</v>
      </c>
      <c r="BD26" s="28">
        <f>G26/(100-BE26)*100</f>
        <v>0</v>
      </c>
      <c r="BE26" s="28">
        <v>0</v>
      </c>
      <c r="BF26" s="28">
        <f>26</f>
        <v>26</v>
      </c>
      <c r="BH26" s="28">
        <f>F26*AO26</f>
        <v>0</v>
      </c>
      <c r="BI26" s="28">
        <f>F26*AP26</f>
        <v>0</v>
      </c>
      <c r="BJ26" s="28">
        <f>F26*G26</f>
        <v>0</v>
      </c>
      <c r="BK26" s="28"/>
      <c r="BL26" s="28">
        <v>94</v>
      </c>
      <c r="BW26" s="28">
        <v>21</v>
      </c>
      <c r="BX26" s="4" t="s">
        <v>89</v>
      </c>
    </row>
    <row r="27" spans="1:76" x14ac:dyDescent="0.25">
      <c r="A27" s="31"/>
      <c r="C27" s="34" t="s">
        <v>92</v>
      </c>
      <c r="D27" s="33" t="s">
        <v>52</v>
      </c>
      <c r="F27" s="35">
        <v>73.819130000000001</v>
      </c>
      <c r="K27" s="36"/>
    </row>
    <row r="28" spans="1:76" x14ac:dyDescent="0.25">
      <c r="A28" s="31"/>
      <c r="B28" s="37" t="s">
        <v>85</v>
      </c>
      <c r="C28" s="248" t="s">
        <v>93</v>
      </c>
      <c r="D28" s="249"/>
      <c r="E28" s="249"/>
      <c r="F28" s="249"/>
      <c r="G28" s="249"/>
      <c r="H28" s="249"/>
      <c r="I28" s="249"/>
      <c r="J28" s="249"/>
      <c r="K28" s="250"/>
      <c r="BX28" s="32" t="s">
        <v>93</v>
      </c>
    </row>
    <row r="29" spans="1:76" x14ac:dyDescent="0.25">
      <c r="A29" s="2" t="s">
        <v>94</v>
      </c>
      <c r="B29" s="3" t="s">
        <v>95</v>
      </c>
      <c r="C29" s="230" t="s">
        <v>96</v>
      </c>
      <c r="D29" s="225"/>
      <c r="E29" s="3" t="s">
        <v>69</v>
      </c>
      <c r="F29" s="28">
        <v>12048.8238</v>
      </c>
      <c r="G29" s="28">
        <v>0</v>
      </c>
      <c r="H29" s="28">
        <f>ROUND(F29*AO29,2)</f>
        <v>0</v>
      </c>
      <c r="I29" s="28">
        <f>ROUND(F29*AP29,2)</f>
        <v>0</v>
      </c>
      <c r="J29" s="28">
        <f>ROUND(F29*G29,2)</f>
        <v>0</v>
      </c>
      <c r="K29" s="29" t="s">
        <v>70</v>
      </c>
      <c r="Z29" s="28">
        <f>ROUND(IF(AQ29="5",BJ29,0),2)</f>
        <v>0</v>
      </c>
      <c r="AB29" s="28">
        <f>ROUND(IF(AQ29="1",BH29,0),2)</f>
        <v>0</v>
      </c>
      <c r="AC29" s="28">
        <f>ROUND(IF(AQ29="1",BI29,0),2)</f>
        <v>0</v>
      </c>
      <c r="AD29" s="28">
        <f>ROUND(IF(AQ29="7",BH29,0),2)</f>
        <v>0</v>
      </c>
      <c r="AE29" s="28">
        <f>ROUND(IF(AQ29="7",BI29,0),2)</f>
        <v>0</v>
      </c>
      <c r="AF29" s="28">
        <f>ROUND(IF(AQ29="2",BH29,0),2)</f>
        <v>0</v>
      </c>
      <c r="AG29" s="28">
        <f>ROUND(IF(AQ29="2",BI29,0),2)</f>
        <v>0</v>
      </c>
      <c r="AH29" s="28">
        <f>ROUND(IF(AQ29="0",BJ29,0),2)</f>
        <v>0</v>
      </c>
      <c r="AI29" s="10" t="s">
        <v>56</v>
      </c>
      <c r="AJ29" s="28">
        <f>IF(AN29=0,J29,0)</f>
        <v>0</v>
      </c>
      <c r="AK29" s="28">
        <f>IF(AN29=12,J29,0)</f>
        <v>0</v>
      </c>
      <c r="AL29" s="28">
        <f>IF(AN29=21,J29,0)</f>
        <v>0</v>
      </c>
      <c r="AN29" s="28">
        <v>21</v>
      </c>
      <c r="AO29" s="28">
        <f>G29*0</f>
        <v>0</v>
      </c>
      <c r="AP29" s="28">
        <f>G29*(1-0)</f>
        <v>0</v>
      </c>
      <c r="AQ29" s="30" t="s">
        <v>57</v>
      </c>
      <c r="AV29" s="28">
        <f>ROUND(AW29+AX29,2)</f>
        <v>0</v>
      </c>
      <c r="AW29" s="28">
        <f>ROUND(F29*AO29,2)</f>
        <v>0</v>
      </c>
      <c r="AX29" s="28">
        <f>ROUND(F29*AP29,2)</f>
        <v>0</v>
      </c>
      <c r="AY29" s="30" t="s">
        <v>71</v>
      </c>
      <c r="AZ29" s="30" t="s">
        <v>62</v>
      </c>
      <c r="BA29" s="10" t="s">
        <v>63</v>
      </c>
      <c r="BC29" s="28">
        <f>AW29+AX29</f>
        <v>0</v>
      </c>
      <c r="BD29" s="28">
        <f>G29/(100-BE29)*100</f>
        <v>0</v>
      </c>
      <c r="BE29" s="28">
        <v>0</v>
      </c>
      <c r="BF29" s="28">
        <f>29</f>
        <v>29</v>
      </c>
      <c r="BH29" s="28">
        <f>F29*AO29</f>
        <v>0</v>
      </c>
      <c r="BI29" s="28">
        <f>F29*AP29</f>
        <v>0</v>
      </c>
      <c r="BJ29" s="28">
        <f>F29*G29</f>
        <v>0</v>
      </c>
      <c r="BK29" s="28"/>
      <c r="BL29" s="28">
        <v>94</v>
      </c>
      <c r="BW29" s="28">
        <v>21</v>
      </c>
      <c r="BX29" s="4" t="s">
        <v>96</v>
      </c>
    </row>
    <row r="30" spans="1:76" ht="27" customHeight="1" x14ac:dyDescent="0.25">
      <c r="A30" s="31"/>
      <c r="C30" s="248" t="s">
        <v>97</v>
      </c>
      <c r="D30" s="249"/>
      <c r="E30" s="249"/>
      <c r="F30" s="249"/>
      <c r="G30" s="249"/>
      <c r="H30" s="249"/>
      <c r="I30" s="249"/>
      <c r="J30" s="249"/>
      <c r="K30" s="250"/>
    </row>
    <row r="31" spans="1:76" x14ac:dyDescent="0.25">
      <c r="A31" s="31"/>
      <c r="C31" s="34" t="s">
        <v>98</v>
      </c>
      <c r="D31" s="33" t="s">
        <v>52</v>
      </c>
      <c r="F31" s="35">
        <v>12048.8238</v>
      </c>
      <c r="K31" s="36"/>
    </row>
    <row r="32" spans="1:76" x14ac:dyDescent="0.25">
      <c r="A32" s="31"/>
      <c r="B32" s="37" t="s">
        <v>85</v>
      </c>
      <c r="C32" s="248" t="s">
        <v>99</v>
      </c>
      <c r="D32" s="249"/>
      <c r="E32" s="249"/>
      <c r="F32" s="249"/>
      <c r="G32" s="249"/>
      <c r="H32" s="249"/>
      <c r="I32" s="249"/>
      <c r="J32" s="249"/>
      <c r="K32" s="250"/>
      <c r="BX32" s="32" t="s">
        <v>99</v>
      </c>
    </row>
    <row r="33" spans="1:76" x14ac:dyDescent="0.25">
      <c r="A33" s="2" t="s">
        <v>91</v>
      </c>
      <c r="B33" s="3" t="s">
        <v>100</v>
      </c>
      <c r="C33" s="230" t="s">
        <v>101</v>
      </c>
      <c r="D33" s="225"/>
      <c r="E33" s="3" t="s">
        <v>69</v>
      </c>
      <c r="F33" s="28">
        <v>4016.2746000000002</v>
      </c>
      <c r="G33" s="28">
        <v>0</v>
      </c>
      <c r="H33" s="28">
        <f>ROUND(F33*AO33,2)</f>
        <v>0</v>
      </c>
      <c r="I33" s="28">
        <f>ROUND(F33*AP33,2)</f>
        <v>0</v>
      </c>
      <c r="J33" s="28">
        <f>ROUND(F33*G33,2)</f>
        <v>0</v>
      </c>
      <c r="K33" s="29" t="s">
        <v>70</v>
      </c>
      <c r="Z33" s="28">
        <f>ROUND(IF(AQ33="5",BJ33,0),2)</f>
        <v>0</v>
      </c>
      <c r="AB33" s="28">
        <f>ROUND(IF(AQ33="1",BH33,0),2)</f>
        <v>0</v>
      </c>
      <c r="AC33" s="28">
        <f>ROUND(IF(AQ33="1",BI33,0),2)</f>
        <v>0</v>
      </c>
      <c r="AD33" s="28">
        <f>ROUND(IF(AQ33="7",BH33,0),2)</f>
        <v>0</v>
      </c>
      <c r="AE33" s="28">
        <f>ROUND(IF(AQ33="7",BI33,0),2)</f>
        <v>0</v>
      </c>
      <c r="AF33" s="28">
        <f>ROUND(IF(AQ33="2",BH33,0),2)</f>
        <v>0</v>
      </c>
      <c r="AG33" s="28">
        <f>ROUND(IF(AQ33="2",BI33,0),2)</f>
        <v>0</v>
      </c>
      <c r="AH33" s="28">
        <f>ROUND(IF(AQ33="0",BJ33,0),2)</f>
        <v>0</v>
      </c>
      <c r="AI33" s="10" t="s">
        <v>56</v>
      </c>
      <c r="AJ33" s="28">
        <f>IF(AN33=0,J33,0)</f>
        <v>0</v>
      </c>
      <c r="AK33" s="28">
        <f>IF(AN33=12,J33,0)</f>
        <v>0</v>
      </c>
      <c r="AL33" s="28">
        <f>IF(AN33=21,J33,0)</f>
        <v>0</v>
      </c>
      <c r="AN33" s="28">
        <v>21</v>
      </c>
      <c r="AO33" s="28">
        <f>G33*0</f>
        <v>0</v>
      </c>
      <c r="AP33" s="28">
        <f>G33*(1-0)</f>
        <v>0</v>
      </c>
      <c r="AQ33" s="30" t="s">
        <v>57</v>
      </c>
      <c r="AV33" s="28">
        <f>ROUND(AW33+AX33,2)</f>
        <v>0</v>
      </c>
      <c r="AW33" s="28">
        <f>ROUND(F33*AO33,2)</f>
        <v>0</v>
      </c>
      <c r="AX33" s="28">
        <f>ROUND(F33*AP33,2)</f>
        <v>0</v>
      </c>
      <c r="AY33" s="30" t="s">
        <v>71</v>
      </c>
      <c r="AZ33" s="30" t="s">
        <v>62</v>
      </c>
      <c r="BA33" s="10" t="s">
        <v>63</v>
      </c>
      <c r="BC33" s="28">
        <f>AW33+AX33</f>
        <v>0</v>
      </c>
      <c r="BD33" s="28">
        <f>G33/(100-BE33)*100</f>
        <v>0</v>
      </c>
      <c r="BE33" s="28">
        <v>0</v>
      </c>
      <c r="BF33" s="28">
        <f>33</f>
        <v>33</v>
      </c>
      <c r="BH33" s="28">
        <f>F33*AO33</f>
        <v>0</v>
      </c>
      <c r="BI33" s="28">
        <f>F33*AP33</f>
        <v>0</v>
      </c>
      <c r="BJ33" s="28">
        <f>F33*G33</f>
        <v>0</v>
      </c>
      <c r="BK33" s="28"/>
      <c r="BL33" s="28">
        <v>94</v>
      </c>
      <c r="BW33" s="28">
        <v>21</v>
      </c>
      <c r="BX33" s="4" t="s">
        <v>101</v>
      </c>
    </row>
    <row r="34" spans="1:76" ht="27" customHeight="1" x14ac:dyDescent="0.25">
      <c r="A34" s="31"/>
      <c r="C34" s="248" t="s">
        <v>102</v>
      </c>
      <c r="D34" s="249"/>
      <c r="E34" s="249"/>
      <c r="F34" s="249"/>
      <c r="G34" s="249"/>
      <c r="H34" s="249"/>
      <c r="I34" s="249"/>
      <c r="J34" s="249"/>
      <c r="K34" s="250"/>
    </row>
    <row r="35" spans="1:76" x14ac:dyDescent="0.25">
      <c r="A35" s="31"/>
      <c r="C35" s="34" t="s">
        <v>73</v>
      </c>
      <c r="D35" s="33" t="s">
        <v>74</v>
      </c>
      <c r="F35" s="35">
        <v>1163.4276</v>
      </c>
      <c r="K35" s="36"/>
    </row>
    <row r="36" spans="1:76" x14ac:dyDescent="0.25">
      <c r="A36" s="31"/>
      <c r="C36" s="34" t="s">
        <v>75</v>
      </c>
      <c r="D36" s="33" t="s">
        <v>76</v>
      </c>
      <c r="F36" s="35">
        <v>980.17399999999998</v>
      </c>
      <c r="K36" s="36"/>
    </row>
    <row r="37" spans="1:76" x14ac:dyDescent="0.25">
      <c r="A37" s="31"/>
      <c r="C37" s="34" t="s">
        <v>77</v>
      </c>
      <c r="D37" s="33" t="s">
        <v>78</v>
      </c>
      <c r="F37" s="35">
        <v>206.655</v>
      </c>
      <c r="K37" s="36"/>
    </row>
    <row r="38" spans="1:76" x14ac:dyDescent="0.25">
      <c r="A38" s="31"/>
      <c r="C38" s="34" t="s">
        <v>79</v>
      </c>
      <c r="D38" s="33" t="s">
        <v>80</v>
      </c>
      <c r="F38" s="35">
        <v>864.80499999999995</v>
      </c>
      <c r="K38" s="36"/>
    </row>
    <row r="39" spans="1:76" x14ac:dyDescent="0.25">
      <c r="A39" s="31"/>
      <c r="C39" s="34" t="s">
        <v>81</v>
      </c>
      <c r="D39" s="33" t="s">
        <v>82</v>
      </c>
      <c r="F39" s="35">
        <v>846.71299999999997</v>
      </c>
      <c r="K39" s="36"/>
    </row>
    <row r="40" spans="1:76" x14ac:dyDescent="0.25">
      <c r="A40" s="31"/>
      <c r="C40" s="34" t="s">
        <v>83</v>
      </c>
      <c r="D40" s="33" t="s">
        <v>84</v>
      </c>
      <c r="F40" s="35">
        <v>-45.5</v>
      </c>
      <c r="K40" s="36"/>
    </row>
    <row r="41" spans="1:76" x14ac:dyDescent="0.25">
      <c r="A41" s="24" t="s">
        <v>52</v>
      </c>
      <c r="B41" s="25" t="s">
        <v>103</v>
      </c>
      <c r="C41" s="246" t="s">
        <v>104</v>
      </c>
      <c r="D41" s="247"/>
      <c r="E41" s="26" t="s">
        <v>33</v>
      </c>
      <c r="F41" s="26" t="s">
        <v>33</v>
      </c>
      <c r="G41" s="26" t="s">
        <v>33</v>
      </c>
      <c r="H41" s="1">
        <f>SUM(H42:H49)</f>
        <v>0</v>
      </c>
      <c r="I41" s="1">
        <f>SUM(I42:I49)</f>
        <v>0</v>
      </c>
      <c r="J41" s="1">
        <f>SUM(J42:J49)</f>
        <v>0</v>
      </c>
      <c r="K41" s="27" t="s">
        <v>52</v>
      </c>
      <c r="AI41" s="10" t="s">
        <v>56</v>
      </c>
      <c r="AS41" s="1">
        <f>SUM(AJ42:AJ49)</f>
        <v>0</v>
      </c>
      <c r="AT41" s="1">
        <f>SUM(AK42:AK49)</f>
        <v>0</v>
      </c>
      <c r="AU41" s="1">
        <f>SUM(AL42:AL49)</f>
        <v>0</v>
      </c>
    </row>
    <row r="42" spans="1:76" x14ac:dyDescent="0.25">
      <c r="A42" s="2" t="s">
        <v>105</v>
      </c>
      <c r="B42" s="3" t="s">
        <v>106</v>
      </c>
      <c r="C42" s="230" t="s">
        <v>107</v>
      </c>
      <c r="D42" s="225"/>
      <c r="E42" s="3" t="s">
        <v>108</v>
      </c>
      <c r="F42" s="28">
        <v>1</v>
      </c>
      <c r="G42" s="28">
        <v>0</v>
      </c>
      <c r="H42" s="28">
        <f t="shared" ref="H42:H49" si="0">ROUND(F42*AO42,2)</f>
        <v>0</v>
      </c>
      <c r="I42" s="28">
        <f t="shared" ref="I42:I49" si="1">ROUND(F42*AP42,2)</f>
        <v>0</v>
      </c>
      <c r="J42" s="28">
        <f t="shared" ref="J42:J49" si="2">ROUND(F42*G42,2)</f>
        <v>0</v>
      </c>
      <c r="K42" s="29" t="s">
        <v>109</v>
      </c>
      <c r="Z42" s="28">
        <f t="shared" ref="Z42:Z49" si="3">ROUND(IF(AQ42="5",BJ42,0),2)</f>
        <v>0</v>
      </c>
      <c r="AB42" s="28">
        <f t="shared" ref="AB42:AB49" si="4">ROUND(IF(AQ42="1",BH42,0),2)</f>
        <v>0</v>
      </c>
      <c r="AC42" s="28">
        <f t="shared" ref="AC42:AC49" si="5">ROUND(IF(AQ42="1",BI42,0),2)</f>
        <v>0</v>
      </c>
      <c r="AD42" s="28">
        <f t="shared" ref="AD42:AD49" si="6">ROUND(IF(AQ42="7",BH42,0),2)</f>
        <v>0</v>
      </c>
      <c r="AE42" s="28">
        <f t="shared" ref="AE42:AE49" si="7">ROUND(IF(AQ42="7",BI42,0),2)</f>
        <v>0</v>
      </c>
      <c r="AF42" s="28">
        <f t="shared" ref="AF42:AF49" si="8">ROUND(IF(AQ42="2",BH42,0),2)</f>
        <v>0</v>
      </c>
      <c r="AG42" s="28">
        <f t="shared" ref="AG42:AG49" si="9">ROUND(IF(AQ42="2",BI42,0),2)</f>
        <v>0</v>
      </c>
      <c r="AH42" s="28">
        <f t="shared" ref="AH42:AH49" si="10">ROUND(IF(AQ42="0",BJ42,0),2)</f>
        <v>0</v>
      </c>
      <c r="AI42" s="10" t="s">
        <v>56</v>
      </c>
      <c r="AJ42" s="28">
        <f t="shared" ref="AJ42:AJ49" si="11">IF(AN42=0,J42,0)</f>
        <v>0</v>
      </c>
      <c r="AK42" s="28">
        <f t="shared" ref="AK42:AK49" si="12">IF(AN42=12,J42,0)</f>
        <v>0</v>
      </c>
      <c r="AL42" s="28">
        <f t="shared" ref="AL42:AL49" si="13">IF(AN42=21,J42,0)</f>
        <v>0</v>
      </c>
      <c r="AN42" s="28">
        <v>21</v>
      </c>
      <c r="AO42" s="28">
        <f t="shared" ref="AO42:AO49" si="14">G42*0</f>
        <v>0</v>
      </c>
      <c r="AP42" s="28">
        <f t="shared" ref="AP42:AP49" si="15">G42*(1-0)</f>
        <v>0</v>
      </c>
      <c r="AQ42" s="30" t="s">
        <v>60</v>
      </c>
      <c r="AV42" s="28">
        <f t="shared" ref="AV42:AV49" si="16">ROUND(AW42+AX42,2)</f>
        <v>0</v>
      </c>
      <c r="AW42" s="28">
        <f t="shared" ref="AW42:AW49" si="17">ROUND(F42*AO42,2)</f>
        <v>0</v>
      </c>
      <c r="AX42" s="28">
        <f t="shared" ref="AX42:AX49" si="18">ROUND(F42*AP42,2)</f>
        <v>0</v>
      </c>
      <c r="AY42" s="30" t="s">
        <v>110</v>
      </c>
      <c r="AZ42" s="30" t="s">
        <v>62</v>
      </c>
      <c r="BA42" s="10" t="s">
        <v>63</v>
      </c>
      <c r="BC42" s="28">
        <f t="shared" ref="BC42:BC49" si="19">AW42+AX42</f>
        <v>0</v>
      </c>
      <c r="BD42" s="28">
        <f t="shared" ref="BD42:BD49" si="20">G42/(100-BE42)*100</f>
        <v>0</v>
      </c>
      <c r="BE42" s="28">
        <v>0</v>
      </c>
      <c r="BF42" s="28">
        <f>42</f>
        <v>42</v>
      </c>
      <c r="BH42" s="28">
        <f t="shared" ref="BH42:BH49" si="21">F42*AO42</f>
        <v>0</v>
      </c>
      <c r="BI42" s="28">
        <f t="shared" ref="BI42:BI49" si="22">F42*AP42</f>
        <v>0</v>
      </c>
      <c r="BJ42" s="28">
        <f t="shared" ref="BJ42:BJ49" si="23">F42*G42</f>
        <v>0</v>
      </c>
      <c r="BK42" s="28"/>
      <c r="BL42" s="28"/>
      <c r="BW42" s="28">
        <v>21</v>
      </c>
      <c r="BX42" s="4" t="s">
        <v>107</v>
      </c>
    </row>
    <row r="43" spans="1:76" x14ac:dyDescent="0.25">
      <c r="A43" s="2" t="s">
        <v>111</v>
      </c>
      <c r="B43" s="3" t="s">
        <v>112</v>
      </c>
      <c r="C43" s="230" t="s">
        <v>113</v>
      </c>
      <c r="D43" s="225"/>
      <c r="E43" s="3" t="s">
        <v>108</v>
      </c>
      <c r="F43" s="28">
        <v>1</v>
      </c>
      <c r="G43" s="28">
        <v>0</v>
      </c>
      <c r="H43" s="28">
        <f t="shared" si="0"/>
        <v>0</v>
      </c>
      <c r="I43" s="28">
        <f t="shared" si="1"/>
        <v>0</v>
      </c>
      <c r="J43" s="28">
        <f t="shared" si="2"/>
        <v>0</v>
      </c>
      <c r="K43" s="29" t="s">
        <v>109</v>
      </c>
      <c r="Z43" s="28">
        <f t="shared" si="3"/>
        <v>0</v>
      </c>
      <c r="AB43" s="28">
        <f t="shared" si="4"/>
        <v>0</v>
      </c>
      <c r="AC43" s="28">
        <f t="shared" si="5"/>
        <v>0</v>
      </c>
      <c r="AD43" s="28">
        <f t="shared" si="6"/>
        <v>0</v>
      </c>
      <c r="AE43" s="28">
        <f t="shared" si="7"/>
        <v>0</v>
      </c>
      <c r="AF43" s="28">
        <f t="shared" si="8"/>
        <v>0</v>
      </c>
      <c r="AG43" s="28">
        <f t="shared" si="9"/>
        <v>0</v>
      </c>
      <c r="AH43" s="28">
        <f t="shared" si="10"/>
        <v>0</v>
      </c>
      <c r="AI43" s="10" t="s">
        <v>56</v>
      </c>
      <c r="AJ43" s="28">
        <f t="shared" si="11"/>
        <v>0</v>
      </c>
      <c r="AK43" s="28">
        <f t="shared" si="12"/>
        <v>0</v>
      </c>
      <c r="AL43" s="28">
        <f t="shared" si="13"/>
        <v>0</v>
      </c>
      <c r="AN43" s="28">
        <v>21</v>
      </c>
      <c r="AO43" s="28">
        <f t="shared" si="14"/>
        <v>0</v>
      </c>
      <c r="AP43" s="28">
        <f t="shared" si="15"/>
        <v>0</v>
      </c>
      <c r="AQ43" s="30" t="s">
        <v>60</v>
      </c>
      <c r="AV43" s="28">
        <f t="shared" si="16"/>
        <v>0</v>
      </c>
      <c r="AW43" s="28">
        <f t="shared" si="17"/>
        <v>0</v>
      </c>
      <c r="AX43" s="28">
        <f t="shared" si="18"/>
        <v>0</v>
      </c>
      <c r="AY43" s="30" t="s">
        <v>110</v>
      </c>
      <c r="AZ43" s="30" t="s">
        <v>62</v>
      </c>
      <c r="BA43" s="10" t="s">
        <v>63</v>
      </c>
      <c r="BC43" s="28">
        <f t="shared" si="19"/>
        <v>0</v>
      </c>
      <c r="BD43" s="28">
        <f t="shared" si="20"/>
        <v>0</v>
      </c>
      <c r="BE43" s="28">
        <v>0</v>
      </c>
      <c r="BF43" s="28">
        <f>43</f>
        <v>43</v>
      </c>
      <c r="BH43" s="28">
        <f t="shared" si="21"/>
        <v>0</v>
      </c>
      <c r="BI43" s="28">
        <f t="shared" si="22"/>
        <v>0</v>
      </c>
      <c r="BJ43" s="28">
        <f t="shared" si="23"/>
        <v>0</v>
      </c>
      <c r="BK43" s="28"/>
      <c r="BL43" s="28"/>
      <c r="BW43" s="28">
        <v>21</v>
      </c>
      <c r="BX43" s="4" t="s">
        <v>113</v>
      </c>
    </row>
    <row r="44" spans="1:76" x14ac:dyDescent="0.25">
      <c r="A44" s="2" t="s">
        <v>114</v>
      </c>
      <c r="B44" s="3" t="s">
        <v>115</v>
      </c>
      <c r="C44" s="230" t="s">
        <v>116</v>
      </c>
      <c r="D44" s="225"/>
      <c r="E44" s="3" t="s">
        <v>108</v>
      </c>
      <c r="F44" s="28">
        <v>1</v>
      </c>
      <c r="G44" s="28">
        <v>0</v>
      </c>
      <c r="H44" s="28">
        <f t="shared" si="0"/>
        <v>0</v>
      </c>
      <c r="I44" s="28">
        <f t="shared" si="1"/>
        <v>0</v>
      </c>
      <c r="J44" s="28">
        <f t="shared" si="2"/>
        <v>0</v>
      </c>
      <c r="K44" s="29" t="s">
        <v>109</v>
      </c>
      <c r="Z44" s="28">
        <f t="shared" si="3"/>
        <v>0</v>
      </c>
      <c r="AB44" s="28">
        <f t="shared" si="4"/>
        <v>0</v>
      </c>
      <c r="AC44" s="28">
        <f t="shared" si="5"/>
        <v>0</v>
      </c>
      <c r="AD44" s="28">
        <f t="shared" si="6"/>
        <v>0</v>
      </c>
      <c r="AE44" s="28">
        <f t="shared" si="7"/>
        <v>0</v>
      </c>
      <c r="AF44" s="28">
        <f t="shared" si="8"/>
        <v>0</v>
      </c>
      <c r="AG44" s="28">
        <f t="shared" si="9"/>
        <v>0</v>
      </c>
      <c r="AH44" s="28">
        <f t="shared" si="10"/>
        <v>0</v>
      </c>
      <c r="AI44" s="10" t="s">
        <v>56</v>
      </c>
      <c r="AJ44" s="28">
        <f t="shared" si="11"/>
        <v>0</v>
      </c>
      <c r="AK44" s="28">
        <f t="shared" si="12"/>
        <v>0</v>
      </c>
      <c r="AL44" s="28">
        <f t="shared" si="13"/>
        <v>0</v>
      </c>
      <c r="AN44" s="28">
        <v>21</v>
      </c>
      <c r="AO44" s="28">
        <f t="shared" si="14"/>
        <v>0</v>
      </c>
      <c r="AP44" s="28">
        <f t="shared" si="15"/>
        <v>0</v>
      </c>
      <c r="AQ44" s="30" t="s">
        <v>60</v>
      </c>
      <c r="AV44" s="28">
        <f t="shared" si="16"/>
        <v>0</v>
      </c>
      <c r="AW44" s="28">
        <f t="shared" si="17"/>
        <v>0</v>
      </c>
      <c r="AX44" s="28">
        <f t="shared" si="18"/>
        <v>0</v>
      </c>
      <c r="AY44" s="30" t="s">
        <v>110</v>
      </c>
      <c r="AZ44" s="30" t="s">
        <v>62</v>
      </c>
      <c r="BA44" s="10" t="s">
        <v>63</v>
      </c>
      <c r="BC44" s="28">
        <f t="shared" si="19"/>
        <v>0</v>
      </c>
      <c r="BD44" s="28">
        <f t="shared" si="20"/>
        <v>0</v>
      </c>
      <c r="BE44" s="28">
        <v>0</v>
      </c>
      <c r="BF44" s="28">
        <f>44</f>
        <v>44</v>
      </c>
      <c r="BH44" s="28">
        <f t="shared" si="21"/>
        <v>0</v>
      </c>
      <c r="BI44" s="28">
        <f t="shared" si="22"/>
        <v>0</v>
      </c>
      <c r="BJ44" s="28">
        <f t="shared" si="23"/>
        <v>0</v>
      </c>
      <c r="BK44" s="28"/>
      <c r="BL44" s="28"/>
      <c r="BW44" s="28">
        <v>21</v>
      </c>
      <c r="BX44" s="4" t="s">
        <v>116</v>
      </c>
    </row>
    <row r="45" spans="1:76" x14ac:dyDescent="0.25">
      <c r="A45" s="2" t="s">
        <v>117</v>
      </c>
      <c r="B45" s="3" t="s">
        <v>118</v>
      </c>
      <c r="C45" s="230" t="s">
        <v>119</v>
      </c>
      <c r="D45" s="225"/>
      <c r="E45" s="3" t="s">
        <v>108</v>
      </c>
      <c r="F45" s="28">
        <v>1</v>
      </c>
      <c r="G45" s="28">
        <v>0</v>
      </c>
      <c r="H45" s="28">
        <f t="shared" si="0"/>
        <v>0</v>
      </c>
      <c r="I45" s="28">
        <f t="shared" si="1"/>
        <v>0</v>
      </c>
      <c r="J45" s="28">
        <f t="shared" si="2"/>
        <v>0</v>
      </c>
      <c r="K45" s="29" t="s">
        <v>109</v>
      </c>
      <c r="Z45" s="28">
        <f t="shared" si="3"/>
        <v>0</v>
      </c>
      <c r="AB45" s="28">
        <f t="shared" si="4"/>
        <v>0</v>
      </c>
      <c r="AC45" s="28">
        <f t="shared" si="5"/>
        <v>0</v>
      </c>
      <c r="AD45" s="28">
        <f t="shared" si="6"/>
        <v>0</v>
      </c>
      <c r="AE45" s="28">
        <f t="shared" si="7"/>
        <v>0</v>
      </c>
      <c r="AF45" s="28">
        <f t="shared" si="8"/>
        <v>0</v>
      </c>
      <c r="AG45" s="28">
        <f t="shared" si="9"/>
        <v>0</v>
      </c>
      <c r="AH45" s="28">
        <f t="shared" si="10"/>
        <v>0</v>
      </c>
      <c r="AI45" s="10" t="s">
        <v>56</v>
      </c>
      <c r="AJ45" s="28">
        <f t="shared" si="11"/>
        <v>0</v>
      </c>
      <c r="AK45" s="28">
        <f t="shared" si="12"/>
        <v>0</v>
      </c>
      <c r="AL45" s="28">
        <f t="shared" si="13"/>
        <v>0</v>
      </c>
      <c r="AN45" s="28">
        <v>21</v>
      </c>
      <c r="AO45" s="28">
        <f t="shared" si="14"/>
        <v>0</v>
      </c>
      <c r="AP45" s="28">
        <f t="shared" si="15"/>
        <v>0</v>
      </c>
      <c r="AQ45" s="30" t="s">
        <v>60</v>
      </c>
      <c r="AV45" s="28">
        <f t="shared" si="16"/>
        <v>0</v>
      </c>
      <c r="AW45" s="28">
        <f t="shared" si="17"/>
        <v>0</v>
      </c>
      <c r="AX45" s="28">
        <f t="shared" si="18"/>
        <v>0</v>
      </c>
      <c r="AY45" s="30" t="s">
        <v>110</v>
      </c>
      <c r="AZ45" s="30" t="s">
        <v>62</v>
      </c>
      <c r="BA45" s="10" t="s">
        <v>63</v>
      </c>
      <c r="BC45" s="28">
        <f t="shared" si="19"/>
        <v>0</v>
      </c>
      <c r="BD45" s="28">
        <f t="shared" si="20"/>
        <v>0</v>
      </c>
      <c r="BE45" s="28">
        <v>0</v>
      </c>
      <c r="BF45" s="28">
        <f>45</f>
        <v>45</v>
      </c>
      <c r="BH45" s="28">
        <f t="shared" si="21"/>
        <v>0</v>
      </c>
      <c r="BI45" s="28">
        <f t="shared" si="22"/>
        <v>0</v>
      </c>
      <c r="BJ45" s="28">
        <f t="shared" si="23"/>
        <v>0</v>
      </c>
      <c r="BK45" s="28"/>
      <c r="BL45" s="28"/>
      <c r="BW45" s="28">
        <v>21</v>
      </c>
      <c r="BX45" s="4" t="s">
        <v>119</v>
      </c>
    </row>
    <row r="46" spans="1:76" x14ac:dyDescent="0.25">
      <c r="A46" s="2" t="s">
        <v>120</v>
      </c>
      <c r="B46" s="3" t="s">
        <v>121</v>
      </c>
      <c r="C46" s="230" t="s">
        <v>122</v>
      </c>
      <c r="D46" s="225"/>
      <c r="E46" s="3" t="s">
        <v>108</v>
      </c>
      <c r="F46" s="28">
        <v>1</v>
      </c>
      <c r="G46" s="28">
        <v>0</v>
      </c>
      <c r="H46" s="28">
        <f t="shared" si="0"/>
        <v>0</v>
      </c>
      <c r="I46" s="28">
        <f t="shared" si="1"/>
        <v>0</v>
      </c>
      <c r="J46" s="28">
        <f t="shared" si="2"/>
        <v>0</v>
      </c>
      <c r="K46" s="29" t="s">
        <v>109</v>
      </c>
      <c r="Z46" s="28">
        <f t="shared" si="3"/>
        <v>0</v>
      </c>
      <c r="AB46" s="28">
        <f t="shared" si="4"/>
        <v>0</v>
      </c>
      <c r="AC46" s="28">
        <f t="shared" si="5"/>
        <v>0</v>
      </c>
      <c r="AD46" s="28">
        <f t="shared" si="6"/>
        <v>0</v>
      </c>
      <c r="AE46" s="28">
        <f t="shared" si="7"/>
        <v>0</v>
      </c>
      <c r="AF46" s="28">
        <f t="shared" si="8"/>
        <v>0</v>
      </c>
      <c r="AG46" s="28">
        <f t="shared" si="9"/>
        <v>0</v>
      </c>
      <c r="AH46" s="28">
        <f t="shared" si="10"/>
        <v>0</v>
      </c>
      <c r="AI46" s="10" t="s">
        <v>56</v>
      </c>
      <c r="AJ46" s="28">
        <f t="shared" si="11"/>
        <v>0</v>
      </c>
      <c r="AK46" s="28">
        <f t="shared" si="12"/>
        <v>0</v>
      </c>
      <c r="AL46" s="28">
        <f t="shared" si="13"/>
        <v>0</v>
      </c>
      <c r="AN46" s="28">
        <v>21</v>
      </c>
      <c r="AO46" s="28">
        <f t="shared" si="14"/>
        <v>0</v>
      </c>
      <c r="AP46" s="28">
        <f t="shared" si="15"/>
        <v>0</v>
      </c>
      <c r="AQ46" s="30" t="s">
        <v>60</v>
      </c>
      <c r="AV46" s="28">
        <f t="shared" si="16"/>
        <v>0</v>
      </c>
      <c r="AW46" s="28">
        <f t="shared" si="17"/>
        <v>0</v>
      </c>
      <c r="AX46" s="28">
        <f t="shared" si="18"/>
        <v>0</v>
      </c>
      <c r="AY46" s="30" t="s">
        <v>110</v>
      </c>
      <c r="AZ46" s="30" t="s">
        <v>62</v>
      </c>
      <c r="BA46" s="10" t="s">
        <v>63</v>
      </c>
      <c r="BC46" s="28">
        <f t="shared" si="19"/>
        <v>0</v>
      </c>
      <c r="BD46" s="28">
        <f t="shared" si="20"/>
        <v>0</v>
      </c>
      <c r="BE46" s="28">
        <v>0</v>
      </c>
      <c r="BF46" s="28">
        <f>46</f>
        <v>46</v>
      </c>
      <c r="BH46" s="28">
        <f t="shared" si="21"/>
        <v>0</v>
      </c>
      <c r="BI46" s="28">
        <f t="shared" si="22"/>
        <v>0</v>
      </c>
      <c r="BJ46" s="28">
        <f t="shared" si="23"/>
        <v>0</v>
      </c>
      <c r="BK46" s="28"/>
      <c r="BL46" s="28"/>
      <c r="BW46" s="28">
        <v>21</v>
      </c>
      <c r="BX46" s="4" t="s">
        <v>122</v>
      </c>
    </row>
    <row r="47" spans="1:76" x14ac:dyDescent="0.25">
      <c r="A47" s="2" t="s">
        <v>123</v>
      </c>
      <c r="B47" s="3" t="s">
        <v>124</v>
      </c>
      <c r="C47" s="230" t="s">
        <v>125</v>
      </c>
      <c r="D47" s="225"/>
      <c r="E47" s="3" t="s">
        <v>108</v>
      </c>
      <c r="F47" s="28">
        <v>1</v>
      </c>
      <c r="G47" s="28">
        <v>0</v>
      </c>
      <c r="H47" s="28">
        <f t="shared" si="0"/>
        <v>0</v>
      </c>
      <c r="I47" s="28">
        <f t="shared" si="1"/>
        <v>0</v>
      </c>
      <c r="J47" s="28">
        <f t="shared" si="2"/>
        <v>0</v>
      </c>
      <c r="K47" s="29" t="s">
        <v>109</v>
      </c>
      <c r="Z47" s="28">
        <f t="shared" si="3"/>
        <v>0</v>
      </c>
      <c r="AB47" s="28">
        <f t="shared" si="4"/>
        <v>0</v>
      </c>
      <c r="AC47" s="28">
        <f t="shared" si="5"/>
        <v>0</v>
      </c>
      <c r="AD47" s="28">
        <f t="shared" si="6"/>
        <v>0</v>
      </c>
      <c r="AE47" s="28">
        <f t="shared" si="7"/>
        <v>0</v>
      </c>
      <c r="AF47" s="28">
        <f t="shared" si="8"/>
        <v>0</v>
      </c>
      <c r="AG47" s="28">
        <f t="shared" si="9"/>
        <v>0</v>
      </c>
      <c r="AH47" s="28">
        <f t="shared" si="10"/>
        <v>0</v>
      </c>
      <c r="AI47" s="10" t="s">
        <v>56</v>
      </c>
      <c r="AJ47" s="28">
        <f t="shared" si="11"/>
        <v>0</v>
      </c>
      <c r="AK47" s="28">
        <f t="shared" si="12"/>
        <v>0</v>
      </c>
      <c r="AL47" s="28">
        <f t="shared" si="13"/>
        <v>0</v>
      </c>
      <c r="AN47" s="28">
        <v>21</v>
      </c>
      <c r="AO47" s="28">
        <f t="shared" si="14"/>
        <v>0</v>
      </c>
      <c r="AP47" s="28">
        <f t="shared" si="15"/>
        <v>0</v>
      </c>
      <c r="AQ47" s="30" t="s">
        <v>60</v>
      </c>
      <c r="AV47" s="28">
        <f t="shared" si="16"/>
        <v>0</v>
      </c>
      <c r="AW47" s="28">
        <f t="shared" si="17"/>
        <v>0</v>
      </c>
      <c r="AX47" s="28">
        <f t="shared" si="18"/>
        <v>0</v>
      </c>
      <c r="AY47" s="30" t="s">
        <v>110</v>
      </c>
      <c r="AZ47" s="30" t="s">
        <v>62</v>
      </c>
      <c r="BA47" s="10" t="s">
        <v>63</v>
      </c>
      <c r="BC47" s="28">
        <f t="shared" si="19"/>
        <v>0</v>
      </c>
      <c r="BD47" s="28">
        <f t="shared" si="20"/>
        <v>0</v>
      </c>
      <c r="BE47" s="28">
        <v>0</v>
      </c>
      <c r="BF47" s="28">
        <f>47</f>
        <v>47</v>
      </c>
      <c r="BH47" s="28">
        <f t="shared" si="21"/>
        <v>0</v>
      </c>
      <c r="BI47" s="28">
        <f t="shared" si="22"/>
        <v>0</v>
      </c>
      <c r="BJ47" s="28">
        <f t="shared" si="23"/>
        <v>0</v>
      </c>
      <c r="BK47" s="28"/>
      <c r="BL47" s="28"/>
      <c r="BW47" s="28">
        <v>21</v>
      </c>
      <c r="BX47" s="4" t="s">
        <v>125</v>
      </c>
    </row>
    <row r="48" spans="1:76" x14ac:dyDescent="0.25">
      <c r="A48" s="2" t="s">
        <v>126</v>
      </c>
      <c r="B48" s="3" t="s">
        <v>127</v>
      </c>
      <c r="C48" s="230" t="s">
        <v>128</v>
      </c>
      <c r="D48" s="225"/>
      <c r="E48" s="3" t="s">
        <v>108</v>
      </c>
      <c r="F48" s="28">
        <v>1</v>
      </c>
      <c r="G48" s="28">
        <v>0</v>
      </c>
      <c r="H48" s="28">
        <f t="shared" si="0"/>
        <v>0</v>
      </c>
      <c r="I48" s="28">
        <f t="shared" si="1"/>
        <v>0</v>
      </c>
      <c r="J48" s="28">
        <f t="shared" si="2"/>
        <v>0</v>
      </c>
      <c r="K48" s="29" t="s">
        <v>109</v>
      </c>
      <c r="Z48" s="28">
        <f t="shared" si="3"/>
        <v>0</v>
      </c>
      <c r="AB48" s="28">
        <f t="shared" si="4"/>
        <v>0</v>
      </c>
      <c r="AC48" s="28">
        <f t="shared" si="5"/>
        <v>0</v>
      </c>
      <c r="AD48" s="28">
        <f t="shared" si="6"/>
        <v>0</v>
      </c>
      <c r="AE48" s="28">
        <f t="shared" si="7"/>
        <v>0</v>
      </c>
      <c r="AF48" s="28">
        <f t="shared" si="8"/>
        <v>0</v>
      </c>
      <c r="AG48" s="28">
        <f t="shared" si="9"/>
        <v>0</v>
      </c>
      <c r="AH48" s="28">
        <f t="shared" si="10"/>
        <v>0</v>
      </c>
      <c r="AI48" s="10" t="s">
        <v>56</v>
      </c>
      <c r="AJ48" s="28">
        <f t="shared" si="11"/>
        <v>0</v>
      </c>
      <c r="AK48" s="28">
        <f t="shared" si="12"/>
        <v>0</v>
      </c>
      <c r="AL48" s="28">
        <f t="shared" si="13"/>
        <v>0</v>
      </c>
      <c r="AN48" s="28">
        <v>21</v>
      </c>
      <c r="AO48" s="28">
        <f t="shared" si="14"/>
        <v>0</v>
      </c>
      <c r="AP48" s="28">
        <f t="shared" si="15"/>
        <v>0</v>
      </c>
      <c r="AQ48" s="30" t="s">
        <v>60</v>
      </c>
      <c r="AV48" s="28">
        <f t="shared" si="16"/>
        <v>0</v>
      </c>
      <c r="AW48" s="28">
        <f t="shared" si="17"/>
        <v>0</v>
      </c>
      <c r="AX48" s="28">
        <f t="shared" si="18"/>
        <v>0</v>
      </c>
      <c r="AY48" s="30" t="s">
        <v>110</v>
      </c>
      <c r="AZ48" s="30" t="s">
        <v>62</v>
      </c>
      <c r="BA48" s="10" t="s">
        <v>63</v>
      </c>
      <c r="BC48" s="28">
        <f t="shared" si="19"/>
        <v>0</v>
      </c>
      <c r="BD48" s="28">
        <f t="shared" si="20"/>
        <v>0</v>
      </c>
      <c r="BE48" s="28">
        <v>0</v>
      </c>
      <c r="BF48" s="28">
        <f>48</f>
        <v>48</v>
      </c>
      <c r="BH48" s="28">
        <f t="shared" si="21"/>
        <v>0</v>
      </c>
      <c r="BI48" s="28">
        <f t="shared" si="22"/>
        <v>0</v>
      </c>
      <c r="BJ48" s="28">
        <f t="shared" si="23"/>
        <v>0</v>
      </c>
      <c r="BK48" s="28"/>
      <c r="BL48" s="28"/>
      <c r="BW48" s="28">
        <v>21</v>
      </c>
      <c r="BX48" s="4" t="s">
        <v>128</v>
      </c>
    </row>
    <row r="49" spans="1:76" x14ac:dyDescent="0.25">
      <c r="A49" s="2" t="s">
        <v>129</v>
      </c>
      <c r="B49" s="3" t="s">
        <v>130</v>
      </c>
      <c r="C49" s="230" t="s">
        <v>131</v>
      </c>
      <c r="D49" s="225"/>
      <c r="E49" s="3" t="s">
        <v>108</v>
      </c>
      <c r="F49" s="28">
        <v>1</v>
      </c>
      <c r="G49" s="28">
        <v>0</v>
      </c>
      <c r="H49" s="28">
        <f t="shared" si="0"/>
        <v>0</v>
      </c>
      <c r="I49" s="28">
        <f t="shared" si="1"/>
        <v>0</v>
      </c>
      <c r="J49" s="28">
        <f t="shared" si="2"/>
        <v>0</v>
      </c>
      <c r="K49" s="29" t="s">
        <v>109</v>
      </c>
      <c r="Z49" s="28">
        <f t="shared" si="3"/>
        <v>0</v>
      </c>
      <c r="AB49" s="28">
        <f t="shared" si="4"/>
        <v>0</v>
      </c>
      <c r="AC49" s="28">
        <f t="shared" si="5"/>
        <v>0</v>
      </c>
      <c r="AD49" s="28">
        <f t="shared" si="6"/>
        <v>0</v>
      </c>
      <c r="AE49" s="28">
        <f t="shared" si="7"/>
        <v>0</v>
      </c>
      <c r="AF49" s="28">
        <f t="shared" si="8"/>
        <v>0</v>
      </c>
      <c r="AG49" s="28">
        <f t="shared" si="9"/>
        <v>0</v>
      </c>
      <c r="AH49" s="28">
        <f t="shared" si="10"/>
        <v>0</v>
      </c>
      <c r="AI49" s="10" t="s">
        <v>56</v>
      </c>
      <c r="AJ49" s="28">
        <f t="shared" si="11"/>
        <v>0</v>
      </c>
      <c r="AK49" s="28">
        <f t="shared" si="12"/>
        <v>0</v>
      </c>
      <c r="AL49" s="28">
        <f t="shared" si="13"/>
        <v>0</v>
      </c>
      <c r="AN49" s="28">
        <v>21</v>
      </c>
      <c r="AO49" s="28">
        <f t="shared" si="14"/>
        <v>0</v>
      </c>
      <c r="AP49" s="28">
        <f t="shared" si="15"/>
        <v>0</v>
      </c>
      <c r="AQ49" s="30" t="s">
        <v>60</v>
      </c>
      <c r="AV49" s="28">
        <f t="shared" si="16"/>
        <v>0</v>
      </c>
      <c r="AW49" s="28">
        <f t="shared" si="17"/>
        <v>0</v>
      </c>
      <c r="AX49" s="28">
        <f t="shared" si="18"/>
        <v>0</v>
      </c>
      <c r="AY49" s="30" t="s">
        <v>110</v>
      </c>
      <c r="AZ49" s="30" t="s">
        <v>62</v>
      </c>
      <c r="BA49" s="10" t="s">
        <v>63</v>
      </c>
      <c r="BC49" s="28">
        <f t="shared" si="19"/>
        <v>0</v>
      </c>
      <c r="BD49" s="28">
        <f t="shared" si="20"/>
        <v>0</v>
      </c>
      <c r="BE49" s="28">
        <v>0</v>
      </c>
      <c r="BF49" s="28">
        <f>49</f>
        <v>49</v>
      </c>
      <c r="BH49" s="28">
        <f t="shared" si="21"/>
        <v>0</v>
      </c>
      <c r="BI49" s="28">
        <f t="shared" si="22"/>
        <v>0</v>
      </c>
      <c r="BJ49" s="28">
        <f t="shared" si="23"/>
        <v>0</v>
      </c>
      <c r="BK49" s="28"/>
      <c r="BL49" s="28"/>
      <c r="BW49" s="28">
        <v>21</v>
      </c>
      <c r="BX49" s="4" t="s">
        <v>131</v>
      </c>
    </row>
    <row r="50" spans="1:76" x14ac:dyDescent="0.25">
      <c r="A50" s="24" t="s">
        <v>52</v>
      </c>
      <c r="B50" s="25" t="s">
        <v>132</v>
      </c>
      <c r="C50" s="246" t="s">
        <v>133</v>
      </c>
      <c r="D50" s="247"/>
      <c r="E50" s="26" t="s">
        <v>33</v>
      </c>
      <c r="F50" s="26" t="s">
        <v>33</v>
      </c>
      <c r="G50" s="26" t="s">
        <v>33</v>
      </c>
      <c r="H50" s="1">
        <f>SUM(H51:H77)</f>
        <v>0</v>
      </c>
      <c r="I50" s="1">
        <f>SUM(I51:I77)</f>
        <v>0</v>
      </c>
      <c r="J50" s="1">
        <f>SUM(J51:J77)</f>
        <v>0</v>
      </c>
      <c r="K50" s="27" t="s">
        <v>52</v>
      </c>
      <c r="AI50" s="10" t="s">
        <v>56</v>
      </c>
      <c r="AS50" s="1">
        <f>SUM(AJ51:AJ77)</f>
        <v>0</v>
      </c>
      <c r="AT50" s="1">
        <f>SUM(AK51:AK77)</f>
        <v>0</v>
      </c>
      <c r="AU50" s="1">
        <f>SUM(AL51:AL77)</f>
        <v>0</v>
      </c>
    </row>
    <row r="51" spans="1:76" x14ac:dyDescent="0.25">
      <c r="A51" s="2" t="s">
        <v>134</v>
      </c>
      <c r="B51" s="3" t="s">
        <v>135</v>
      </c>
      <c r="C51" s="230" t="s">
        <v>136</v>
      </c>
      <c r="D51" s="225"/>
      <c r="E51" s="3" t="s">
        <v>90</v>
      </c>
      <c r="F51" s="28">
        <v>76.344489999999993</v>
      </c>
      <c r="G51" s="28">
        <v>0</v>
      </c>
      <c r="H51" s="28">
        <f>ROUND(F51*AO51,2)</f>
        <v>0</v>
      </c>
      <c r="I51" s="28">
        <f>ROUND(F51*AP51,2)</f>
        <v>0</v>
      </c>
      <c r="J51" s="28">
        <f>ROUND(F51*G51,2)</f>
        <v>0</v>
      </c>
      <c r="K51" s="29" t="s">
        <v>70</v>
      </c>
      <c r="Z51" s="28">
        <f>ROUND(IF(AQ51="5",BJ51,0),2)</f>
        <v>0</v>
      </c>
      <c r="AB51" s="28">
        <f>ROUND(IF(AQ51="1",BH51,0),2)</f>
        <v>0</v>
      </c>
      <c r="AC51" s="28">
        <f>ROUND(IF(AQ51="1",BI51,0),2)</f>
        <v>0</v>
      </c>
      <c r="AD51" s="28">
        <f>ROUND(IF(AQ51="7",BH51,0),2)</f>
        <v>0</v>
      </c>
      <c r="AE51" s="28">
        <f>ROUND(IF(AQ51="7",BI51,0),2)</f>
        <v>0</v>
      </c>
      <c r="AF51" s="28">
        <f>ROUND(IF(AQ51="2",BH51,0),2)</f>
        <v>0</v>
      </c>
      <c r="AG51" s="28">
        <f>ROUND(IF(AQ51="2",BI51,0),2)</f>
        <v>0</v>
      </c>
      <c r="AH51" s="28">
        <f>ROUND(IF(AQ51="0",BJ51,0),2)</f>
        <v>0</v>
      </c>
      <c r="AI51" s="10" t="s">
        <v>56</v>
      </c>
      <c r="AJ51" s="28">
        <f>IF(AN51=0,J51,0)</f>
        <v>0</v>
      </c>
      <c r="AK51" s="28">
        <f>IF(AN51=12,J51,0)</f>
        <v>0</v>
      </c>
      <c r="AL51" s="28">
        <f>IF(AN51=21,J51,0)</f>
        <v>0</v>
      </c>
      <c r="AN51" s="28">
        <v>21</v>
      </c>
      <c r="AO51" s="28">
        <f>G51*0</f>
        <v>0</v>
      </c>
      <c r="AP51" s="28">
        <f>G51*(1-0)</f>
        <v>0</v>
      </c>
      <c r="AQ51" s="30" t="s">
        <v>91</v>
      </c>
      <c r="AV51" s="28">
        <f>ROUND(AW51+AX51,2)</f>
        <v>0</v>
      </c>
      <c r="AW51" s="28">
        <f>ROUND(F51*AO51,2)</f>
        <v>0</v>
      </c>
      <c r="AX51" s="28">
        <f>ROUND(F51*AP51,2)</f>
        <v>0</v>
      </c>
      <c r="AY51" s="30" t="s">
        <v>137</v>
      </c>
      <c r="AZ51" s="30" t="s">
        <v>62</v>
      </c>
      <c r="BA51" s="10" t="s">
        <v>63</v>
      </c>
      <c r="BC51" s="28">
        <f>AW51+AX51</f>
        <v>0</v>
      </c>
      <c r="BD51" s="28">
        <f>G51/(100-BE51)*100</f>
        <v>0</v>
      </c>
      <c r="BE51" s="28">
        <v>0</v>
      </c>
      <c r="BF51" s="28">
        <f>51</f>
        <v>51</v>
      </c>
      <c r="BH51" s="28">
        <f>F51*AO51</f>
        <v>0</v>
      </c>
      <c r="BI51" s="28">
        <f>F51*AP51</f>
        <v>0</v>
      </c>
      <c r="BJ51" s="28">
        <f>F51*G51</f>
        <v>0</v>
      </c>
      <c r="BK51" s="28"/>
      <c r="BL51" s="28"/>
      <c r="BW51" s="28">
        <v>21</v>
      </c>
      <c r="BX51" s="4" t="s">
        <v>136</v>
      </c>
    </row>
    <row r="52" spans="1:76" ht="38.25" x14ac:dyDescent="0.25">
      <c r="A52" s="31"/>
      <c r="B52" s="37" t="s">
        <v>85</v>
      </c>
      <c r="C52" s="248" t="s">
        <v>138</v>
      </c>
      <c r="D52" s="249"/>
      <c r="E52" s="249"/>
      <c r="F52" s="249"/>
      <c r="G52" s="249"/>
      <c r="H52" s="249"/>
      <c r="I52" s="249"/>
      <c r="J52" s="249"/>
      <c r="K52" s="250"/>
      <c r="BX52" s="32" t="s">
        <v>138</v>
      </c>
    </row>
    <row r="53" spans="1:76" x14ac:dyDescent="0.25">
      <c r="A53" s="2" t="s">
        <v>139</v>
      </c>
      <c r="B53" s="3" t="s">
        <v>140</v>
      </c>
      <c r="C53" s="230" t="s">
        <v>141</v>
      </c>
      <c r="D53" s="225"/>
      <c r="E53" s="3" t="s">
        <v>90</v>
      </c>
      <c r="F53" s="28">
        <v>229.03346999999999</v>
      </c>
      <c r="G53" s="28">
        <v>0</v>
      </c>
      <c r="H53" s="28">
        <f>ROUND(F53*AO53,2)</f>
        <v>0</v>
      </c>
      <c r="I53" s="28">
        <f>ROUND(F53*AP53,2)</f>
        <v>0</v>
      </c>
      <c r="J53" s="28">
        <f>ROUND(F53*G53,2)</f>
        <v>0</v>
      </c>
      <c r="K53" s="29" t="s">
        <v>70</v>
      </c>
      <c r="Z53" s="28">
        <f>ROUND(IF(AQ53="5",BJ53,0),2)</f>
        <v>0</v>
      </c>
      <c r="AB53" s="28">
        <f>ROUND(IF(AQ53="1",BH53,0),2)</f>
        <v>0</v>
      </c>
      <c r="AC53" s="28">
        <f>ROUND(IF(AQ53="1",BI53,0),2)</f>
        <v>0</v>
      </c>
      <c r="AD53" s="28">
        <f>ROUND(IF(AQ53="7",BH53,0),2)</f>
        <v>0</v>
      </c>
      <c r="AE53" s="28">
        <f>ROUND(IF(AQ53="7",BI53,0),2)</f>
        <v>0</v>
      </c>
      <c r="AF53" s="28">
        <f>ROUND(IF(AQ53="2",BH53,0),2)</f>
        <v>0</v>
      </c>
      <c r="AG53" s="28">
        <f>ROUND(IF(AQ53="2",BI53,0),2)</f>
        <v>0</v>
      </c>
      <c r="AH53" s="28">
        <f>ROUND(IF(AQ53="0",BJ53,0),2)</f>
        <v>0</v>
      </c>
      <c r="AI53" s="10" t="s">
        <v>56</v>
      </c>
      <c r="AJ53" s="28">
        <f>IF(AN53=0,J53,0)</f>
        <v>0</v>
      </c>
      <c r="AK53" s="28">
        <f>IF(AN53=12,J53,0)</f>
        <v>0</v>
      </c>
      <c r="AL53" s="28">
        <f>IF(AN53=21,J53,0)</f>
        <v>0</v>
      </c>
      <c r="AN53" s="28">
        <v>21</v>
      </c>
      <c r="AO53" s="28">
        <f>G53*0</f>
        <v>0</v>
      </c>
      <c r="AP53" s="28">
        <f>G53*(1-0)</f>
        <v>0</v>
      </c>
      <c r="AQ53" s="30" t="s">
        <v>91</v>
      </c>
      <c r="AV53" s="28">
        <f>ROUND(AW53+AX53,2)</f>
        <v>0</v>
      </c>
      <c r="AW53" s="28">
        <f>ROUND(F53*AO53,2)</f>
        <v>0</v>
      </c>
      <c r="AX53" s="28">
        <f>ROUND(F53*AP53,2)</f>
        <v>0</v>
      </c>
      <c r="AY53" s="30" t="s">
        <v>137</v>
      </c>
      <c r="AZ53" s="30" t="s">
        <v>62</v>
      </c>
      <c r="BA53" s="10" t="s">
        <v>63</v>
      </c>
      <c r="BC53" s="28">
        <f>AW53+AX53</f>
        <v>0</v>
      </c>
      <c r="BD53" s="28">
        <f>G53/(100-BE53)*100</f>
        <v>0</v>
      </c>
      <c r="BE53" s="28">
        <v>0</v>
      </c>
      <c r="BF53" s="28">
        <f>53</f>
        <v>53</v>
      </c>
      <c r="BH53" s="28">
        <f>F53*AO53</f>
        <v>0</v>
      </c>
      <c r="BI53" s="28">
        <f>F53*AP53</f>
        <v>0</v>
      </c>
      <c r="BJ53" s="28">
        <f>F53*G53</f>
        <v>0</v>
      </c>
      <c r="BK53" s="28"/>
      <c r="BL53" s="28"/>
      <c r="BW53" s="28">
        <v>21</v>
      </c>
      <c r="BX53" s="4" t="s">
        <v>141</v>
      </c>
    </row>
    <row r="54" spans="1:76" x14ac:dyDescent="0.25">
      <c r="A54" s="31"/>
      <c r="C54" s="34" t="s">
        <v>142</v>
      </c>
      <c r="D54" s="33" t="s">
        <v>52</v>
      </c>
      <c r="F54" s="35">
        <v>229.03346999999999</v>
      </c>
      <c r="K54" s="36"/>
    </row>
    <row r="55" spans="1:76" x14ac:dyDescent="0.25">
      <c r="A55" s="2" t="s">
        <v>143</v>
      </c>
      <c r="B55" s="3" t="s">
        <v>144</v>
      </c>
      <c r="C55" s="230" t="s">
        <v>145</v>
      </c>
      <c r="D55" s="225"/>
      <c r="E55" s="3" t="s">
        <v>90</v>
      </c>
      <c r="F55" s="28">
        <v>76.344489999999993</v>
      </c>
      <c r="G55" s="28">
        <v>0</v>
      </c>
      <c r="H55" s="28">
        <f>ROUND(F55*AO55,2)</f>
        <v>0</v>
      </c>
      <c r="I55" s="28">
        <f>ROUND(F55*AP55,2)</f>
        <v>0</v>
      </c>
      <c r="J55" s="28">
        <f>ROUND(F55*G55,2)</f>
        <v>0</v>
      </c>
      <c r="K55" s="29" t="s">
        <v>146</v>
      </c>
      <c r="Z55" s="28">
        <f>ROUND(IF(AQ55="5",BJ55,0),2)</f>
        <v>0</v>
      </c>
      <c r="AB55" s="28">
        <f>ROUND(IF(AQ55="1",BH55,0),2)</f>
        <v>0</v>
      </c>
      <c r="AC55" s="28">
        <f>ROUND(IF(AQ55="1",BI55,0),2)</f>
        <v>0</v>
      </c>
      <c r="AD55" s="28">
        <f>ROUND(IF(AQ55="7",BH55,0),2)</f>
        <v>0</v>
      </c>
      <c r="AE55" s="28">
        <f>ROUND(IF(AQ55="7",BI55,0),2)</f>
        <v>0</v>
      </c>
      <c r="AF55" s="28">
        <f>ROUND(IF(AQ55="2",BH55,0),2)</f>
        <v>0</v>
      </c>
      <c r="AG55" s="28">
        <f>ROUND(IF(AQ55="2",BI55,0),2)</f>
        <v>0</v>
      </c>
      <c r="AH55" s="28">
        <f>ROUND(IF(AQ55="0",BJ55,0),2)</f>
        <v>0</v>
      </c>
      <c r="AI55" s="10" t="s">
        <v>56</v>
      </c>
      <c r="AJ55" s="28">
        <f>IF(AN55=0,J55,0)</f>
        <v>0</v>
      </c>
      <c r="AK55" s="28">
        <f>IF(AN55=12,J55,0)</f>
        <v>0</v>
      </c>
      <c r="AL55" s="28">
        <f>IF(AN55=21,J55,0)</f>
        <v>0</v>
      </c>
      <c r="AN55" s="28">
        <v>21</v>
      </c>
      <c r="AO55" s="28">
        <f>G55*0</f>
        <v>0</v>
      </c>
      <c r="AP55" s="28">
        <f>G55*(1-0)</f>
        <v>0</v>
      </c>
      <c r="AQ55" s="30" t="s">
        <v>91</v>
      </c>
      <c r="AV55" s="28">
        <f>ROUND(AW55+AX55,2)</f>
        <v>0</v>
      </c>
      <c r="AW55" s="28">
        <f>ROUND(F55*AO55,2)</f>
        <v>0</v>
      </c>
      <c r="AX55" s="28">
        <f>ROUND(F55*AP55,2)</f>
        <v>0</v>
      </c>
      <c r="AY55" s="30" t="s">
        <v>137</v>
      </c>
      <c r="AZ55" s="30" t="s">
        <v>62</v>
      </c>
      <c r="BA55" s="10" t="s">
        <v>63</v>
      </c>
      <c r="BC55" s="28">
        <f>AW55+AX55</f>
        <v>0</v>
      </c>
      <c r="BD55" s="28">
        <f>G55/(100-BE55)*100</f>
        <v>0</v>
      </c>
      <c r="BE55" s="28">
        <v>0</v>
      </c>
      <c r="BF55" s="28">
        <f>55</f>
        <v>55</v>
      </c>
      <c r="BH55" s="28">
        <f>F55*AO55</f>
        <v>0</v>
      </c>
      <c r="BI55" s="28">
        <f>F55*AP55</f>
        <v>0</v>
      </c>
      <c r="BJ55" s="28">
        <f>F55*G55</f>
        <v>0</v>
      </c>
      <c r="BK55" s="28"/>
      <c r="BL55" s="28"/>
      <c r="BW55" s="28">
        <v>21</v>
      </c>
      <c r="BX55" s="4" t="s">
        <v>145</v>
      </c>
    </row>
    <row r="56" spans="1:76" x14ac:dyDescent="0.25">
      <c r="A56" s="31"/>
      <c r="C56" s="34" t="s">
        <v>147</v>
      </c>
      <c r="D56" s="33" t="s">
        <v>52</v>
      </c>
      <c r="F56" s="35">
        <v>76.344489999999993</v>
      </c>
      <c r="K56" s="36"/>
    </row>
    <row r="57" spans="1:76" ht="13.5" customHeight="1" x14ac:dyDescent="0.25">
      <c r="A57" s="31"/>
      <c r="B57" s="37" t="s">
        <v>148</v>
      </c>
      <c r="C57" s="248" t="s">
        <v>149</v>
      </c>
      <c r="D57" s="249"/>
      <c r="E57" s="249"/>
      <c r="F57" s="249"/>
      <c r="G57" s="249"/>
      <c r="H57" s="249"/>
      <c r="I57" s="249"/>
      <c r="J57" s="249"/>
      <c r="K57" s="250"/>
    </row>
    <row r="58" spans="1:76" x14ac:dyDescent="0.25">
      <c r="A58" s="2" t="s">
        <v>150</v>
      </c>
      <c r="B58" s="3" t="s">
        <v>151</v>
      </c>
      <c r="C58" s="230" t="s">
        <v>152</v>
      </c>
      <c r="D58" s="225"/>
      <c r="E58" s="3" t="s">
        <v>90</v>
      </c>
      <c r="F58" s="28">
        <v>916.13387999999998</v>
      </c>
      <c r="G58" s="28">
        <v>0</v>
      </c>
      <c r="H58" s="28">
        <f>ROUND(F58*AO58,2)</f>
        <v>0</v>
      </c>
      <c r="I58" s="28">
        <f>ROUND(F58*AP58,2)</f>
        <v>0</v>
      </c>
      <c r="J58" s="28">
        <f>ROUND(F58*G58,2)</f>
        <v>0</v>
      </c>
      <c r="K58" s="29" t="s">
        <v>146</v>
      </c>
      <c r="Z58" s="28">
        <f>ROUND(IF(AQ58="5",BJ58,0),2)</f>
        <v>0</v>
      </c>
      <c r="AB58" s="28">
        <f>ROUND(IF(AQ58="1",BH58,0),2)</f>
        <v>0</v>
      </c>
      <c r="AC58" s="28">
        <f>ROUND(IF(AQ58="1",BI58,0),2)</f>
        <v>0</v>
      </c>
      <c r="AD58" s="28">
        <f>ROUND(IF(AQ58="7",BH58,0),2)</f>
        <v>0</v>
      </c>
      <c r="AE58" s="28">
        <f>ROUND(IF(AQ58="7",BI58,0),2)</f>
        <v>0</v>
      </c>
      <c r="AF58" s="28">
        <f>ROUND(IF(AQ58="2",BH58,0),2)</f>
        <v>0</v>
      </c>
      <c r="AG58" s="28">
        <f>ROUND(IF(AQ58="2",BI58,0),2)</f>
        <v>0</v>
      </c>
      <c r="AH58" s="28">
        <f>ROUND(IF(AQ58="0",BJ58,0),2)</f>
        <v>0</v>
      </c>
      <c r="AI58" s="10" t="s">
        <v>56</v>
      </c>
      <c r="AJ58" s="28">
        <f>IF(AN58=0,J58,0)</f>
        <v>0</v>
      </c>
      <c r="AK58" s="28">
        <f>IF(AN58=12,J58,0)</f>
        <v>0</v>
      </c>
      <c r="AL58" s="28">
        <f>IF(AN58=21,J58,0)</f>
        <v>0</v>
      </c>
      <c r="AN58" s="28">
        <v>21</v>
      </c>
      <c r="AO58" s="28">
        <f>G58*0</f>
        <v>0</v>
      </c>
      <c r="AP58" s="28">
        <f>G58*(1-0)</f>
        <v>0</v>
      </c>
      <c r="AQ58" s="30" t="s">
        <v>91</v>
      </c>
      <c r="AV58" s="28">
        <f>ROUND(AW58+AX58,2)</f>
        <v>0</v>
      </c>
      <c r="AW58" s="28">
        <f>ROUND(F58*AO58,2)</f>
        <v>0</v>
      </c>
      <c r="AX58" s="28">
        <f>ROUND(F58*AP58,2)</f>
        <v>0</v>
      </c>
      <c r="AY58" s="30" t="s">
        <v>137</v>
      </c>
      <c r="AZ58" s="30" t="s">
        <v>62</v>
      </c>
      <c r="BA58" s="10" t="s">
        <v>63</v>
      </c>
      <c r="BC58" s="28">
        <f>AW58+AX58</f>
        <v>0</v>
      </c>
      <c r="BD58" s="28">
        <f>G58/(100-BE58)*100</f>
        <v>0</v>
      </c>
      <c r="BE58" s="28">
        <v>0</v>
      </c>
      <c r="BF58" s="28">
        <f>58</f>
        <v>58</v>
      </c>
      <c r="BH58" s="28">
        <f>F58*AO58</f>
        <v>0</v>
      </c>
      <c r="BI58" s="28">
        <f>F58*AP58</f>
        <v>0</v>
      </c>
      <c r="BJ58" s="28">
        <f>F58*G58</f>
        <v>0</v>
      </c>
      <c r="BK58" s="28"/>
      <c r="BL58" s="28"/>
      <c r="BW58" s="28">
        <v>21</v>
      </c>
      <c r="BX58" s="4" t="s">
        <v>152</v>
      </c>
    </row>
    <row r="59" spans="1:76" x14ac:dyDescent="0.25">
      <c r="A59" s="31"/>
      <c r="C59" s="34" t="s">
        <v>153</v>
      </c>
      <c r="D59" s="33" t="s">
        <v>52</v>
      </c>
      <c r="F59" s="35">
        <v>916.13387999999998</v>
      </c>
      <c r="K59" s="36"/>
    </row>
    <row r="60" spans="1:76" ht="13.5" customHeight="1" x14ac:dyDescent="0.25">
      <c r="A60" s="31"/>
      <c r="B60" s="37" t="s">
        <v>148</v>
      </c>
      <c r="C60" s="248" t="s">
        <v>154</v>
      </c>
      <c r="D60" s="249"/>
      <c r="E60" s="249"/>
      <c r="F60" s="249"/>
      <c r="G60" s="249"/>
      <c r="H60" s="249"/>
      <c r="I60" s="249"/>
      <c r="J60" s="249"/>
      <c r="K60" s="250"/>
    </row>
    <row r="61" spans="1:76" x14ac:dyDescent="0.25">
      <c r="A61" s="2" t="s">
        <v>155</v>
      </c>
      <c r="B61" s="3" t="s">
        <v>156</v>
      </c>
      <c r="C61" s="230" t="s">
        <v>157</v>
      </c>
      <c r="D61" s="225"/>
      <c r="E61" s="3" t="s">
        <v>90</v>
      </c>
      <c r="F61" s="28">
        <v>76.344489999999993</v>
      </c>
      <c r="G61" s="28">
        <v>0</v>
      </c>
      <c r="H61" s="28">
        <f>ROUND(F61*AO61,2)</f>
        <v>0</v>
      </c>
      <c r="I61" s="28">
        <f>ROUND(F61*AP61,2)</f>
        <v>0</v>
      </c>
      <c r="J61" s="28">
        <f>ROUND(F61*G61,2)</f>
        <v>0</v>
      </c>
      <c r="K61" s="29" t="s">
        <v>146</v>
      </c>
      <c r="Z61" s="28">
        <f>ROUND(IF(AQ61="5",BJ61,0),2)</f>
        <v>0</v>
      </c>
      <c r="AB61" s="28">
        <f>ROUND(IF(AQ61="1",BH61,0),2)</f>
        <v>0</v>
      </c>
      <c r="AC61" s="28">
        <f>ROUND(IF(AQ61="1",BI61,0),2)</f>
        <v>0</v>
      </c>
      <c r="AD61" s="28">
        <f>ROUND(IF(AQ61="7",BH61,0),2)</f>
        <v>0</v>
      </c>
      <c r="AE61" s="28">
        <f>ROUND(IF(AQ61="7",BI61,0),2)</f>
        <v>0</v>
      </c>
      <c r="AF61" s="28">
        <f>ROUND(IF(AQ61="2",BH61,0),2)</f>
        <v>0</v>
      </c>
      <c r="AG61" s="28">
        <f>ROUND(IF(AQ61="2",BI61,0),2)</f>
        <v>0</v>
      </c>
      <c r="AH61" s="28">
        <f>ROUND(IF(AQ61="0",BJ61,0),2)</f>
        <v>0</v>
      </c>
      <c r="AI61" s="10" t="s">
        <v>56</v>
      </c>
      <c r="AJ61" s="28">
        <f>IF(AN61=0,J61,0)</f>
        <v>0</v>
      </c>
      <c r="AK61" s="28">
        <f>IF(AN61=12,J61,0)</f>
        <v>0</v>
      </c>
      <c r="AL61" s="28">
        <f>IF(AN61=21,J61,0)</f>
        <v>0</v>
      </c>
      <c r="AN61" s="28">
        <v>21</v>
      </c>
      <c r="AO61" s="28">
        <f>G61*0</f>
        <v>0</v>
      </c>
      <c r="AP61" s="28">
        <f>G61*(1-0)</f>
        <v>0</v>
      </c>
      <c r="AQ61" s="30" t="s">
        <v>91</v>
      </c>
      <c r="AV61" s="28">
        <f>ROUND(AW61+AX61,2)</f>
        <v>0</v>
      </c>
      <c r="AW61" s="28">
        <f>ROUND(F61*AO61,2)</f>
        <v>0</v>
      </c>
      <c r="AX61" s="28">
        <f>ROUND(F61*AP61,2)</f>
        <v>0</v>
      </c>
      <c r="AY61" s="30" t="s">
        <v>137</v>
      </c>
      <c r="AZ61" s="30" t="s">
        <v>62</v>
      </c>
      <c r="BA61" s="10" t="s">
        <v>63</v>
      </c>
      <c r="BC61" s="28">
        <f>AW61+AX61</f>
        <v>0</v>
      </c>
      <c r="BD61" s="28">
        <f>G61/(100-BE61)*100</f>
        <v>0</v>
      </c>
      <c r="BE61" s="28">
        <v>0</v>
      </c>
      <c r="BF61" s="28">
        <f>61</f>
        <v>61</v>
      </c>
      <c r="BH61" s="28">
        <f>F61*AO61</f>
        <v>0</v>
      </c>
      <c r="BI61" s="28">
        <f>F61*AP61</f>
        <v>0</v>
      </c>
      <c r="BJ61" s="28">
        <f>F61*G61</f>
        <v>0</v>
      </c>
      <c r="BK61" s="28"/>
      <c r="BL61" s="28"/>
      <c r="BW61" s="28">
        <v>21</v>
      </c>
      <c r="BX61" s="4" t="s">
        <v>157</v>
      </c>
    </row>
    <row r="62" spans="1:76" x14ac:dyDescent="0.25">
      <c r="A62" s="31"/>
      <c r="C62" s="34" t="s">
        <v>147</v>
      </c>
      <c r="D62" s="33" t="s">
        <v>52</v>
      </c>
      <c r="F62" s="35">
        <v>76.344489999999993</v>
      </c>
      <c r="K62" s="36"/>
    </row>
    <row r="63" spans="1:76" ht="13.5" customHeight="1" x14ac:dyDescent="0.25">
      <c r="A63" s="31"/>
      <c r="B63" s="37" t="s">
        <v>148</v>
      </c>
      <c r="C63" s="248" t="s">
        <v>149</v>
      </c>
      <c r="D63" s="249"/>
      <c r="E63" s="249"/>
      <c r="F63" s="249"/>
      <c r="G63" s="249"/>
      <c r="H63" s="249"/>
      <c r="I63" s="249"/>
      <c r="J63" s="249"/>
      <c r="K63" s="250"/>
    </row>
    <row r="64" spans="1:76" x14ac:dyDescent="0.25">
      <c r="A64" s="2" t="s">
        <v>158</v>
      </c>
      <c r="B64" s="3" t="s">
        <v>159</v>
      </c>
      <c r="C64" s="230" t="s">
        <v>160</v>
      </c>
      <c r="D64" s="225"/>
      <c r="E64" s="3" t="s">
        <v>90</v>
      </c>
      <c r="F64" s="28">
        <v>1221.5118399999999</v>
      </c>
      <c r="G64" s="28">
        <v>0</v>
      </c>
      <c r="H64" s="28">
        <f>ROUND(F64*AO64,2)</f>
        <v>0</v>
      </c>
      <c r="I64" s="28">
        <f>ROUND(F64*AP64,2)</f>
        <v>0</v>
      </c>
      <c r="J64" s="28">
        <f>ROUND(F64*G64,2)</f>
        <v>0</v>
      </c>
      <c r="K64" s="29" t="s">
        <v>146</v>
      </c>
      <c r="Z64" s="28">
        <f>ROUND(IF(AQ64="5",BJ64,0),2)</f>
        <v>0</v>
      </c>
      <c r="AB64" s="28">
        <f>ROUND(IF(AQ64="1",BH64,0),2)</f>
        <v>0</v>
      </c>
      <c r="AC64" s="28">
        <f>ROUND(IF(AQ64="1",BI64,0),2)</f>
        <v>0</v>
      </c>
      <c r="AD64" s="28">
        <f>ROUND(IF(AQ64="7",BH64,0),2)</f>
        <v>0</v>
      </c>
      <c r="AE64" s="28">
        <f>ROUND(IF(AQ64="7",BI64,0),2)</f>
        <v>0</v>
      </c>
      <c r="AF64" s="28">
        <f>ROUND(IF(AQ64="2",BH64,0),2)</f>
        <v>0</v>
      </c>
      <c r="AG64" s="28">
        <f>ROUND(IF(AQ64="2",BI64,0),2)</f>
        <v>0</v>
      </c>
      <c r="AH64" s="28">
        <f>ROUND(IF(AQ64="0",BJ64,0),2)</f>
        <v>0</v>
      </c>
      <c r="AI64" s="10" t="s">
        <v>56</v>
      </c>
      <c r="AJ64" s="28">
        <f>IF(AN64=0,J64,0)</f>
        <v>0</v>
      </c>
      <c r="AK64" s="28">
        <f>IF(AN64=12,J64,0)</f>
        <v>0</v>
      </c>
      <c r="AL64" s="28">
        <f>IF(AN64=21,J64,0)</f>
        <v>0</v>
      </c>
      <c r="AN64" s="28">
        <v>21</v>
      </c>
      <c r="AO64" s="28">
        <f>G64*0</f>
        <v>0</v>
      </c>
      <c r="AP64" s="28">
        <f>G64*(1-0)</f>
        <v>0</v>
      </c>
      <c r="AQ64" s="30" t="s">
        <v>91</v>
      </c>
      <c r="AV64" s="28">
        <f>ROUND(AW64+AX64,2)</f>
        <v>0</v>
      </c>
      <c r="AW64" s="28">
        <f>ROUND(F64*AO64,2)</f>
        <v>0</v>
      </c>
      <c r="AX64" s="28">
        <f>ROUND(F64*AP64,2)</f>
        <v>0</v>
      </c>
      <c r="AY64" s="30" t="s">
        <v>137</v>
      </c>
      <c r="AZ64" s="30" t="s">
        <v>62</v>
      </c>
      <c r="BA64" s="10" t="s">
        <v>63</v>
      </c>
      <c r="BC64" s="28">
        <f>AW64+AX64</f>
        <v>0</v>
      </c>
      <c r="BD64" s="28">
        <f>G64/(100-BE64)*100</f>
        <v>0</v>
      </c>
      <c r="BE64" s="28">
        <v>0</v>
      </c>
      <c r="BF64" s="28">
        <f>64</f>
        <v>64</v>
      </c>
      <c r="BH64" s="28">
        <f>F64*AO64</f>
        <v>0</v>
      </c>
      <c r="BI64" s="28">
        <f>F64*AP64</f>
        <v>0</v>
      </c>
      <c r="BJ64" s="28">
        <f>F64*G64</f>
        <v>0</v>
      </c>
      <c r="BK64" s="28"/>
      <c r="BL64" s="28"/>
      <c r="BW64" s="28">
        <v>21</v>
      </c>
      <c r="BX64" s="4" t="s">
        <v>160</v>
      </c>
    </row>
    <row r="65" spans="1:76" ht="13.5" customHeight="1" x14ac:dyDescent="0.25">
      <c r="A65" s="31"/>
      <c r="C65" s="248" t="s">
        <v>161</v>
      </c>
      <c r="D65" s="249"/>
      <c r="E65" s="249"/>
      <c r="F65" s="249"/>
      <c r="G65" s="249"/>
      <c r="H65" s="249"/>
      <c r="I65" s="249"/>
      <c r="J65" s="249"/>
      <c r="K65" s="250"/>
    </row>
    <row r="66" spans="1:76" x14ac:dyDescent="0.25">
      <c r="A66" s="31"/>
      <c r="C66" s="34" t="s">
        <v>162</v>
      </c>
      <c r="D66" s="33" t="s">
        <v>52</v>
      </c>
      <c r="F66" s="35">
        <v>1221.5118399999999</v>
      </c>
      <c r="K66" s="36"/>
    </row>
    <row r="67" spans="1:76" ht="13.5" customHeight="1" x14ac:dyDescent="0.25">
      <c r="A67" s="31"/>
      <c r="B67" s="37" t="s">
        <v>148</v>
      </c>
      <c r="C67" s="248" t="s">
        <v>149</v>
      </c>
      <c r="D67" s="249"/>
      <c r="E67" s="249"/>
      <c r="F67" s="249"/>
      <c r="G67" s="249"/>
      <c r="H67" s="249"/>
      <c r="I67" s="249"/>
      <c r="J67" s="249"/>
      <c r="K67" s="250"/>
    </row>
    <row r="68" spans="1:76" x14ac:dyDescent="0.25">
      <c r="A68" s="2" t="s">
        <v>163</v>
      </c>
      <c r="B68" s="3" t="s">
        <v>164</v>
      </c>
      <c r="C68" s="230" t="s">
        <v>165</v>
      </c>
      <c r="D68" s="225"/>
      <c r="E68" s="3" t="s">
        <v>90</v>
      </c>
      <c r="F68" s="28">
        <v>107.67316</v>
      </c>
      <c r="G68" s="28">
        <v>0</v>
      </c>
      <c r="H68" s="28">
        <f>ROUND(F68*AO68,2)</f>
        <v>0</v>
      </c>
      <c r="I68" s="28">
        <f>ROUND(F68*AP68,2)</f>
        <v>0</v>
      </c>
      <c r="J68" s="28">
        <f>ROUND(F68*G68,2)</f>
        <v>0</v>
      </c>
      <c r="K68" s="29" t="s">
        <v>146</v>
      </c>
      <c r="Z68" s="28">
        <f>ROUND(IF(AQ68="5",BJ68,0),2)</f>
        <v>0</v>
      </c>
      <c r="AB68" s="28">
        <f>ROUND(IF(AQ68="1",BH68,0),2)</f>
        <v>0</v>
      </c>
      <c r="AC68" s="28">
        <f>ROUND(IF(AQ68="1",BI68,0),2)</f>
        <v>0</v>
      </c>
      <c r="AD68" s="28">
        <f>ROUND(IF(AQ68="7",BH68,0),2)</f>
        <v>0</v>
      </c>
      <c r="AE68" s="28">
        <f>ROUND(IF(AQ68="7",BI68,0),2)</f>
        <v>0</v>
      </c>
      <c r="AF68" s="28">
        <f>ROUND(IF(AQ68="2",BH68,0),2)</f>
        <v>0</v>
      </c>
      <c r="AG68" s="28">
        <f>ROUND(IF(AQ68="2",BI68,0),2)</f>
        <v>0</v>
      </c>
      <c r="AH68" s="28">
        <f>ROUND(IF(AQ68="0",BJ68,0),2)</f>
        <v>0</v>
      </c>
      <c r="AI68" s="10" t="s">
        <v>56</v>
      </c>
      <c r="AJ68" s="28">
        <f>IF(AN68=0,J68,0)</f>
        <v>0</v>
      </c>
      <c r="AK68" s="28">
        <f>IF(AN68=12,J68,0)</f>
        <v>0</v>
      </c>
      <c r="AL68" s="28">
        <f>IF(AN68=21,J68,0)</f>
        <v>0</v>
      </c>
      <c r="AN68" s="28">
        <v>21</v>
      </c>
      <c r="AO68" s="28">
        <f>G68*0</f>
        <v>0</v>
      </c>
      <c r="AP68" s="28">
        <f>G68*(1-0)</f>
        <v>0</v>
      </c>
      <c r="AQ68" s="30" t="s">
        <v>91</v>
      </c>
      <c r="AV68" s="28">
        <f>ROUND(AW68+AX68,2)</f>
        <v>0</v>
      </c>
      <c r="AW68" s="28">
        <f>ROUND(F68*AO68,2)</f>
        <v>0</v>
      </c>
      <c r="AX68" s="28">
        <f>ROUND(F68*AP68,2)</f>
        <v>0</v>
      </c>
      <c r="AY68" s="30" t="s">
        <v>137</v>
      </c>
      <c r="AZ68" s="30" t="s">
        <v>62</v>
      </c>
      <c r="BA68" s="10" t="s">
        <v>63</v>
      </c>
      <c r="BC68" s="28">
        <f>AW68+AX68</f>
        <v>0</v>
      </c>
      <c r="BD68" s="28">
        <f>G68/(100-BE68)*100</f>
        <v>0</v>
      </c>
      <c r="BE68" s="28">
        <v>0</v>
      </c>
      <c r="BF68" s="28">
        <f>68</f>
        <v>68</v>
      </c>
      <c r="BH68" s="28">
        <f>F68*AO68</f>
        <v>0</v>
      </c>
      <c r="BI68" s="28">
        <f>F68*AP68</f>
        <v>0</v>
      </c>
      <c r="BJ68" s="28">
        <f>F68*G68</f>
        <v>0</v>
      </c>
      <c r="BK68" s="28"/>
      <c r="BL68" s="28"/>
      <c r="BW68" s="28">
        <v>21</v>
      </c>
      <c r="BX68" s="4" t="s">
        <v>165</v>
      </c>
    </row>
    <row r="69" spans="1:76" x14ac:dyDescent="0.25">
      <c r="A69" s="31"/>
      <c r="C69" s="34" t="s">
        <v>166</v>
      </c>
      <c r="D69" s="33" t="s">
        <v>52</v>
      </c>
      <c r="F69" s="35">
        <v>163.82316</v>
      </c>
      <c r="K69" s="36"/>
    </row>
    <row r="70" spans="1:76" x14ac:dyDescent="0.25">
      <c r="A70" s="31"/>
      <c r="C70" s="34" t="s">
        <v>167</v>
      </c>
      <c r="D70" s="33" t="s">
        <v>168</v>
      </c>
      <c r="F70" s="35">
        <v>-25.62</v>
      </c>
      <c r="K70" s="36"/>
    </row>
    <row r="71" spans="1:76" x14ac:dyDescent="0.25">
      <c r="A71" s="31"/>
      <c r="C71" s="34" t="s">
        <v>169</v>
      </c>
      <c r="D71" s="33" t="s">
        <v>168</v>
      </c>
      <c r="F71" s="35">
        <v>-10.6</v>
      </c>
      <c r="K71" s="36"/>
    </row>
    <row r="72" spans="1:76" x14ac:dyDescent="0.25">
      <c r="A72" s="31"/>
      <c r="C72" s="34" t="s">
        <v>170</v>
      </c>
      <c r="D72" s="33" t="s">
        <v>52</v>
      </c>
      <c r="F72" s="35">
        <v>-19.93</v>
      </c>
      <c r="K72" s="36"/>
    </row>
    <row r="73" spans="1:76" ht="13.5" customHeight="1" x14ac:dyDescent="0.25">
      <c r="A73" s="31"/>
      <c r="B73" s="37" t="s">
        <v>148</v>
      </c>
      <c r="C73" s="248" t="s">
        <v>149</v>
      </c>
      <c r="D73" s="249"/>
      <c r="E73" s="249"/>
      <c r="F73" s="249"/>
      <c r="G73" s="249"/>
      <c r="H73" s="249"/>
      <c r="I73" s="249"/>
      <c r="J73" s="249"/>
      <c r="K73" s="250"/>
    </row>
    <row r="74" spans="1:76" x14ac:dyDescent="0.25">
      <c r="A74" s="2" t="s">
        <v>171</v>
      </c>
      <c r="B74" s="3" t="s">
        <v>172</v>
      </c>
      <c r="C74" s="230" t="s">
        <v>173</v>
      </c>
      <c r="D74" s="225"/>
      <c r="E74" s="3" t="s">
        <v>90</v>
      </c>
      <c r="F74" s="28">
        <v>36.22</v>
      </c>
      <c r="G74" s="28">
        <v>0</v>
      </c>
      <c r="H74" s="28">
        <f>ROUND(F74*AO74,2)</f>
        <v>0</v>
      </c>
      <c r="I74" s="28">
        <f>ROUND(F74*AP74,2)</f>
        <v>0</v>
      </c>
      <c r="J74" s="28">
        <f>ROUND(F74*G74,2)</f>
        <v>0</v>
      </c>
      <c r="K74" s="29" t="s">
        <v>70</v>
      </c>
      <c r="Z74" s="28">
        <f>ROUND(IF(AQ74="5",BJ74,0),2)</f>
        <v>0</v>
      </c>
      <c r="AB74" s="28">
        <f>ROUND(IF(AQ74="1",BH74,0),2)</f>
        <v>0</v>
      </c>
      <c r="AC74" s="28">
        <f>ROUND(IF(AQ74="1",BI74,0),2)</f>
        <v>0</v>
      </c>
      <c r="AD74" s="28">
        <f>ROUND(IF(AQ74="7",BH74,0),2)</f>
        <v>0</v>
      </c>
      <c r="AE74" s="28">
        <f>ROUND(IF(AQ74="7",BI74,0),2)</f>
        <v>0</v>
      </c>
      <c r="AF74" s="28">
        <f>ROUND(IF(AQ74="2",BH74,0),2)</f>
        <v>0</v>
      </c>
      <c r="AG74" s="28">
        <f>ROUND(IF(AQ74="2",BI74,0),2)</f>
        <v>0</v>
      </c>
      <c r="AH74" s="28">
        <f>ROUND(IF(AQ74="0",BJ74,0),2)</f>
        <v>0</v>
      </c>
      <c r="AI74" s="10" t="s">
        <v>56</v>
      </c>
      <c r="AJ74" s="28">
        <f>IF(AN74=0,J74,0)</f>
        <v>0</v>
      </c>
      <c r="AK74" s="28">
        <f>IF(AN74=12,J74,0)</f>
        <v>0</v>
      </c>
      <c r="AL74" s="28">
        <f>IF(AN74=21,J74,0)</f>
        <v>0</v>
      </c>
      <c r="AN74" s="28">
        <v>21</v>
      </c>
      <c r="AO74" s="28">
        <f>G74*0</f>
        <v>0</v>
      </c>
      <c r="AP74" s="28">
        <f>G74*(1-0)</f>
        <v>0</v>
      </c>
      <c r="AQ74" s="30" t="s">
        <v>91</v>
      </c>
      <c r="AV74" s="28">
        <f>ROUND(AW74+AX74,2)</f>
        <v>0</v>
      </c>
      <c r="AW74" s="28">
        <f>ROUND(F74*AO74,2)</f>
        <v>0</v>
      </c>
      <c r="AX74" s="28">
        <f>ROUND(F74*AP74,2)</f>
        <v>0</v>
      </c>
      <c r="AY74" s="30" t="s">
        <v>137</v>
      </c>
      <c r="AZ74" s="30" t="s">
        <v>62</v>
      </c>
      <c r="BA74" s="10" t="s">
        <v>63</v>
      </c>
      <c r="BC74" s="28">
        <f>AW74+AX74</f>
        <v>0</v>
      </c>
      <c r="BD74" s="28">
        <f>G74/(100-BE74)*100</f>
        <v>0</v>
      </c>
      <c r="BE74" s="28">
        <v>0</v>
      </c>
      <c r="BF74" s="28">
        <f>74</f>
        <v>74</v>
      </c>
      <c r="BH74" s="28">
        <f>F74*AO74</f>
        <v>0</v>
      </c>
      <c r="BI74" s="28">
        <f>F74*AP74</f>
        <v>0</v>
      </c>
      <c r="BJ74" s="28">
        <f>F74*G74</f>
        <v>0</v>
      </c>
      <c r="BK74" s="28"/>
      <c r="BL74" s="28"/>
      <c r="BW74" s="28">
        <v>21</v>
      </c>
      <c r="BX74" s="4" t="s">
        <v>173</v>
      </c>
    </row>
    <row r="75" spans="1:76" x14ac:dyDescent="0.25">
      <c r="A75" s="31"/>
      <c r="C75" s="34" t="s">
        <v>174</v>
      </c>
      <c r="D75" s="33" t="s">
        <v>168</v>
      </c>
      <c r="F75" s="35">
        <v>36.22</v>
      </c>
      <c r="K75" s="36"/>
    </row>
    <row r="76" spans="1:76" ht="25.5" x14ac:dyDescent="0.25">
      <c r="A76" s="31"/>
      <c r="B76" s="37" t="s">
        <v>85</v>
      </c>
      <c r="C76" s="248" t="s">
        <v>175</v>
      </c>
      <c r="D76" s="249"/>
      <c r="E76" s="249"/>
      <c r="F76" s="249"/>
      <c r="G76" s="249"/>
      <c r="H76" s="249"/>
      <c r="I76" s="249"/>
      <c r="J76" s="249"/>
      <c r="K76" s="250"/>
      <c r="BX76" s="32" t="s">
        <v>175</v>
      </c>
    </row>
    <row r="77" spans="1:76" x14ac:dyDescent="0.25">
      <c r="A77" s="2" t="s">
        <v>176</v>
      </c>
      <c r="B77" s="3" t="s">
        <v>177</v>
      </c>
      <c r="C77" s="230" t="s">
        <v>178</v>
      </c>
      <c r="D77" s="225"/>
      <c r="E77" s="3" t="s">
        <v>90</v>
      </c>
      <c r="F77" s="28">
        <v>19.93</v>
      </c>
      <c r="G77" s="28">
        <v>0</v>
      </c>
      <c r="H77" s="28">
        <f>ROUND(F77*AO77,2)</f>
        <v>0</v>
      </c>
      <c r="I77" s="28">
        <f>ROUND(F77*AP77,2)</f>
        <v>0</v>
      </c>
      <c r="J77" s="28">
        <f>ROUND(F77*G77,2)</f>
        <v>0</v>
      </c>
      <c r="K77" s="29" t="s">
        <v>70</v>
      </c>
      <c r="Z77" s="28">
        <f>ROUND(IF(AQ77="5",BJ77,0),2)</f>
        <v>0</v>
      </c>
      <c r="AB77" s="28">
        <f>ROUND(IF(AQ77="1",BH77,0),2)</f>
        <v>0</v>
      </c>
      <c r="AC77" s="28">
        <f>ROUND(IF(AQ77="1",BI77,0),2)</f>
        <v>0</v>
      </c>
      <c r="AD77" s="28">
        <f>ROUND(IF(AQ77="7",BH77,0),2)</f>
        <v>0</v>
      </c>
      <c r="AE77" s="28">
        <f>ROUND(IF(AQ77="7",BI77,0),2)</f>
        <v>0</v>
      </c>
      <c r="AF77" s="28">
        <f>ROUND(IF(AQ77="2",BH77,0),2)</f>
        <v>0</v>
      </c>
      <c r="AG77" s="28">
        <f>ROUND(IF(AQ77="2",BI77,0),2)</f>
        <v>0</v>
      </c>
      <c r="AH77" s="28">
        <f>ROUND(IF(AQ77="0",BJ77,0),2)</f>
        <v>0</v>
      </c>
      <c r="AI77" s="10" t="s">
        <v>56</v>
      </c>
      <c r="AJ77" s="28">
        <f>IF(AN77=0,J77,0)</f>
        <v>0</v>
      </c>
      <c r="AK77" s="28">
        <f>IF(AN77=12,J77,0)</f>
        <v>0</v>
      </c>
      <c r="AL77" s="28">
        <f>IF(AN77=21,J77,0)</f>
        <v>0</v>
      </c>
      <c r="AN77" s="28">
        <v>21</v>
      </c>
      <c r="AO77" s="28">
        <f>G77*0</f>
        <v>0</v>
      </c>
      <c r="AP77" s="28">
        <f>G77*(1-0)</f>
        <v>0</v>
      </c>
      <c r="AQ77" s="30" t="s">
        <v>91</v>
      </c>
      <c r="AV77" s="28">
        <f>ROUND(AW77+AX77,2)</f>
        <v>0</v>
      </c>
      <c r="AW77" s="28">
        <f>ROUND(F77*AO77,2)</f>
        <v>0</v>
      </c>
      <c r="AX77" s="28">
        <f>ROUND(F77*AP77,2)</f>
        <v>0</v>
      </c>
      <c r="AY77" s="30" t="s">
        <v>137</v>
      </c>
      <c r="AZ77" s="30" t="s">
        <v>62</v>
      </c>
      <c r="BA77" s="10" t="s">
        <v>63</v>
      </c>
      <c r="BC77" s="28">
        <f>AW77+AX77</f>
        <v>0</v>
      </c>
      <c r="BD77" s="28">
        <f>G77/(100-BE77)*100</f>
        <v>0</v>
      </c>
      <c r="BE77" s="28">
        <v>0</v>
      </c>
      <c r="BF77" s="28">
        <f>77</f>
        <v>77</v>
      </c>
      <c r="BH77" s="28">
        <f>F77*AO77</f>
        <v>0</v>
      </c>
      <c r="BI77" s="28">
        <f>F77*AP77</f>
        <v>0</v>
      </c>
      <c r="BJ77" s="28">
        <f>F77*G77</f>
        <v>0</v>
      </c>
      <c r="BK77" s="28"/>
      <c r="BL77" s="28"/>
      <c r="BW77" s="28">
        <v>21</v>
      </c>
      <c r="BX77" s="4" t="s">
        <v>178</v>
      </c>
    </row>
    <row r="78" spans="1:76" x14ac:dyDescent="0.25">
      <c r="A78" s="31"/>
      <c r="C78" s="34" t="s">
        <v>179</v>
      </c>
      <c r="D78" s="33" t="s">
        <v>180</v>
      </c>
      <c r="F78" s="35">
        <v>19.93</v>
      </c>
      <c r="K78" s="36"/>
    </row>
    <row r="79" spans="1:76" ht="25.5" x14ac:dyDescent="0.25">
      <c r="A79" s="31"/>
      <c r="B79" s="37" t="s">
        <v>85</v>
      </c>
      <c r="C79" s="248" t="s">
        <v>175</v>
      </c>
      <c r="D79" s="249"/>
      <c r="E79" s="249"/>
      <c r="F79" s="249"/>
      <c r="G79" s="249"/>
      <c r="H79" s="249"/>
      <c r="I79" s="249"/>
      <c r="J79" s="249"/>
      <c r="K79" s="250"/>
      <c r="BX79" s="32" t="s">
        <v>175</v>
      </c>
    </row>
    <row r="80" spans="1:76" x14ac:dyDescent="0.25">
      <c r="A80" s="24" t="s">
        <v>52</v>
      </c>
      <c r="B80" s="25" t="s">
        <v>52</v>
      </c>
      <c r="C80" s="246" t="s">
        <v>181</v>
      </c>
      <c r="D80" s="247"/>
      <c r="E80" s="26" t="s">
        <v>33</v>
      </c>
      <c r="F80" s="26" t="s">
        <v>33</v>
      </c>
      <c r="G80" s="26" t="s">
        <v>33</v>
      </c>
      <c r="H80" s="1">
        <f>H81+H116+H195</f>
        <v>0</v>
      </c>
      <c r="I80" s="1">
        <f>I81+I116+I195</f>
        <v>0</v>
      </c>
      <c r="J80" s="1">
        <f>J81+J116+J195</f>
        <v>0</v>
      </c>
      <c r="K80" s="27" t="s">
        <v>52</v>
      </c>
    </row>
    <row r="81" spans="1:76" x14ac:dyDescent="0.25">
      <c r="A81" s="24" t="s">
        <v>52</v>
      </c>
      <c r="B81" s="25" t="s">
        <v>182</v>
      </c>
      <c r="C81" s="246" t="s">
        <v>183</v>
      </c>
      <c r="D81" s="247"/>
      <c r="E81" s="26" t="s">
        <v>33</v>
      </c>
      <c r="F81" s="26" t="s">
        <v>33</v>
      </c>
      <c r="G81" s="26" t="s">
        <v>33</v>
      </c>
      <c r="H81" s="1">
        <f>SUM(H82:H115)</f>
        <v>0</v>
      </c>
      <c r="I81" s="1">
        <f>SUM(I82:I115)</f>
        <v>0</v>
      </c>
      <c r="J81" s="1">
        <f>SUM(J82:J115)</f>
        <v>0</v>
      </c>
      <c r="K81" s="27" t="s">
        <v>52</v>
      </c>
      <c r="AI81" s="10" t="s">
        <v>184</v>
      </c>
      <c r="AS81" s="1">
        <f>SUM(AJ82:AJ115)</f>
        <v>0</v>
      </c>
      <c r="AT81" s="1">
        <f>SUM(AK82:AK115)</f>
        <v>0</v>
      </c>
      <c r="AU81" s="1">
        <f>SUM(AL82:AL115)</f>
        <v>0</v>
      </c>
    </row>
    <row r="82" spans="1:76" x14ac:dyDescent="0.25">
      <c r="A82" s="2" t="s">
        <v>185</v>
      </c>
      <c r="B82" s="3" t="s">
        <v>186</v>
      </c>
      <c r="C82" s="230" t="s">
        <v>187</v>
      </c>
      <c r="D82" s="225"/>
      <c r="E82" s="3" t="s">
        <v>69</v>
      </c>
      <c r="F82" s="28">
        <v>35.737000000000002</v>
      </c>
      <c r="G82" s="28">
        <v>0</v>
      </c>
      <c r="H82" s="28">
        <f>ROUND(F82*AO82,2)</f>
        <v>0</v>
      </c>
      <c r="I82" s="28">
        <f>ROUND(F82*AP82,2)</f>
        <v>0</v>
      </c>
      <c r="J82" s="28">
        <f>ROUND(F82*G82,2)</f>
        <v>0</v>
      </c>
      <c r="K82" s="29" t="s">
        <v>70</v>
      </c>
      <c r="Z82" s="28">
        <f>ROUND(IF(AQ82="5",BJ82,0),2)</f>
        <v>0</v>
      </c>
      <c r="AB82" s="28">
        <f>ROUND(IF(AQ82="1",BH82,0),2)</f>
        <v>0</v>
      </c>
      <c r="AC82" s="28">
        <f>ROUND(IF(AQ82="1",BI82,0),2)</f>
        <v>0</v>
      </c>
      <c r="AD82" s="28">
        <f>ROUND(IF(AQ82="7",BH82,0),2)</f>
        <v>0</v>
      </c>
      <c r="AE82" s="28">
        <f>ROUND(IF(AQ82="7",BI82,0),2)</f>
        <v>0</v>
      </c>
      <c r="AF82" s="28">
        <f>ROUND(IF(AQ82="2",BH82,0),2)</f>
        <v>0</v>
      </c>
      <c r="AG82" s="28">
        <f>ROUND(IF(AQ82="2",BI82,0),2)</f>
        <v>0</v>
      </c>
      <c r="AH82" s="28">
        <f>ROUND(IF(AQ82="0",BJ82,0),2)</f>
        <v>0</v>
      </c>
      <c r="AI82" s="10" t="s">
        <v>184</v>
      </c>
      <c r="AJ82" s="28">
        <f>IF(AN82=0,J82,0)</f>
        <v>0</v>
      </c>
      <c r="AK82" s="28">
        <f>IF(AN82=12,J82,0)</f>
        <v>0</v>
      </c>
      <c r="AL82" s="28">
        <f>IF(AN82=21,J82,0)</f>
        <v>0</v>
      </c>
      <c r="AN82" s="28">
        <v>21</v>
      </c>
      <c r="AO82" s="28">
        <f>G82*0</f>
        <v>0</v>
      </c>
      <c r="AP82" s="28">
        <f>G82*(1-0)</f>
        <v>0</v>
      </c>
      <c r="AQ82" s="30" t="s">
        <v>111</v>
      </c>
      <c r="AV82" s="28">
        <f>ROUND(AW82+AX82,2)</f>
        <v>0</v>
      </c>
      <c r="AW82" s="28">
        <f>ROUND(F82*AO82,2)</f>
        <v>0</v>
      </c>
      <c r="AX82" s="28">
        <f>ROUND(F82*AP82,2)</f>
        <v>0</v>
      </c>
      <c r="AY82" s="30" t="s">
        <v>188</v>
      </c>
      <c r="AZ82" s="30" t="s">
        <v>189</v>
      </c>
      <c r="BA82" s="10" t="s">
        <v>190</v>
      </c>
      <c r="BC82" s="28">
        <f>AW82+AX82</f>
        <v>0</v>
      </c>
      <c r="BD82" s="28">
        <f>G82/(100-BE82)*100</f>
        <v>0</v>
      </c>
      <c r="BE82" s="28">
        <v>0</v>
      </c>
      <c r="BF82" s="28">
        <f>82</f>
        <v>82</v>
      </c>
      <c r="BH82" s="28">
        <f>F82*AO82</f>
        <v>0</v>
      </c>
      <c r="BI82" s="28">
        <f>F82*AP82</f>
        <v>0</v>
      </c>
      <c r="BJ82" s="28">
        <f>F82*G82</f>
        <v>0</v>
      </c>
      <c r="BK82" s="28"/>
      <c r="BL82" s="28">
        <v>762</v>
      </c>
      <c r="BW82" s="28">
        <v>21</v>
      </c>
      <c r="BX82" s="4" t="s">
        <v>187</v>
      </c>
    </row>
    <row r="83" spans="1:76" ht="13.5" customHeight="1" x14ac:dyDescent="0.25">
      <c r="A83" s="31"/>
      <c r="C83" s="248" t="s">
        <v>191</v>
      </c>
      <c r="D83" s="249"/>
      <c r="E83" s="249"/>
      <c r="F83" s="249"/>
      <c r="G83" s="249"/>
      <c r="H83" s="249"/>
      <c r="I83" s="249"/>
      <c r="J83" s="249"/>
      <c r="K83" s="250"/>
    </row>
    <row r="84" spans="1:76" x14ac:dyDescent="0.25">
      <c r="A84" s="31"/>
      <c r="C84" s="34" t="s">
        <v>192</v>
      </c>
      <c r="D84" s="33" t="s">
        <v>193</v>
      </c>
      <c r="F84" s="35">
        <v>29.061</v>
      </c>
      <c r="K84" s="36"/>
    </row>
    <row r="85" spans="1:76" x14ac:dyDescent="0.25">
      <c r="A85" s="31"/>
      <c r="C85" s="34" t="s">
        <v>194</v>
      </c>
      <c r="D85" s="33" t="s">
        <v>195</v>
      </c>
      <c r="F85" s="35">
        <v>6.6760000000000002</v>
      </c>
      <c r="K85" s="36"/>
    </row>
    <row r="86" spans="1:76" x14ac:dyDescent="0.25">
      <c r="A86" s="2" t="s">
        <v>196</v>
      </c>
      <c r="B86" s="3" t="s">
        <v>197</v>
      </c>
      <c r="C86" s="230" t="s">
        <v>198</v>
      </c>
      <c r="D86" s="225"/>
      <c r="E86" s="3" t="s">
        <v>69</v>
      </c>
      <c r="F86" s="28">
        <v>49.752000000000002</v>
      </c>
      <c r="G86" s="28">
        <v>0</v>
      </c>
      <c r="H86" s="28">
        <f>ROUND(F86*AO86,2)</f>
        <v>0</v>
      </c>
      <c r="I86" s="28">
        <f>ROUND(F86*AP86,2)</f>
        <v>0</v>
      </c>
      <c r="J86" s="28">
        <f>ROUND(F86*G86,2)</f>
        <v>0</v>
      </c>
      <c r="K86" s="29" t="s">
        <v>70</v>
      </c>
      <c r="Z86" s="28">
        <f>ROUND(IF(AQ86="5",BJ86,0),2)</f>
        <v>0</v>
      </c>
      <c r="AB86" s="28">
        <f>ROUND(IF(AQ86="1",BH86,0),2)</f>
        <v>0</v>
      </c>
      <c r="AC86" s="28">
        <f>ROUND(IF(AQ86="1",BI86,0),2)</f>
        <v>0</v>
      </c>
      <c r="AD86" s="28">
        <f>ROUND(IF(AQ86="7",BH86,0),2)</f>
        <v>0</v>
      </c>
      <c r="AE86" s="28">
        <f>ROUND(IF(AQ86="7",BI86,0),2)</f>
        <v>0</v>
      </c>
      <c r="AF86" s="28">
        <f>ROUND(IF(AQ86="2",BH86,0),2)</f>
        <v>0</v>
      </c>
      <c r="AG86" s="28">
        <f>ROUND(IF(AQ86="2",BI86,0),2)</f>
        <v>0</v>
      </c>
      <c r="AH86" s="28">
        <f>ROUND(IF(AQ86="0",BJ86,0),2)</f>
        <v>0</v>
      </c>
      <c r="AI86" s="10" t="s">
        <v>184</v>
      </c>
      <c r="AJ86" s="28">
        <f>IF(AN86=0,J86,0)</f>
        <v>0</v>
      </c>
      <c r="AK86" s="28">
        <f>IF(AN86=12,J86,0)</f>
        <v>0</v>
      </c>
      <c r="AL86" s="28">
        <f>IF(AN86=21,J86,0)</f>
        <v>0</v>
      </c>
      <c r="AN86" s="28">
        <v>21</v>
      </c>
      <c r="AO86" s="28">
        <f>G86*0.672457653</f>
        <v>0</v>
      </c>
      <c r="AP86" s="28">
        <f>G86*(1-0.672457653)</f>
        <v>0</v>
      </c>
      <c r="AQ86" s="30" t="s">
        <v>111</v>
      </c>
      <c r="AV86" s="28">
        <f>ROUND(AW86+AX86,2)</f>
        <v>0</v>
      </c>
      <c r="AW86" s="28">
        <f>ROUND(F86*AO86,2)</f>
        <v>0</v>
      </c>
      <c r="AX86" s="28">
        <f>ROUND(F86*AP86,2)</f>
        <v>0</v>
      </c>
      <c r="AY86" s="30" t="s">
        <v>188</v>
      </c>
      <c r="AZ86" s="30" t="s">
        <v>189</v>
      </c>
      <c r="BA86" s="10" t="s">
        <v>190</v>
      </c>
      <c r="BC86" s="28">
        <f>AW86+AX86</f>
        <v>0</v>
      </c>
      <c r="BD86" s="28">
        <f>G86/(100-BE86)*100</f>
        <v>0</v>
      </c>
      <c r="BE86" s="28">
        <v>0</v>
      </c>
      <c r="BF86" s="28">
        <f>86</f>
        <v>86</v>
      </c>
      <c r="BH86" s="28">
        <f>F86*AO86</f>
        <v>0</v>
      </c>
      <c r="BI86" s="28">
        <f>F86*AP86</f>
        <v>0</v>
      </c>
      <c r="BJ86" s="28">
        <f>F86*G86</f>
        <v>0</v>
      </c>
      <c r="BK86" s="28"/>
      <c r="BL86" s="28">
        <v>762</v>
      </c>
      <c r="BW86" s="28">
        <v>21</v>
      </c>
      <c r="BX86" s="4" t="s">
        <v>198</v>
      </c>
    </row>
    <row r="87" spans="1:76" ht="13.5" customHeight="1" x14ac:dyDescent="0.25">
      <c r="A87" s="31"/>
      <c r="C87" s="248" t="s">
        <v>199</v>
      </c>
      <c r="D87" s="249"/>
      <c r="E87" s="249"/>
      <c r="F87" s="249"/>
      <c r="G87" s="249"/>
      <c r="H87" s="249"/>
      <c r="I87" s="249"/>
      <c r="J87" s="249"/>
      <c r="K87" s="250"/>
    </row>
    <row r="88" spans="1:76" x14ac:dyDescent="0.25">
      <c r="A88" s="31"/>
      <c r="C88" s="34" t="s">
        <v>192</v>
      </c>
      <c r="D88" s="33" t="s">
        <v>193</v>
      </c>
      <c r="F88" s="35">
        <v>29.061</v>
      </c>
      <c r="K88" s="36"/>
    </row>
    <row r="89" spans="1:76" x14ac:dyDescent="0.25">
      <c r="A89" s="31"/>
      <c r="C89" s="34" t="s">
        <v>200</v>
      </c>
      <c r="D89" s="33" t="s">
        <v>201</v>
      </c>
      <c r="F89" s="35">
        <v>20.690999999999999</v>
      </c>
      <c r="K89" s="36"/>
    </row>
    <row r="90" spans="1:76" x14ac:dyDescent="0.25">
      <c r="A90" s="2" t="s">
        <v>202</v>
      </c>
      <c r="B90" s="3" t="s">
        <v>203</v>
      </c>
      <c r="C90" s="230" t="s">
        <v>204</v>
      </c>
      <c r="D90" s="225"/>
      <c r="E90" s="3" t="s">
        <v>205</v>
      </c>
      <c r="F90" s="28">
        <v>49.6</v>
      </c>
      <c r="G90" s="28">
        <v>0</v>
      </c>
      <c r="H90" s="28">
        <f>ROUND(F90*AO90,2)</f>
        <v>0</v>
      </c>
      <c r="I90" s="28">
        <f>ROUND(F90*AP90,2)</f>
        <v>0</v>
      </c>
      <c r="J90" s="28">
        <f>ROUND(F90*G90,2)</f>
        <v>0</v>
      </c>
      <c r="K90" s="29" t="s">
        <v>70</v>
      </c>
      <c r="Z90" s="28">
        <f>ROUND(IF(AQ90="5",BJ90,0),2)</f>
        <v>0</v>
      </c>
      <c r="AB90" s="28">
        <f>ROUND(IF(AQ90="1",BH90,0),2)</f>
        <v>0</v>
      </c>
      <c r="AC90" s="28">
        <f>ROUND(IF(AQ90="1",BI90,0),2)</f>
        <v>0</v>
      </c>
      <c r="AD90" s="28">
        <f>ROUND(IF(AQ90="7",BH90,0),2)</f>
        <v>0</v>
      </c>
      <c r="AE90" s="28">
        <f>ROUND(IF(AQ90="7",BI90,0),2)</f>
        <v>0</v>
      </c>
      <c r="AF90" s="28">
        <f>ROUND(IF(AQ90="2",BH90,0),2)</f>
        <v>0</v>
      </c>
      <c r="AG90" s="28">
        <f>ROUND(IF(AQ90="2",BI90,0),2)</f>
        <v>0</v>
      </c>
      <c r="AH90" s="28">
        <f>ROUND(IF(AQ90="0",BJ90,0),2)</f>
        <v>0</v>
      </c>
      <c r="AI90" s="10" t="s">
        <v>184</v>
      </c>
      <c r="AJ90" s="28">
        <f>IF(AN90=0,J90,0)</f>
        <v>0</v>
      </c>
      <c r="AK90" s="28">
        <f>IF(AN90=12,J90,0)</f>
        <v>0</v>
      </c>
      <c r="AL90" s="28">
        <f>IF(AN90=21,J90,0)</f>
        <v>0</v>
      </c>
      <c r="AN90" s="28">
        <v>21</v>
      </c>
      <c r="AO90" s="28">
        <f>G90*0</f>
        <v>0</v>
      </c>
      <c r="AP90" s="28">
        <f>G90*(1-0)</f>
        <v>0</v>
      </c>
      <c r="AQ90" s="30" t="s">
        <v>111</v>
      </c>
      <c r="AV90" s="28">
        <f>ROUND(AW90+AX90,2)</f>
        <v>0</v>
      </c>
      <c r="AW90" s="28">
        <f>ROUND(F90*AO90,2)</f>
        <v>0</v>
      </c>
      <c r="AX90" s="28">
        <f>ROUND(F90*AP90,2)</f>
        <v>0</v>
      </c>
      <c r="AY90" s="30" t="s">
        <v>188</v>
      </c>
      <c r="AZ90" s="30" t="s">
        <v>189</v>
      </c>
      <c r="BA90" s="10" t="s">
        <v>190</v>
      </c>
      <c r="BC90" s="28">
        <f>AW90+AX90</f>
        <v>0</v>
      </c>
      <c r="BD90" s="28">
        <f>G90/(100-BE90)*100</f>
        <v>0</v>
      </c>
      <c r="BE90" s="28">
        <v>0</v>
      </c>
      <c r="BF90" s="28">
        <f>90</f>
        <v>90</v>
      </c>
      <c r="BH90" s="28">
        <f>F90*AO90</f>
        <v>0</v>
      </c>
      <c r="BI90" s="28">
        <f>F90*AP90</f>
        <v>0</v>
      </c>
      <c r="BJ90" s="28">
        <f>F90*G90</f>
        <v>0</v>
      </c>
      <c r="BK90" s="28"/>
      <c r="BL90" s="28">
        <v>762</v>
      </c>
      <c r="BW90" s="28">
        <v>21</v>
      </c>
      <c r="BX90" s="4" t="s">
        <v>204</v>
      </c>
    </row>
    <row r="91" spans="1:76" x14ac:dyDescent="0.25">
      <c r="A91" s="31"/>
      <c r="C91" s="34" t="s">
        <v>206</v>
      </c>
      <c r="D91" s="33" t="s">
        <v>207</v>
      </c>
      <c r="F91" s="35">
        <v>35.799999999999997</v>
      </c>
      <c r="K91" s="36"/>
    </row>
    <row r="92" spans="1:76" x14ac:dyDescent="0.25">
      <c r="A92" s="31"/>
      <c r="C92" s="34" t="s">
        <v>208</v>
      </c>
      <c r="D92" s="33" t="s">
        <v>209</v>
      </c>
      <c r="F92" s="35">
        <v>13.8</v>
      </c>
      <c r="K92" s="36"/>
    </row>
    <row r="93" spans="1:76" ht="25.5" x14ac:dyDescent="0.25">
      <c r="A93" s="31"/>
      <c r="B93" s="37" t="s">
        <v>85</v>
      </c>
      <c r="C93" s="248" t="s">
        <v>210</v>
      </c>
      <c r="D93" s="249"/>
      <c r="E93" s="249"/>
      <c r="F93" s="249"/>
      <c r="G93" s="249"/>
      <c r="H93" s="249"/>
      <c r="I93" s="249"/>
      <c r="J93" s="249"/>
      <c r="K93" s="250"/>
      <c r="BX93" s="32" t="s">
        <v>210</v>
      </c>
    </row>
    <row r="94" spans="1:76" x14ac:dyDescent="0.25">
      <c r="A94" s="38" t="s">
        <v>211</v>
      </c>
      <c r="B94" s="39" t="s">
        <v>212</v>
      </c>
      <c r="C94" s="251" t="s">
        <v>213</v>
      </c>
      <c r="D94" s="252"/>
      <c r="E94" s="39" t="s">
        <v>214</v>
      </c>
      <c r="F94" s="41">
        <v>0.20533999999999999</v>
      </c>
      <c r="G94" s="41">
        <v>0</v>
      </c>
      <c r="H94" s="41">
        <f>ROUND(F94*AO94,2)</f>
        <v>0</v>
      </c>
      <c r="I94" s="41">
        <f>ROUND(F94*AP94,2)</f>
        <v>0</v>
      </c>
      <c r="J94" s="41">
        <f>ROUND(F94*G94,2)</f>
        <v>0</v>
      </c>
      <c r="K94" s="42" t="s">
        <v>70</v>
      </c>
      <c r="Z94" s="28">
        <f>ROUND(IF(AQ94="5",BJ94,0),2)</f>
        <v>0</v>
      </c>
      <c r="AB94" s="28">
        <f>ROUND(IF(AQ94="1",BH94,0),2)</f>
        <v>0</v>
      </c>
      <c r="AC94" s="28">
        <f>ROUND(IF(AQ94="1",BI94,0),2)</f>
        <v>0</v>
      </c>
      <c r="AD94" s="28">
        <f>ROUND(IF(AQ94="7",BH94,0),2)</f>
        <v>0</v>
      </c>
      <c r="AE94" s="28">
        <f>ROUND(IF(AQ94="7",BI94,0),2)</f>
        <v>0</v>
      </c>
      <c r="AF94" s="28">
        <f>ROUND(IF(AQ94="2",BH94,0),2)</f>
        <v>0</v>
      </c>
      <c r="AG94" s="28">
        <f>ROUND(IF(AQ94="2",BI94,0),2)</f>
        <v>0</v>
      </c>
      <c r="AH94" s="28">
        <f>ROUND(IF(AQ94="0",BJ94,0),2)</f>
        <v>0</v>
      </c>
      <c r="AI94" s="10" t="s">
        <v>184</v>
      </c>
      <c r="AJ94" s="41">
        <f>IF(AN94=0,J94,0)</f>
        <v>0</v>
      </c>
      <c r="AK94" s="41">
        <f>IF(AN94=12,J94,0)</f>
        <v>0</v>
      </c>
      <c r="AL94" s="41">
        <f>IF(AN94=21,J94,0)</f>
        <v>0</v>
      </c>
      <c r="AN94" s="28">
        <v>21</v>
      </c>
      <c r="AO94" s="28">
        <f>G94*1</f>
        <v>0</v>
      </c>
      <c r="AP94" s="28">
        <f>G94*(1-1)</f>
        <v>0</v>
      </c>
      <c r="AQ94" s="43" t="s">
        <v>111</v>
      </c>
      <c r="AV94" s="28">
        <f>ROUND(AW94+AX94,2)</f>
        <v>0</v>
      </c>
      <c r="AW94" s="28">
        <f>ROUND(F94*AO94,2)</f>
        <v>0</v>
      </c>
      <c r="AX94" s="28">
        <f>ROUND(F94*AP94,2)</f>
        <v>0</v>
      </c>
      <c r="AY94" s="30" t="s">
        <v>188</v>
      </c>
      <c r="AZ94" s="30" t="s">
        <v>189</v>
      </c>
      <c r="BA94" s="10" t="s">
        <v>190</v>
      </c>
      <c r="BC94" s="28">
        <f>AW94+AX94</f>
        <v>0</v>
      </c>
      <c r="BD94" s="28">
        <f>G94/(100-BE94)*100</f>
        <v>0</v>
      </c>
      <c r="BE94" s="28">
        <v>0</v>
      </c>
      <c r="BF94" s="28">
        <f>94</f>
        <v>94</v>
      </c>
      <c r="BH94" s="41">
        <f>F94*AO94</f>
        <v>0</v>
      </c>
      <c r="BI94" s="41">
        <f>F94*AP94</f>
        <v>0</v>
      </c>
      <c r="BJ94" s="41">
        <f>F94*G94</f>
        <v>0</v>
      </c>
      <c r="BK94" s="41"/>
      <c r="BL94" s="28">
        <v>762</v>
      </c>
      <c r="BW94" s="28">
        <v>21</v>
      </c>
      <c r="BX94" s="40" t="s">
        <v>213</v>
      </c>
    </row>
    <row r="95" spans="1:76" x14ac:dyDescent="0.25">
      <c r="A95" s="31"/>
      <c r="C95" s="34" t="s">
        <v>215</v>
      </c>
      <c r="D95" s="33" t="s">
        <v>207</v>
      </c>
      <c r="F95" s="35">
        <v>0.12887999999999999</v>
      </c>
      <c r="K95" s="36"/>
    </row>
    <row r="96" spans="1:76" x14ac:dyDescent="0.25">
      <c r="A96" s="31"/>
      <c r="C96" s="34" t="s">
        <v>216</v>
      </c>
      <c r="D96" s="33" t="s">
        <v>209</v>
      </c>
      <c r="F96" s="35">
        <v>4.9680000000000002E-2</v>
      </c>
      <c r="K96" s="36"/>
    </row>
    <row r="97" spans="1:76" x14ac:dyDescent="0.25">
      <c r="A97" s="31"/>
      <c r="C97" s="34" t="s">
        <v>217</v>
      </c>
      <c r="D97" s="33" t="s">
        <v>52</v>
      </c>
      <c r="F97" s="35">
        <v>2.6780000000000002E-2</v>
      </c>
      <c r="K97" s="36"/>
    </row>
    <row r="98" spans="1:76" ht="114.75" x14ac:dyDescent="0.25">
      <c r="A98" s="31"/>
      <c r="B98" s="37" t="s">
        <v>85</v>
      </c>
      <c r="C98" s="248" t="s">
        <v>218</v>
      </c>
      <c r="D98" s="249"/>
      <c r="E98" s="249"/>
      <c r="F98" s="249"/>
      <c r="G98" s="249"/>
      <c r="H98" s="249"/>
      <c r="I98" s="249"/>
      <c r="J98" s="249"/>
      <c r="K98" s="250"/>
      <c r="BX98" s="44" t="s">
        <v>218</v>
      </c>
    </row>
    <row r="99" spans="1:76" x14ac:dyDescent="0.25">
      <c r="A99" s="2" t="s">
        <v>219</v>
      </c>
      <c r="B99" s="3" t="s">
        <v>220</v>
      </c>
      <c r="C99" s="230" t="s">
        <v>221</v>
      </c>
      <c r="D99" s="225"/>
      <c r="E99" s="3" t="s">
        <v>222</v>
      </c>
      <c r="F99" s="28">
        <v>76</v>
      </c>
      <c r="G99" s="28">
        <v>0</v>
      </c>
      <c r="H99" s="28">
        <f>ROUND(F99*AO99,2)</f>
        <v>0</v>
      </c>
      <c r="I99" s="28">
        <f>ROUND(F99*AP99,2)</f>
        <v>0</v>
      </c>
      <c r="J99" s="28">
        <f>ROUND(F99*G99,2)</f>
        <v>0</v>
      </c>
      <c r="K99" s="29" t="s">
        <v>223</v>
      </c>
      <c r="Z99" s="28">
        <f>ROUND(IF(AQ99="5",BJ99,0),2)</f>
        <v>0</v>
      </c>
      <c r="AB99" s="28">
        <f>ROUND(IF(AQ99="1",BH99,0),2)</f>
        <v>0</v>
      </c>
      <c r="AC99" s="28">
        <f>ROUND(IF(AQ99="1",BI99,0),2)</f>
        <v>0</v>
      </c>
      <c r="AD99" s="28">
        <f>ROUND(IF(AQ99="7",BH99,0),2)</f>
        <v>0</v>
      </c>
      <c r="AE99" s="28">
        <f>ROUND(IF(AQ99="7",BI99,0),2)</f>
        <v>0</v>
      </c>
      <c r="AF99" s="28">
        <f>ROUND(IF(AQ99="2",BH99,0),2)</f>
        <v>0</v>
      </c>
      <c r="AG99" s="28">
        <f>ROUND(IF(AQ99="2",BI99,0),2)</f>
        <v>0</v>
      </c>
      <c r="AH99" s="28">
        <f>ROUND(IF(AQ99="0",BJ99,0),2)</f>
        <v>0</v>
      </c>
      <c r="AI99" s="10" t="s">
        <v>184</v>
      </c>
      <c r="AJ99" s="28">
        <f>IF(AN99=0,J99,0)</f>
        <v>0</v>
      </c>
      <c r="AK99" s="28">
        <f>IF(AN99=12,J99,0)</f>
        <v>0</v>
      </c>
      <c r="AL99" s="28">
        <f>IF(AN99=21,J99,0)</f>
        <v>0</v>
      </c>
      <c r="AN99" s="28">
        <v>21</v>
      </c>
      <c r="AO99" s="28">
        <f>G99*0.199148148</f>
        <v>0</v>
      </c>
      <c r="AP99" s="28">
        <f>G99*(1-0.199148148)</f>
        <v>0</v>
      </c>
      <c r="AQ99" s="30" t="s">
        <v>111</v>
      </c>
      <c r="AV99" s="28">
        <f>ROUND(AW99+AX99,2)</f>
        <v>0</v>
      </c>
      <c r="AW99" s="28">
        <f>ROUND(F99*AO99,2)</f>
        <v>0</v>
      </c>
      <c r="AX99" s="28">
        <f>ROUND(F99*AP99,2)</f>
        <v>0</v>
      </c>
      <c r="AY99" s="30" t="s">
        <v>188</v>
      </c>
      <c r="AZ99" s="30" t="s">
        <v>189</v>
      </c>
      <c r="BA99" s="10" t="s">
        <v>190</v>
      </c>
      <c r="BC99" s="28">
        <f>AW99+AX99</f>
        <v>0</v>
      </c>
      <c r="BD99" s="28">
        <f>G99/(100-BE99)*100</f>
        <v>0</v>
      </c>
      <c r="BE99" s="28">
        <v>0</v>
      </c>
      <c r="BF99" s="28">
        <f>99</f>
        <v>99</v>
      </c>
      <c r="BH99" s="28">
        <f>F99*AO99</f>
        <v>0</v>
      </c>
      <c r="BI99" s="28">
        <f>F99*AP99</f>
        <v>0</v>
      </c>
      <c r="BJ99" s="28">
        <f>F99*G99</f>
        <v>0</v>
      </c>
      <c r="BK99" s="28"/>
      <c r="BL99" s="28">
        <v>762</v>
      </c>
      <c r="BW99" s="28">
        <v>21</v>
      </c>
      <c r="BX99" s="4" t="s">
        <v>221</v>
      </c>
    </row>
    <row r="100" spans="1:76" ht="27" customHeight="1" x14ac:dyDescent="0.25">
      <c r="A100" s="31"/>
      <c r="C100" s="248" t="s">
        <v>224</v>
      </c>
      <c r="D100" s="249"/>
      <c r="E100" s="249"/>
      <c r="F100" s="249"/>
      <c r="G100" s="249"/>
      <c r="H100" s="249"/>
      <c r="I100" s="249"/>
      <c r="J100" s="249"/>
      <c r="K100" s="250"/>
    </row>
    <row r="101" spans="1:76" x14ac:dyDescent="0.25">
      <c r="A101" s="45"/>
      <c r="C101" s="46" t="s">
        <v>225</v>
      </c>
      <c r="D101" s="47" t="s">
        <v>226</v>
      </c>
      <c r="F101" s="48">
        <v>76</v>
      </c>
      <c r="K101" s="49"/>
    </row>
    <row r="102" spans="1:76" x14ac:dyDescent="0.25">
      <c r="A102" s="50" t="s">
        <v>227</v>
      </c>
      <c r="B102" s="51" t="s">
        <v>228</v>
      </c>
      <c r="C102" s="253" t="s">
        <v>229</v>
      </c>
      <c r="D102" s="254"/>
      <c r="E102" s="51" t="s">
        <v>69</v>
      </c>
      <c r="F102" s="52">
        <v>139.56216000000001</v>
      </c>
      <c r="G102" s="52">
        <v>0</v>
      </c>
      <c r="H102" s="52">
        <f>ROUND(F102*AO102,2)</f>
        <v>0</v>
      </c>
      <c r="I102" s="52">
        <f>ROUND(F102*AP102,2)</f>
        <v>0</v>
      </c>
      <c r="J102" s="52">
        <f>ROUND(F102*G102,2)</f>
        <v>0</v>
      </c>
      <c r="K102" s="53" t="s">
        <v>70</v>
      </c>
      <c r="Z102" s="28">
        <f>ROUND(IF(AQ102="5",BJ102,0),2)</f>
        <v>0</v>
      </c>
      <c r="AB102" s="28">
        <f>ROUND(IF(AQ102="1",BH102,0),2)</f>
        <v>0</v>
      </c>
      <c r="AC102" s="28">
        <f>ROUND(IF(AQ102="1",BI102,0),2)</f>
        <v>0</v>
      </c>
      <c r="AD102" s="28">
        <f>ROUND(IF(AQ102="7",BH102,0),2)</f>
        <v>0</v>
      </c>
      <c r="AE102" s="28">
        <f>ROUND(IF(AQ102="7",BI102,0),2)</f>
        <v>0</v>
      </c>
      <c r="AF102" s="28">
        <f>ROUND(IF(AQ102="2",BH102,0),2)</f>
        <v>0</v>
      </c>
      <c r="AG102" s="28">
        <f>ROUND(IF(AQ102="2",BI102,0),2)</f>
        <v>0</v>
      </c>
      <c r="AH102" s="28">
        <f>ROUND(IF(AQ102="0",BJ102,0),2)</f>
        <v>0</v>
      </c>
      <c r="AI102" s="10" t="s">
        <v>184</v>
      </c>
      <c r="AJ102" s="28">
        <f>IF(AN102=0,J102,0)</f>
        <v>0</v>
      </c>
      <c r="AK102" s="28">
        <f>IF(AN102=12,J102,0)</f>
        <v>0</v>
      </c>
      <c r="AL102" s="28">
        <f>IF(AN102=21,J102,0)</f>
        <v>0</v>
      </c>
      <c r="AN102" s="28">
        <v>21</v>
      </c>
      <c r="AO102" s="28">
        <f>G102*0.735952275</f>
        <v>0</v>
      </c>
      <c r="AP102" s="28">
        <f>G102*(1-0.735952275)</f>
        <v>0</v>
      </c>
      <c r="AQ102" s="30" t="s">
        <v>111</v>
      </c>
      <c r="AV102" s="28">
        <f>ROUND(AW102+AX102,2)</f>
        <v>0</v>
      </c>
      <c r="AW102" s="28">
        <f>ROUND(F102*AO102,2)</f>
        <v>0</v>
      </c>
      <c r="AX102" s="28">
        <f>ROUND(F102*AP102,2)</f>
        <v>0</v>
      </c>
      <c r="AY102" s="30" t="s">
        <v>188</v>
      </c>
      <c r="AZ102" s="30" t="s">
        <v>189</v>
      </c>
      <c r="BA102" s="10" t="s">
        <v>190</v>
      </c>
      <c r="BC102" s="28">
        <f>AW102+AX102</f>
        <v>0</v>
      </c>
      <c r="BD102" s="28">
        <f>G102/(100-BE102)*100</f>
        <v>0</v>
      </c>
      <c r="BE102" s="28">
        <v>0</v>
      </c>
      <c r="BF102" s="28">
        <f>102</f>
        <v>102</v>
      </c>
      <c r="BH102" s="28">
        <f>F102*AO102</f>
        <v>0</v>
      </c>
      <c r="BI102" s="28">
        <f>F102*AP102</f>
        <v>0</v>
      </c>
      <c r="BJ102" s="28">
        <f>F102*G102</f>
        <v>0</v>
      </c>
      <c r="BK102" s="28"/>
      <c r="BL102" s="28">
        <v>762</v>
      </c>
      <c r="BW102" s="28">
        <v>21</v>
      </c>
      <c r="BX102" s="4" t="s">
        <v>229</v>
      </c>
    </row>
    <row r="103" spans="1:76" x14ac:dyDescent="0.25">
      <c r="A103" s="54"/>
      <c r="B103" s="55"/>
      <c r="C103" s="56" t="s">
        <v>230</v>
      </c>
      <c r="D103" s="57" t="s">
        <v>193</v>
      </c>
      <c r="E103" s="55"/>
      <c r="F103" s="58">
        <v>63.934199999999997</v>
      </c>
      <c r="G103" s="55"/>
      <c r="H103" s="55"/>
      <c r="I103" s="55"/>
      <c r="J103" s="55"/>
      <c r="K103" s="59"/>
    </row>
    <row r="104" spans="1:76" x14ac:dyDescent="0.25">
      <c r="A104" s="54"/>
      <c r="B104" s="55"/>
      <c r="C104" s="56" t="s">
        <v>231</v>
      </c>
      <c r="D104" s="57" t="s">
        <v>201</v>
      </c>
      <c r="E104" s="55"/>
      <c r="F104" s="58">
        <v>45.520200000000003</v>
      </c>
      <c r="G104" s="55"/>
      <c r="H104" s="55"/>
      <c r="I104" s="55"/>
      <c r="J104" s="55"/>
      <c r="K104" s="59"/>
    </row>
    <row r="105" spans="1:76" x14ac:dyDescent="0.25">
      <c r="A105" s="54"/>
      <c r="B105" s="55"/>
      <c r="C105" s="56" t="s">
        <v>232</v>
      </c>
      <c r="D105" s="57" t="s">
        <v>207</v>
      </c>
      <c r="E105" s="55"/>
      <c r="F105" s="58">
        <v>8.5920000000000005</v>
      </c>
      <c r="G105" s="55"/>
      <c r="H105" s="55"/>
      <c r="I105" s="55"/>
      <c r="J105" s="55"/>
      <c r="K105" s="59"/>
    </row>
    <row r="106" spans="1:76" x14ac:dyDescent="0.25">
      <c r="A106" s="54"/>
      <c r="B106" s="55"/>
      <c r="C106" s="56" t="s">
        <v>233</v>
      </c>
      <c r="D106" s="57" t="s">
        <v>209</v>
      </c>
      <c r="E106" s="55"/>
      <c r="F106" s="58">
        <v>3.3119999999999998</v>
      </c>
      <c r="G106" s="55"/>
      <c r="H106" s="55"/>
      <c r="I106" s="55"/>
      <c r="J106" s="55"/>
      <c r="K106" s="59"/>
    </row>
    <row r="107" spans="1:76" x14ac:dyDescent="0.25">
      <c r="A107" s="54"/>
      <c r="B107" s="55"/>
      <c r="C107" s="56" t="s">
        <v>234</v>
      </c>
      <c r="D107" s="57" t="s">
        <v>52</v>
      </c>
      <c r="E107" s="55"/>
      <c r="F107" s="58">
        <v>18.203759999999999</v>
      </c>
      <c r="G107" s="55"/>
      <c r="H107" s="55"/>
      <c r="I107" s="55"/>
      <c r="J107" s="55"/>
      <c r="K107" s="59"/>
    </row>
    <row r="108" spans="1:76" ht="38.25" x14ac:dyDescent="0.25">
      <c r="A108" s="60"/>
      <c r="B108" s="61" t="s">
        <v>85</v>
      </c>
      <c r="C108" s="255" t="s">
        <v>235</v>
      </c>
      <c r="D108" s="256"/>
      <c r="E108" s="256"/>
      <c r="F108" s="256"/>
      <c r="G108" s="256"/>
      <c r="H108" s="256"/>
      <c r="I108" s="256"/>
      <c r="J108" s="256"/>
      <c r="K108" s="257"/>
      <c r="BX108" s="32" t="s">
        <v>235</v>
      </c>
    </row>
    <row r="109" spans="1:76" x14ac:dyDescent="0.25">
      <c r="A109" s="62" t="s">
        <v>236</v>
      </c>
      <c r="B109" s="63" t="s">
        <v>237</v>
      </c>
      <c r="C109" s="258" t="s">
        <v>238</v>
      </c>
      <c r="D109" s="259"/>
      <c r="E109" s="63" t="s">
        <v>214</v>
      </c>
      <c r="F109" s="64">
        <v>1.03624</v>
      </c>
      <c r="G109" s="64">
        <v>0</v>
      </c>
      <c r="H109" s="64">
        <f>ROUND(F109*AO109,2)</f>
        <v>0</v>
      </c>
      <c r="I109" s="64">
        <f>ROUND(F109*AP109,2)</f>
        <v>0</v>
      </c>
      <c r="J109" s="64">
        <f>ROUND(F109*G109,2)</f>
        <v>0</v>
      </c>
      <c r="K109" s="65" t="s">
        <v>70</v>
      </c>
      <c r="Z109" s="28">
        <f>ROUND(IF(AQ109="5",BJ109,0),2)</f>
        <v>0</v>
      </c>
      <c r="AB109" s="28">
        <f>ROUND(IF(AQ109="1",BH109,0),2)</f>
        <v>0</v>
      </c>
      <c r="AC109" s="28">
        <f>ROUND(IF(AQ109="1",BI109,0),2)</f>
        <v>0</v>
      </c>
      <c r="AD109" s="28">
        <f>ROUND(IF(AQ109="7",BH109,0),2)</f>
        <v>0</v>
      </c>
      <c r="AE109" s="28">
        <f>ROUND(IF(AQ109="7",BI109,0),2)</f>
        <v>0</v>
      </c>
      <c r="AF109" s="28">
        <f>ROUND(IF(AQ109="2",BH109,0),2)</f>
        <v>0</v>
      </c>
      <c r="AG109" s="28">
        <f>ROUND(IF(AQ109="2",BI109,0),2)</f>
        <v>0</v>
      </c>
      <c r="AH109" s="28">
        <f>ROUND(IF(AQ109="0",BJ109,0),2)</f>
        <v>0</v>
      </c>
      <c r="AI109" s="10" t="s">
        <v>184</v>
      </c>
      <c r="AJ109" s="28">
        <f>IF(AN109=0,J109,0)</f>
        <v>0</v>
      </c>
      <c r="AK109" s="28">
        <f>IF(AN109=12,J109,0)</f>
        <v>0</v>
      </c>
      <c r="AL109" s="28">
        <f>IF(AN109=21,J109,0)</f>
        <v>0</v>
      </c>
      <c r="AN109" s="28">
        <v>21</v>
      </c>
      <c r="AO109" s="28">
        <f>G109*1</f>
        <v>0</v>
      </c>
      <c r="AP109" s="28">
        <f>G109*(1-1)</f>
        <v>0</v>
      </c>
      <c r="AQ109" s="30" t="s">
        <v>111</v>
      </c>
      <c r="AV109" s="28">
        <f>ROUND(AW109+AX109,2)</f>
        <v>0</v>
      </c>
      <c r="AW109" s="28">
        <f>ROUND(F109*AO109,2)</f>
        <v>0</v>
      </c>
      <c r="AX109" s="28">
        <f>ROUND(F109*AP109,2)</f>
        <v>0</v>
      </c>
      <c r="AY109" s="30" t="s">
        <v>188</v>
      </c>
      <c r="AZ109" s="30" t="s">
        <v>189</v>
      </c>
      <c r="BA109" s="10" t="s">
        <v>190</v>
      </c>
      <c r="BC109" s="28">
        <f>AW109+AX109</f>
        <v>0</v>
      </c>
      <c r="BD109" s="28">
        <f>G109/(100-BE109)*100</f>
        <v>0</v>
      </c>
      <c r="BE109" s="28">
        <v>0</v>
      </c>
      <c r="BF109" s="28">
        <f>109</f>
        <v>109</v>
      </c>
      <c r="BH109" s="28">
        <f>F109*AO109</f>
        <v>0</v>
      </c>
      <c r="BI109" s="28">
        <f>F109*AP109</f>
        <v>0</v>
      </c>
      <c r="BJ109" s="28">
        <f>F109*G109</f>
        <v>0</v>
      </c>
      <c r="BK109" s="28"/>
      <c r="BL109" s="28">
        <v>762</v>
      </c>
      <c r="BW109" s="28">
        <v>21</v>
      </c>
      <c r="BX109" s="4" t="s">
        <v>238</v>
      </c>
    </row>
    <row r="110" spans="1:76" x14ac:dyDescent="0.25">
      <c r="A110" s="66"/>
      <c r="B110" s="67"/>
      <c r="C110" s="68" t="s">
        <v>239</v>
      </c>
      <c r="D110" s="69" t="s">
        <v>193</v>
      </c>
      <c r="E110" s="67"/>
      <c r="F110" s="70">
        <v>0.69745999999999997</v>
      </c>
      <c r="G110" s="67"/>
      <c r="H110" s="67"/>
      <c r="I110" s="67"/>
      <c r="J110" s="67"/>
      <c r="K110" s="71"/>
    </row>
    <row r="111" spans="1:76" x14ac:dyDescent="0.25">
      <c r="A111" s="66"/>
      <c r="B111" s="67"/>
      <c r="C111" s="68" t="s">
        <v>240</v>
      </c>
      <c r="D111" s="69" t="s">
        <v>195</v>
      </c>
      <c r="E111" s="67"/>
      <c r="F111" s="70">
        <v>0.16022</v>
      </c>
      <c r="G111" s="67"/>
      <c r="H111" s="67"/>
      <c r="I111" s="67"/>
      <c r="J111" s="67"/>
      <c r="K111" s="71"/>
    </row>
    <row r="112" spans="1:76" x14ac:dyDescent="0.25">
      <c r="A112" s="66"/>
      <c r="B112" s="67"/>
      <c r="C112" s="68" t="s">
        <v>215</v>
      </c>
      <c r="D112" s="69" t="s">
        <v>207</v>
      </c>
      <c r="E112" s="67"/>
      <c r="F112" s="70">
        <v>0.12887999999999999</v>
      </c>
      <c r="G112" s="67"/>
      <c r="H112" s="67"/>
      <c r="I112" s="67"/>
      <c r="J112" s="67"/>
      <c r="K112" s="71"/>
    </row>
    <row r="113" spans="1:76" x14ac:dyDescent="0.25">
      <c r="A113" s="66"/>
      <c r="B113" s="67"/>
      <c r="C113" s="68" t="s">
        <v>216</v>
      </c>
      <c r="D113" s="69" t="s">
        <v>209</v>
      </c>
      <c r="E113" s="67"/>
      <c r="F113" s="70">
        <v>4.9680000000000002E-2</v>
      </c>
      <c r="G113" s="67"/>
      <c r="H113" s="67"/>
      <c r="I113" s="67"/>
      <c r="J113" s="67"/>
      <c r="K113" s="71"/>
    </row>
    <row r="114" spans="1:76" ht="38.25" x14ac:dyDescent="0.25">
      <c r="A114" s="72"/>
      <c r="B114" s="73" t="s">
        <v>85</v>
      </c>
      <c r="C114" s="260" t="s">
        <v>241</v>
      </c>
      <c r="D114" s="261"/>
      <c r="E114" s="261"/>
      <c r="F114" s="261"/>
      <c r="G114" s="261"/>
      <c r="H114" s="261"/>
      <c r="I114" s="261"/>
      <c r="J114" s="261"/>
      <c r="K114" s="262"/>
      <c r="BX114" s="32" t="s">
        <v>241</v>
      </c>
    </row>
    <row r="115" spans="1:76" x14ac:dyDescent="0.25">
      <c r="A115" s="2" t="s">
        <v>242</v>
      </c>
      <c r="B115" s="3" t="s">
        <v>243</v>
      </c>
      <c r="C115" s="230" t="s">
        <v>244</v>
      </c>
      <c r="D115" s="225"/>
      <c r="E115" s="3" t="s">
        <v>90</v>
      </c>
      <c r="F115" s="28">
        <v>1.6585099999999999</v>
      </c>
      <c r="G115" s="28">
        <v>0</v>
      </c>
      <c r="H115" s="28">
        <f>ROUND(F115*AO115,2)</f>
        <v>0</v>
      </c>
      <c r="I115" s="28">
        <f>ROUND(F115*AP115,2)</f>
        <v>0</v>
      </c>
      <c r="J115" s="28">
        <f>ROUND(F115*G115,2)</f>
        <v>0</v>
      </c>
      <c r="K115" s="29" t="s">
        <v>70</v>
      </c>
      <c r="Z115" s="28">
        <f>ROUND(IF(AQ115="5",BJ115,0),2)</f>
        <v>0</v>
      </c>
      <c r="AB115" s="28">
        <f>ROUND(IF(AQ115="1",BH115,0),2)</f>
        <v>0</v>
      </c>
      <c r="AC115" s="28">
        <f>ROUND(IF(AQ115="1",BI115,0),2)</f>
        <v>0</v>
      </c>
      <c r="AD115" s="28">
        <f>ROUND(IF(AQ115="7",BH115,0),2)</f>
        <v>0</v>
      </c>
      <c r="AE115" s="28">
        <f>ROUND(IF(AQ115="7",BI115,0),2)</f>
        <v>0</v>
      </c>
      <c r="AF115" s="28">
        <f>ROUND(IF(AQ115="2",BH115,0),2)</f>
        <v>0</v>
      </c>
      <c r="AG115" s="28">
        <f>ROUND(IF(AQ115="2",BI115,0),2)</f>
        <v>0</v>
      </c>
      <c r="AH115" s="28">
        <f>ROUND(IF(AQ115="0",BJ115,0),2)</f>
        <v>0</v>
      </c>
      <c r="AI115" s="10" t="s">
        <v>184</v>
      </c>
      <c r="AJ115" s="28">
        <f>IF(AN115=0,J115,0)</f>
        <v>0</v>
      </c>
      <c r="AK115" s="28">
        <f>IF(AN115=12,J115,0)</f>
        <v>0</v>
      </c>
      <c r="AL115" s="28">
        <f>IF(AN115=21,J115,0)</f>
        <v>0</v>
      </c>
      <c r="AN115" s="28">
        <v>21</v>
      </c>
      <c r="AO115" s="28">
        <f>G115*0</f>
        <v>0</v>
      </c>
      <c r="AP115" s="28">
        <f>G115*(1-0)</f>
        <v>0</v>
      </c>
      <c r="AQ115" s="30" t="s">
        <v>91</v>
      </c>
      <c r="AV115" s="28">
        <f>ROUND(AW115+AX115,2)</f>
        <v>0</v>
      </c>
      <c r="AW115" s="28">
        <f>ROUND(F115*AO115,2)</f>
        <v>0</v>
      </c>
      <c r="AX115" s="28">
        <f>ROUND(F115*AP115,2)</f>
        <v>0</v>
      </c>
      <c r="AY115" s="30" t="s">
        <v>188</v>
      </c>
      <c r="AZ115" s="30" t="s">
        <v>189</v>
      </c>
      <c r="BA115" s="10" t="s">
        <v>190</v>
      </c>
      <c r="BC115" s="28">
        <f>AW115+AX115</f>
        <v>0</v>
      </c>
      <c r="BD115" s="28">
        <f>G115/(100-BE115)*100</f>
        <v>0</v>
      </c>
      <c r="BE115" s="28">
        <v>0</v>
      </c>
      <c r="BF115" s="28">
        <f>115</f>
        <v>115</v>
      </c>
      <c r="BH115" s="28">
        <f>F115*AO115</f>
        <v>0</v>
      </c>
      <c r="BI115" s="28">
        <f>F115*AP115</f>
        <v>0</v>
      </c>
      <c r="BJ115" s="28">
        <f>F115*G115</f>
        <v>0</v>
      </c>
      <c r="BK115" s="28"/>
      <c r="BL115" s="28">
        <v>762</v>
      </c>
      <c r="BW115" s="28">
        <v>21</v>
      </c>
      <c r="BX115" s="4" t="s">
        <v>244</v>
      </c>
    </row>
    <row r="116" spans="1:76" x14ac:dyDescent="0.25">
      <c r="A116" s="24" t="s">
        <v>52</v>
      </c>
      <c r="B116" s="25" t="s">
        <v>245</v>
      </c>
      <c r="C116" s="246" t="s">
        <v>246</v>
      </c>
      <c r="D116" s="247"/>
      <c r="E116" s="26" t="s">
        <v>33</v>
      </c>
      <c r="F116" s="26" t="s">
        <v>33</v>
      </c>
      <c r="G116" s="26" t="s">
        <v>33</v>
      </c>
      <c r="H116" s="1">
        <f>SUM(H117:H193)</f>
        <v>0</v>
      </c>
      <c r="I116" s="1">
        <f>SUM(I117:I193)</f>
        <v>0</v>
      </c>
      <c r="J116" s="1">
        <f>SUM(J117:J193)</f>
        <v>0</v>
      </c>
      <c r="K116" s="27" t="s">
        <v>52</v>
      </c>
      <c r="AI116" s="10" t="s">
        <v>184</v>
      </c>
      <c r="AS116" s="1">
        <f>SUM(AJ117:AJ193)</f>
        <v>0</v>
      </c>
      <c r="AT116" s="1">
        <f>SUM(AK117:AK193)</f>
        <v>0</v>
      </c>
      <c r="AU116" s="1">
        <f>SUM(AL117:AL193)</f>
        <v>0</v>
      </c>
    </row>
    <row r="117" spans="1:76" x14ac:dyDescent="0.25">
      <c r="A117" s="2" t="s">
        <v>247</v>
      </c>
      <c r="B117" s="3" t="s">
        <v>248</v>
      </c>
      <c r="C117" s="230" t="s">
        <v>249</v>
      </c>
      <c r="D117" s="225"/>
      <c r="E117" s="3" t="s">
        <v>205</v>
      </c>
      <c r="F117" s="28">
        <v>100.965</v>
      </c>
      <c r="G117" s="28">
        <v>0</v>
      </c>
      <c r="H117" s="28">
        <f>ROUND(F117*AO117,2)</f>
        <v>0</v>
      </c>
      <c r="I117" s="28">
        <f>ROUND(F117*AP117,2)</f>
        <v>0</v>
      </c>
      <c r="J117" s="28">
        <f>ROUND(F117*G117,2)</f>
        <v>0</v>
      </c>
      <c r="K117" s="29" t="s">
        <v>70</v>
      </c>
      <c r="Z117" s="28">
        <f>ROUND(IF(AQ117="5",BJ117,0),2)</f>
        <v>0</v>
      </c>
      <c r="AB117" s="28">
        <f>ROUND(IF(AQ117="1",BH117,0),2)</f>
        <v>0</v>
      </c>
      <c r="AC117" s="28">
        <f>ROUND(IF(AQ117="1",BI117,0),2)</f>
        <v>0</v>
      </c>
      <c r="AD117" s="28">
        <f>ROUND(IF(AQ117="7",BH117,0),2)</f>
        <v>0</v>
      </c>
      <c r="AE117" s="28">
        <f>ROUND(IF(AQ117="7",BI117,0),2)</f>
        <v>0</v>
      </c>
      <c r="AF117" s="28">
        <f>ROUND(IF(AQ117="2",BH117,0),2)</f>
        <v>0</v>
      </c>
      <c r="AG117" s="28">
        <f>ROUND(IF(AQ117="2",BI117,0),2)</f>
        <v>0</v>
      </c>
      <c r="AH117" s="28">
        <f>ROUND(IF(AQ117="0",BJ117,0),2)</f>
        <v>0</v>
      </c>
      <c r="AI117" s="10" t="s">
        <v>184</v>
      </c>
      <c r="AJ117" s="28">
        <f>IF(AN117=0,J117,0)</f>
        <v>0</v>
      </c>
      <c r="AK117" s="28">
        <f>IF(AN117=12,J117,0)</f>
        <v>0</v>
      </c>
      <c r="AL117" s="28">
        <f>IF(AN117=21,J117,0)</f>
        <v>0</v>
      </c>
      <c r="AN117" s="28">
        <v>21</v>
      </c>
      <c r="AO117" s="28">
        <f>G117*0</f>
        <v>0</v>
      </c>
      <c r="AP117" s="28">
        <f>G117*(1-0)</f>
        <v>0</v>
      </c>
      <c r="AQ117" s="30" t="s">
        <v>111</v>
      </c>
      <c r="AV117" s="28">
        <f>ROUND(AW117+AX117,2)</f>
        <v>0</v>
      </c>
      <c r="AW117" s="28">
        <f>ROUND(F117*AO117,2)</f>
        <v>0</v>
      </c>
      <c r="AX117" s="28">
        <f>ROUND(F117*AP117,2)</f>
        <v>0</v>
      </c>
      <c r="AY117" s="30" t="s">
        <v>250</v>
      </c>
      <c r="AZ117" s="30" t="s">
        <v>189</v>
      </c>
      <c r="BA117" s="10" t="s">
        <v>190</v>
      </c>
      <c r="BC117" s="28">
        <f>AW117+AX117</f>
        <v>0</v>
      </c>
      <c r="BD117" s="28">
        <f>G117/(100-BE117)*100</f>
        <v>0</v>
      </c>
      <c r="BE117" s="28">
        <v>0</v>
      </c>
      <c r="BF117" s="28">
        <f>117</f>
        <v>117</v>
      </c>
      <c r="BH117" s="28">
        <f>F117*AO117</f>
        <v>0</v>
      </c>
      <c r="BI117" s="28">
        <f>F117*AP117</f>
        <v>0</v>
      </c>
      <c r="BJ117" s="28">
        <f>F117*G117</f>
        <v>0</v>
      </c>
      <c r="BK117" s="28"/>
      <c r="BL117" s="28">
        <v>764</v>
      </c>
      <c r="BW117" s="28">
        <v>21</v>
      </c>
      <c r="BX117" s="4" t="s">
        <v>249</v>
      </c>
    </row>
    <row r="118" spans="1:76" ht="13.5" customHeight="1" x14ac:dyDescent="0.25">
      <c r="A118" s="31"/>
      <c r="C118" s="248" t="s">
        <v>251</v>
      </c>
      <c r="D118" s="249"/>
      <c r="E118" s="249"/>
      <c r="F118" s="249"/>
      <c r="G118" s="249"/>
      <c r="H118" s="249"/>
      <c r="I118" s="249"/>
      <c r="J118" s="249"/>
      <c r="K118" s="250"/>
    </row>
    <row r="119" spans="1:76" x14ac:dyDescent="0.25">
      <c r="A119" s="31"/>
      <c r="C119" s="34" t="s">
        <v>252</v>
      </c>
      <c r="D119" s="33" t="s">
        <v>253</v>
      </c>
      <c r="F119" s="35">
        <v>100.965</v>
      </c>
      <c r="K119" s="36"/>
    </row>
    <row r="120" spans="1:76" ht="38.25" x14ac:dyDescent="0.25">
      <c r="A120" s="31"/>
      <c r="B120" s="37" t="s">
        <v>85</v>
      </c>
      <c r="C120" s="248" t="s">
        <v>254</v>
      </c>
      <c r="D120" s="249"/>
      <c r="E120" s="249"/>
      <c r="F120" s="249"/>
      <c r="G120" s="249"/>
      <c r="H120" s="249"/>
      <c r="I120" s="249"/>
      <c r="J120" s="249"/>
      <c r="K120" s="250"/>
      <c r="BX120" s="32" t="s">
        <v>254</v>
      </c>
    </row>
    <row r="121" spans="1:76" x14ac:dyDescent="0.25">
      <c r="A121" s="2" t="s">
        <v>255</v>
      </c>
      <c r="B121" s="3" t="s">
        <v>256</v>
      </c>
      <c r="C121" s="230" t="s">
        <v>257</v>
      </c>
      <c r="D121" s="225"/>
      <c r="E121" s="3" t="s">
        <v>205</v>
      </c>
      <c r="F121" s="28">
        <v>100.965</v>
      </c>
      <c r="G121" s="28">
        <v>0</v>
      </c>
      <c r="H121" s="28">
        <f>ROUND(F121*AO121,2)</f>
        <v>0</v>
      </c>
      <c r="I121" s="28">
        <f>ROUND(F121*AP121,2)</f>
        <v>0</v>
      </c>
      <c r="J121" s="28">
        <f>ROUND(F121*G121,2)</f>
        <v>0</v>
      </c>
      <c r="K121" s="29" t="s">
        <v>70</v>
      </c>
      <c r="Z121" s="28">
        <f>ROUND(IF(AQ121="5",BJ121,0),2)</f>
        <v>0</v>
      </c>
      <c r="AB121" s="28">
        <f>ROUND(IF(AQ121="1",BH121,0),2)</f>
        <v>0</v>
      </c>
      <c r="AC121" s="28">
        <f>ROUND(IF(AQ121="1",BI121,0),2)</f>
        <v>0</v>
      </c>
      <c r="AD121" s="28">
        <f>ROUND(IF(AQ121="7",BH121,0),2)</f>
        <v>0</v>
      </c>
      <c r="AE121" s="28">
        <f>ROUND(IF(AQ121="7",BI121,0),2)</f>
        <v>0</v>
      </c>
      <c r="AF121" s="28">
        <f>ROUND(IF(AQ121="2",BH121,0),2)</f>
        <v>0</v>
      </c>
      <c r="AG121" s="28">
        <f>ROUND(IF(AQ121="2",BI121,0),2)</f>
        <v>0</v>
      </c>
      <c r="AH121" s="28">
        <f>ROUND(IF(AQ121="0",BJ121,0),2)</f>
        <v>0</v>
      </c>
      <c r="AI121" s="10" t="s">
        <v>184</v>
      </c>
      <c r="AJ121" s="28">
        <f>IF(AN121=0,J121,0)</f>
        <v>0</v>
      </c>
      <c r="AK121" s="28">
        <f>IF(AN121=12,J121,0)</f>
        <v>0</v>
      </c>
      <c r="AL121" s="28">
        <f>IF(AN121=21,J121,0)</f>
        <v>0</v>
      </c>
      <c r="AN121" s="28">
        <v>21</v>
      </c>
      <c r="AO121" s="28">
        <f>G121*0</f>
        <v>0</v>
      </c>
      <c r="AP121" s="28">
        <f>G121*(1-0)</f>
        <v>0</v>
      </c>
      <c r="AQ121" s="30" t="s">
        <v>111</v>
      </c>
      <c r="AV121" s="28">
        <f>ROUND(AW121+AX121,2)</f>
        <v>0</v>
      </c>
      <c r="AW121" s="28">
        <f>ROUND(F121*AO121,2)</f>
        <v>0</v>
      </c>
      <c r="AX121" s="28">
        <f>ROUND(F121*AP121,2)</f>
        <v>0</v>
      </c>
      <c r="AY121" s="30" t="s">
        <v>250</v>
      </c>
      <c r="AZ121" s="30" t="s">
        <v>189</v>
      </c>
      <c r="BA121" s="10" t="s">
        <v>190</v>
      </c>
      <c r="BC121" s="28">
        <f>AW121+AX121</f>
        <v>0</v>
      </c>
      <c r="BD121" s="28">
        <f>G121/(100-BE121)*100</f>
        <v>0</v>
      </c>
      <c r="BE121" s="28">
        <v>0</v>
      </c>
      <c r="BF121" s="28">
        <f>121</f>
        <v>121</v>
      </c>
      <c r="BH121" s="28">
        <f>F121*AO121</f>
        <v>0</v>
      </c>
      <c r="BI121" s="28">
        <f>F121*AP121</f>
        <v>0</v>
      </c>
      <c r="BJ121" s="28">
        <f>F121*G121</f>
        <v>0</v>
      </c>
      <c r="BK121" s="28"/>
      <c r="BL121" s="28">
        <v>764</v>
      </c>
      <c r="BW121" s="28">
        <v>21</v>
      </c>
      <c r="BX121" s="4" t="s">
        <v>257</v>
      </c>
    </row>
    <row r="122" spans="1:76" x14ac:dyDescent="0.25">
      <c r="A122" s="31"/>
      <c r="C122" s="34" t="s">
        <v>252</v>
      </c>
      <c r="D122" s="33" t="s">
        <v>258</v>
      </c>
      <c r="F122" s="35">
        <v>100.965</v>
      </c>
      <c r="K122" s="36"/>
    </row>
    <row r="123" spans="1:76" x14ac:dyDescent="0.25">
      <c r="A123" s="2" t="s">
        <v>259</v>
      </c>
      <c r="B123" s="3" t="s">
        <v>260</v>
      </c>
      <c r="C123" s="230" t="s">
        <v>261</v>
      </c>
      <c r="D123" s="225"/>
      <c r="E123" s="3" t="s">
        <v>205</v>
      </c>
      <c r="F123" s="28">
        <v>13.36</v>
      </c>
      <c r="G123" s="28">
        <v>0</v>
      </c>
      <c r="H123" s="28">
        <f>ROUND(F123*AO123,2)</f>
        <v>0</v>
      </c>
      <c r="I123" s="28">
        <f>ROUND(F123*AP123,2)</f>
        <v>0</v>
      </c>
      <c r="J123" s="28">
        <f>ROUND(F123*G123,2)</f>
        <v>0</v>
      </c>
      <c r="K123" s="29" t="s">
        <v>70</v>
      </c>
      <c r="Z123" s="28">
        <f>ROUND(IF(AQ123="5",BJ123,0),2)</f>
        <v>0</v>
      </c>
      <c r="AB123" s="28">
        <f>ROUND(IF(AQ123="1",BH123,0),2)</f>
        <v>0</v>
      </c>
      <c r="AC123" s="28">
        <f>ROUND(IF(AQ123="1",BI123,0),2)</f>
        <v>0</v>
      </c>
      <c r="AD123" s="28">
        <f>ROUND(IF(AQ123="7",BH123,0),2)</f>
        <v>0</v>
      </c>
      <c r="AE123" s="28">
        <f>ROUND(IF(AQ123="7",BI123,0),2)</f>
        <v>0</v>
      </c>
      <c r="AF123" s="28">
        <f>ROUND(IF(AQ123="2",BH123,0),2)</f>
        <v>0</v>
      </c>
      <c r="AG123" s="28">
        <f>ROUND(IF(AQ123="2",BI123,0),2)</f>
        <v>0</v>
      </c>
      <c r="AH123" s="28">
        <f>ROUND(IF(AQ123="0",BJ123,0),2)</f>
        <v>0</v>
      </c>
      <c r="AI123" s="10" t="s">
        <v>184</v>
      </c>
      <c r="AJ123" s="28">
        <f>IF(AN123=0,J123,0)</f>
        <v>0</v>
      </c>
      <c r="AK123" s="28">
        <f>IF(AN123=12,J123,0)</f>
        <v>0</v>
      </c>
      <c r="AL123" s="28">
        <f>IF(AN123=21,J123,0)</f>
        <v>0</v>
      </c>
      <c r="AN123" s="28">
        <v>21</v>
      </c>
      <c r="AO123" s="28">
        <f>G123*0</f>
        <v>0</v>
      </c>
      <c r="AP123" s="28">
        <f>G123*(1-0)</f>
        <v>0</v>
      </c>
      <c r="AQ123" s="30" t="s">
        <v>111</v>
      </c>
      <c r="AV123" s="28">
        <f>ROUND(AW123+AX123,2)</f>
        <v>0</v>
      </c>
      <c r="AW123" s="28">
        <f>ROUND(F123*AO123,2)</f>
        <v>0</v>
      </c>
      <c r="AX123" s="28">
        <f>ROUND(F123*AP123,2)</f>
        <v>0</v>
      </c>
      <c r="AY123" s="30" t="s">
        <v>250</v>
      </c>
      <c r="AZ123" s="30" t="s">
        <v>189</v>
      </c>
      <c r="BA123" s="10" t="s">
        <v>190</v>
      </c>
      <c r="BC123" s="28">
        <f>AW123+AX123</f>
        <v>0</v>
      </c>
      <c r="BD123" s="28">
        <f>G123/(100-BE123)*100</f>
        <v>0</v>
      </c>
      <c r="BE123" s="28">
        <v>0</v>
      </c>
      <c r="BF123" s="28">
        <f>123</f>
        <v>123</v>
      </c>
      <c r="BH123" s="28">
        <f>F123*AO123</f>
        <v>0</v>
      </c>
      <c r="BI123" s="28">
        <f>F123*AP123</f>
        <v>0</v>
      </c>
      <c r="BJ123" s="28">
        <f>F123*G123</f>
        <v>0</v>
      </c>
      <c r="BK123" s="28"/>
      <c r="BL123" s="28">
        <v>764</v>
      </c>
      <c r="BW123" s="28">
        <v>21</v>
      </c>
      <c r="BX123" s="4" t="s">
        <v>261</v>
      </c>
    </row>
    <row r="124" spans="1:76" x14ac:dyDescent="0.25">
      <c r="A124" s="31"/>
      <c r="C124" s="34" t="s">
        <v>262</v>
      </c>
      <c r="D124" s="33" t="s">
        <v>52</v>
      </c>
      <c r="F124" s="35">
        <v>13.36</v>
      </c>
      <c r="K124" s="36"/>
    </row>
    <row r="125" spans="1:76" x14ac:dyDescent="0.25">
      <c r="A125" s="2" t="s">
        <v>263</v>
      </c>
      <c r="B125" s="3" t="s">
        <v>264</v>
      </c>
      <c r="C125" s="230" t="s">
        <v>265</v>
      </c>
      <c r="D125" s="225"/>
      <c r="E125" s="3" t="s">
        <v>205</v>
      </c>
      <c r="F125" s="28">
        <v>12</v>
      </c>
      <c r="G125" s="28">
        <v>0</v>
      </c>
      <c r="H125" s="28">
        <f>ROUND(F125*AO125,2)</f>
        <v>0</v>
      </c>
      <c r="I125" s="28">
        <f>ROUND(F125*AP125,2)</f>
        <v>0</v>
      </c>
      <c r="J125" s="28">
        <f>ROUND(F125*G125,2)</f>
        <v>0</v>
      </c>
      <c r="K125" s="29" t="s">
        <v>70</v>
      </c>
      <c r="Z125" s="28">
        <f>ROUND(IF(AQ125="5",BJ125,0),2)</f>
        <v>0</v>
      </c>
      <c r="AB125" s="28">
        <f>ROUND(IF(AQ125="1",BH125,0),2)</f>
        <v>0</v>
      </c>
      <c r="AC125" s="28">
        <f>ROUND(IF(AQ125="1",BI125,0),2)</f>
        <v>0</v>
      </c>
      <c r="AD125" s="28">
        <f>ROUND(IF(AQ125="7",BH125,0),2)</f>
        <v>0</v>
      </c>
      <c r="AE125" s="28">
        <f>ROUND(IF(AQ125="7",BI125,0),2)</f>
        <v>0</v>
      </c>
      <c r="AF125" s="28">
        <f>ROUND(IF(AQ125="2",BH125,0),2)</f>
        <v>0</v>
      </c>
      <c r="AG125" s="28">
        <f>ROUND(IF(AQ125="2",BI125,0),2)</f>
        <v>0</v>
      </c>
      <c r="AH125" s="28">
        <f>ROUND(IF(AQ125="0",BJ125,0),2)</f>
        <v>0</v>
      </c>
      <c r="AI125" s="10" t="s">
        <v>184</v>
      </c>
      <c r="AJ125" s="28">
        <f>IF(AN125=0,J125,0)</f>
        <v>0</v>
      </c>
      <c r="AK125" s="28">
        <f>IF(AN125=12,J125,0)</f>
        <v>0</v>
      </c>
      <c r="AL125" s="28">
        <f>IF(AN125=21,J125,0)</f>
        <v>0</v>
      </c>
      <c r="AN125" s="28">
        <v>21</v>
      </c>
      <c r="AO125" s="28">
        <f>G125*0</f>
        <v>0</v>
      </c>
      <c r="AP125" s="28">
        <f>G125*(1-0)</f>
        <v>0</v>
      </c>
      <c r="AQ125" s="30" t="s">
        <v>111</v>
      </c>
      <c r="AV125" s="28">
        <f>ROUND(AW125+AX125,2)</f>
        <v>0</v>
      </c>
      <c r="AW125" s="28">
        <f>ROUND(F125*AO125,2)</f>
        <v>0</v>
      </c>
      <c r="AX125" s="28">
        <f>ROUND(F125*AP125,2)</f>
        <v>0</v>
      </c>
      <c r="AY125" s="30" t="s">
        <v>250</v>
      </c>
      <c r="AZ125" s="30" t="s">
        <v>189</v>
      </c>
      <c r="BA125" s="10" t="s">
        <v>190</v>
      </c>
      <c r="BC125" s="28">
        <f>AW125+AX125</f>
        <v>0</v>
      </c>
      <c r="BD125" s="28">
        <f>G125/(100-BE125)*100</f>
        <v>0</v>
      </c>
      <c r="BE125" s="28">
        <v>0</v>
      </c>
      <c r="BF125" s="28">
        <f>125</f>
        <v>125</v>
      </c>
      <c r="BH125" s="28">
        <f>F125*AO125</f>
        <v>0</v>
      </c>
      <c r="BI125" s="28">
        <f>F125*AP125</f>
        <v>0</v>
      </c>
      <c r="BJ125" s="28">
        <f>F125*G125</f>
        <v>0</v>
      </c>
      <c r="BK125" s="28"/>
      <c r="BL125" s="28">
        <v>764</v>
      </c>
      <c r="BW125" s="28">
        <v>21</v>
      </c>
      <c r="BX125" s="4" t="s">
        <v>265</v>
      </c>
    </row>
    <row r="126" spans="1:76" x14ac:dyDescent="0.25">
      <c r="A126" s="31"/>
      <c r="C126" s="34" t="s">
        <v>266</v>
      </c>
      <c r="D126" s="33" t="s">
        <v>267</v>
      </c>
      <c r="F126" s="35">
        <v>12</v>
      </c>
      <c r="K126" s="36"/>
    </row>
    <row r="127" spans="1:76" x14ac:dyDescent="0.25">
      <c r="A127" s="2" t="s">
        <v>268</v>
      </c>
      <c r="B127" s="3" t="s">
        <v>269</v>
      </c>
      <c r="C127" s="230" t="s">
        <v>270</v>
      </c>
      <c r="D127" s="225"/>
      <c r="E127" s="3" t="s">
        <v>69</v>
      </c>
      <c r="F127" s="28">
        <v>588.79999999999995</v>
      </c>
      <c r="G127" s="28">
        <v>0</v>
      </c>
      <c r="H127" s="28">
        <f>ROUND(F127*AO127,2)</f>
        <v>0</v>
      </c>
      <c r="I127" s="28">
        <f>ROUND(F127*AP127,2)</f>
        <v>0</v>
      </c>
      <c r="J127" s="28">
        <f>ROUND(F127*G127,2)</f>
        <v>0</v>
      </c>
      <c r="K127" s="29" t="s">
        <v>70</v>
      </c>
      <c r="Z127" s="28">
        <f>ROUND(IF(AQ127="5",BJ127,0),2)</f>
        <v>0</v>
      </c>
      <c r="AB127" s="28">
        <f>ROUND(IF(AQ127="1",BH127,0),2)</f>
        <v>0</v>
      </c>
      <c r="AC127" s="28">
        <f>ROUND(IF(AQ127="1",BI127,0),2)</f>
        <v>0</v>
      </c>
      <c r="AD127" s="28">
        <f>ROUND(IF(AQ127="7",BH127,0),2)</f>
        <v>0</v>
      </c>
      <c r="AE127" s="28">
        <f>ROUND(IF(AQ127="7",BI127,0),2)</f>
        <v>0</v>
      </c>
      <c r="AF127" s="28">
        <f>ROUND(IF(AQ127="2",BH127,0),2)</f>
        <v>0</v>
      </c>
      <c r="AG127" s="28">
        <f>ROUND(IF(AQ127="2",BI127,0),2)</f>
        <v>0</v>
      </c>
      <c r="AH127" s="28">
        <f>ROUND(IF(AQ127="0",BJ127,0),2)</f>
        <v>0</v>
      </c>
      <c r="AI127" s="10" t="s">
        <v>184</v>
      </c>
      <c r="AJ127" s="28">
        <f>IF(AN127=0,J127,0)</f>
        <v>0</v>
      </c>
      <c r="AK127" s="28">
        <f>IF(AN127=12,J127,0)</f>
        <v>0</v>
      </c>
      <c r="AL127" s="28">
        <f>IF(AN127=21,J127,0)</f>
        <v>0</v>
      </c>
      <c r="AN127" s="28">
        <v>21</v>
      </c>
      <c r="AO127" s="28">
        <f>G127*0.77519307</f>
        <v>0</v>
      </c>
      <c r="AP127" s="28">
        <f>G127*(1-0.77519307)</f>
        <v>0</v>
      </c>
      <c r="AQ127" s="30" t="s">
        <v>111</v>
      </c>
      <c r="AV127" s="28">
        <f>ROUND(AW127+AX127,2)</f>
        <v>0</v>
      </c>
      <c r="AW127" s="28">
        <f>ROUND(F127*AO127,2)</f>
        <v>0</v>
      </c>
      <c r="AX127" s="28">
        <f>ROUND(F127*AP127,2)</f>
        <v>0</v>
      </c>
      <c r="AY127" s="30" t="s">
        <v>250</v>
      </c>
      <c r="AZ127" s="30" t="s">
        <v>189</v>
      </c>
      <c r="BA127" s="10" t="s">
        <v>190</v>
      </c>
      <c r="BC127" s="28">
        <f>AW127+AX127</f>
        <v>0</v>
      </c>
      <c r="BD127" s="28">
        <f>G127/(100-BE127)*100</f>
        <v>0</v>
      </c>
      <c r="BE127" s="28">
        <v>0</v>
      </c>
      <c r="BF127" s="28">
        <f>127</f>
        <v>127</v>
      </c>
      <c r="BH127" s="28">
        <f>F127*AO127</f>
        <v>0</v>
      </c>
      <c r="BI127" s="28">
        <f>F127*AP127</f>
        <v>0</v>
      </c>
      <c r="BJ127" s="28">
        <f>F127*G127</f>
        <v>0</v>
      </c>
      <c r="BK127" s="28"/>
      <c r="BL127" s="28">
        <v>764</v>
      </c>
      <c r="BW127" s="28">
        <v>21</v>
      </c>
      <c r="BX127" s="4" t="s">
        <v>270</v>
      </c>
    </row>
    <row r="128" spans="1:76" ht="13.5" customHeight="1" x14ac:dyDescent="0.25">
      <c r="A128" s="31"/>
      <c r="C128" s="248" t="s">
        <v>271</v>
      </c>
      <c r="D128" s="249"/>
      <c r="E128" s="249"/>
      <c r="F128" s="249"/>
      <c r="G128" s="249"/>
      <c r="H128" s="249"/>
      <c r="I128" s="249"/>
      <c r="J128" s="249"/>
      <c r="K128" s="250"/>
    </row>
    <row r="129" spans="1:76" x14ac:dyDescent="0.25">
      <c r="A129" s="31"/>
      <c r="C129" s="34" t="s">
        <v>272</v>
      </c>
      <c r="D129" s="33" t="s">
        <v>273</v>
      </c>
      <c r="F129" s="35">
        <v>588.79999999999995</v>
      </c>
      <c r="K129" s="36"/>
    </row>
    <row r="130" spans="1:76" x14ac:dyDescent="0.25">
      <c r="A130" s="45"/>
      <c r="B130" s="74" t="s">
        <v>85</v>
      </c>
      <c r="C130" s="263" t="s">
        <v>274</v>
      </c>
      <c r="D130" s="264"/>
      <c r="E130" s="264"/>
      <c r="F130" s="264"/>
      <c r="G130" s="264"/>
      <c r="H130" s="264"/>
      <c r="I130" s="264"/>
      <c r="J130" s="264"/>
      <c r="K130" s="265"/>
      <c r="BX130" s="32" t="s">
        <v>274</v>
      </c>
    </row>
    <row r="131" spans="1:76" x14ac:dyDescent="0.25">
      <c r="A131" s="75" t="s">
        <v>275</v>
      </c>
      <c r="B131" s="76" t="s">
        <v>276</v>
      </c>
      <c r="C131" s="266" t="s">
        <v>277</v>
      </c>
      <c r="D131" s="267"/>
      <c r="E131" s="76" t="s">
        <v>69</v>
      </c>
      <c r="F131" s="77">
        <v>665.20299999999997</v>
      </c>
      <c r="G131" s="77">
        <v>0</v>
      </c>
      <c r="H131" s="77">
        <f>ROUND(F131*AO131,2)</f>
        <v>0</v>
      </c>
      <c r="I131" s="77">
        <f>ROUND(F131*AP131,2)</f>
        <v>0</v>
      </c>
      <c r="J131" s="77">
        <f>ROUND(F131*G131,2)</f>
        <v>0</v>
      </c>
      <c r="K131" s="78" t="s">
        <v>70</v>
      </c>
      <c r="Z131" s="28">
        <f>ROUND(IF(AQ131="5",BJ131,0),2)</f>
        <v>0</v>
      </c>
      <c r="AB131" s="28">
        <f>ROUND(IF(AQ131="1",BH131,0),2)</f>
        <v>0</v>
      </c>
      <c r="AC131" s="28">
        <f>ROUND(IF(AQ131="1",BI131,0),2)</f>
        <v>0</v>
      </c>
      <c r="AD131" s="28">
        <f>ROUND(IF(AQ131="7",BH131,0),2)</f>
        <v>0</v>
      </c>
      <c r="AE131" s="28">
        <f>ROUND(IF(AQ131="7",BI131,0),2)</f>
        <v>0</v>
      </c>
      <c r="AF131" s="28">
        <f>ROUND(IF(AQ131="2",BH131,0),2)</f>
        <v>0</v>
      </c>
      <c r="AG131" s="28">
        <f>ROUND(IF(AQ131="2",BI131,0),2)</f>
        <v>0</v>
      </c>
      <c r="AH131" s="28">
        <f>ROUND(IF(AQ131="0",BJ131,0),2)</f>
        <v>0</v>
      </c>
      <c r="AI131" s="10" t="s">
        <v>184</v>
      </c>
      <c r="AJ131" s="28">
        <f>IF(AN131=0,J131,0)</f>
        <v>0</v>
      </c>
      <c r="AK131" s="28">
        <f>IF(AN131=12,J131,0)</f>
        <v>0</v>
      </c>
      <c r="AL131" s="28">
        <f>IF(AN131=21,J131,0)</f>
        <v>0</v>
      </c>
      <c r="AN131" s="28">
        <v>21</v>
      </c>
      <c r="AO131" s="28">
        <f>G131*0.686162561</f>
        <v>0</v>
      </c>
      <c r="AP131" s="28">
        <f>G131*(1-0.686162561)</f>
        <v>0</v>
      </c>
      <c r="AQ131" s="30" t="s">
        <v>111</v>
      </c>
      <c r="AV131" s="28">
        <f>ROUND(AW131+AX131,2)</f>
        <v>0</v>
      </c>
      <c r="AW131" s="28">
        <f>ROUND(F131*AO131,2)</f>
        <v>0</v>
      </c>
      <c r="AX131" s="28">
        <f>ROUND(F131*AP131,2)</f>
        <v>0</v>
      </c>
      <c r="AY131" s="30" t="s">
        <v>250</v>
      </c>
      <c r="AZ131" s="30" t="s">
        <v>189</v>
      </c>
      <c r="BA131" s="10" t="s">
        <v>190</v>
      </c>
      <c r="BC131" s="28">
        <f>AW131+AX131</f>
        <v>0</v>
      </c>
      <c r="BD131" s="28">
        <f>G131/(100-BE131)*100</f>
        <v>0</v>
      </c>
      <c r="BE131" s="28">
        <v>0</v>
      </c>
      <c r="BF131" s="28">
        <f>131</f>
        <v>131</v>
      </c>
      <c r="BH131" s="28">
        <f>F131*AO131</f>
        <v>0</v>
      </c>
      <c r="BI131" s="28">
        <f>F131*AP131</f>
        <v>0</v>
      </c>
      <c r="BJ131" s="28">
        <f>F131*G131</f>
        <v>0</v>
      </c>
      <c r="BK131" s="28"/>
      <c r="BL131" s="28">
        <v>764</v>
      </c>
      <c r="BW131" s="28">
        <v>21</v>
      </c>
      <c r="BX131" s="4" t="s">
        <v>277</v>
      </c>
    </row>
    <row r="132" spans="1:76" ht="13.5" customHeight="1" x14ac:dyDescent="0.25">
      <c r="A132" s="60"/>
      <c r="C132" s="255" t="s">
        <v>278</v>
      </c>
      <c r="D132" s="256"/>
      <c r="E132" s="256"/>
      <c r="F132" s="256"/>
      <c r="G132" s="256"/>
      <c r="H132" s="256"/>
      <c r="I132" s="256"/>
      <c r="J132" s="256"/>
      <c r="K132" s="257"/>
    </row>
    <row r="133" spans="1:76" x14ac:dyDescent="0.25">
      <c r="A133" s="79"/>
      <c r="B133" s="80"/>
      <c r="C133" s="81" t="s">
        <v>279</v>
      </c>
      <c r="D133" s="82" t="s">
        <v>280</v>
      </c>
      <c r="E133" s="80"/>
      <c r="F133" s="83">
        <v>665.20299999999997</v>
      </c>
      <c r="G133" s="80"/>
      <c r="H133" s="80"/>
      <c r="I133" s="80"/>
      <c r="J133" s="80"/>
      <c r="K133" s="84"/>
    </row>
    <row r="134" spans="1:76" ht="25.5" x14ac:dyDescent="0.25">
      <c r="A134" s="60"/>
      <c r="B134" s="61" t="s">
        <v>85</v>
      </c>
      <c r="C134" s="255" t="s">
        <v>281</v>
      </c>
      <c r="D134" s="256"/>
      <c r="E134" s="256"/>
      <c r="F134" s="256"/>
      <c r="G134" s="256"/>
      <c r="H134" s="256"/>
      <c r="I134" s="256"/>
      <c r="J134" s="256"/>
      <c r="K134" s="257"/>
      <c r="BX134" s="32" t="s">
        <v>281</v>
      </c>
    </row>
    <row r="135" spans="1:76" x14ac:dyDescent="0.25">
      <c r="A135" s="75" t="s">
        <v>282</v>
      </c>
      <c r="B135" s="76" t="s">
        <v>283</v>
      </c>
      <c r="C135" s="266" t="s">
        <v>284</v>
      </c>
      <c r="D135" s="267"/>
      <c r="E135" s="76" t="s">
        <v>205</v>
      </c>
      <c r="F135" s="77">
        <v>98.87</v>
      </c>
      <c r="G135" s="77">
        <v>0</v>
      </c>
      <c r="H135" s="77">
        <f>ROUND(F135*AO135,2)</f>
        <v>0</v>
      </c>
      <c r="I135" s="77">
        <f>ROUND(F135*AP135,2)</f>
        <v>0</v>
      </c>
      <c r="J135" s="77">
        <f>ROUND(F135*G135,2)</f>
        <v>0</v>
      </c>
      <c r="K135" s="78" t="s">
        <v>70</v>
      </c>
      <c r="Z135" s="28">
        <f>ROUND(IF(AQ135="5",BJ135,0),2)</f>
        <v>0</v>
      </c>
      <c r="AB135" s="28">
        <f>ROUND(IF(AQ135="1",BH135,0),2)</f>
        <v>0</v>
      </c>
      <c r="AC135" s="28">
        <f>ROUND(IF(AQ135="1",BI135,0),2)</f>
        <v>0</v>
      </c>
      <c r="AD135" s="28">
        <f>ROUND(IF(AQ135="7",BH135,0),2)</f>
        <v>0</v>
      </c>
      <c r="AE135" s="28">
        <f>ROUND(IF(AQ135="7",BI135,0),2)</f>
        <v>0</v>
      </c>
      <c r="AF135" s="28">
        <f>ROUND(IF(AQ135="2",BH135,0),2)</f>
        <v>0</v>
      </c>
      <c r="AG135" s="28">
        <f>ROUND(IF(AQ135="2",BI135,0),2)</f>
        <v>0</v>
      </c>
      <c r="AH135" s="28">
        <f>ROUND(IF(AQ135="0",BJ135,0),2)</f>
        <v>0</v>
      </c>
      <c r="AI135" s="10" t="s">
        <v>184</v>
      </c>
      <c r="AJ135" s="28">
        <f>IF(AN135=0,J135,0)</f>
        <v>0</v>
      </c>
      <c r="AK135" s="28">
        <f>IF(AN135=12,J135,0)</f>
        <v>0</v>
      </c>
      <c r="AL135" s="28">
        <f>IF(AN135=21,J135,0)</f>
        <v>0</v>
      </c>
      <c r="AN135" s="28">
        <v>21</v>
      </c>
      <c r="AO135" s="28">
        <f>G135*0.061137561</f>
        <v>0</v>
      </c>
      <c r="AP135" s="28">
        <f>G135*(1-0.061137561)</f>
        <v>0</v>
      </c>
      <c r="AQ135" s="30" t="s">
        <v>111</v>
      </c>
      <c r="AV135" s="28">
        <f>ROUND(AW135+AX135,2)</f>
        <v>0</v>
      </c>
      <c r="AW135" s="28">
        <f>ROUND(F135*AO135,2)</f>
        <v>0</v>
      </c>
      <c r="AX135" s="28">
        <f>ROUND(F135*AP135,2)</f>
        <v>0</v>
      </c>
      <c r="AY135" s="30" t="s">
        <v>250</v>
      </c>
      <c r="AZ135" s="30" t="s">
        <v>189</v>
      </c>
      <c r="BA135" s="10" t="s">
        <v>190</v>
      </c>
      <c r="BC135" s="28">
        <f>AW135+AX135</f>
        <v>0</v>
      </c>
      <c r="BD135" s="28">
        <f>G135/(100-BE135)*100</f>
        <v>0</v>
      </c>
      <c r="BE135" s="28">
        <v>0</v>
      </c>
      <c r="BF135" s="28">
        <f>135</f>
        <v>135</v>
      </c>
      <c r="BH135" s="28">
        <f>F135*AO135</f>
        <v>0</v>
      </c>
      <c r="BI135" s="28">
        <f>F135*AP135</f>
        <v>0</v>
      </c>
      <c r="BJ135" s="28">
        <f>F135*G135</f>
        <v>0</v>
      </c>
      <c r="BK135" s="28"/>
      <c r="BL135" s="28">
        <v>764</v>
      </c>
      <c r="BW135" s="28">
        <v>21</v>
      </c>
      <c r="BX135" s="4" t="s">
        <v>284</v>
      </c>
    </row>
    <row r="136" spans="1:76" ht="27" customHeight="1" x14ac:dyDescent="0.25">
      <c r="A136" s="60"/>
      <c r="C136" s="255" t="s">
        <v>285</v>
      </c>
      <c r="D136" s="256"/>
      <c r="E136" s="256"/>
      <c r="F136" s="256"/>
      <c r="G136" s="256"/>
      <c r="H136" s="256"/>
      <c r="I136" s="256"/>
      <c r="J136" s="256"/>
      <c r="K136" s="257"/>
    </row>
    <row r="137" spans="1:76" x14ac:dyDescent="0.25">
      <c r="A137" s="79"/>
      <c r="B137" s="80"/>
      <c r="C137" s="81" t="s">
        <v>286</v>
      </c>
      <c r="D137" s="82" t="s">
        <v>287</v>
      </c>
      <c r="E137" s="80"/>
      <c r="F137" s="83">
        <v>98.87</v>
      </c>
      <c r="G137" s="80"/>
      <c r="H137" s="80"/>
      <c r="I137" s="80"/>
      <c r="J137" s="80"/>
      <c r="K137" s="84"/>
    </row>
    <row r="138" spans="1:76" ht="25.5" x14ac:dyDescent="0.25">
      <c r="A138" s="85" t="s">
        <v>288</v>
      </c>
      <c r="B138" s="86" t="s">
        <v>289</v>
      </c>
      <c r="C138" s="268" t="s">
        <v>290</v>
      </c>
      <c r="D138" s="269"/>
      <c r="E138" s="86" t="s">
        <v>205</v>
      </c>
      <c r="F138" s="87">
        <v>108.75700000000001</v>
      </c>
      <c r="G138" s="87">
        <v>0</v>
      </c>
      <c r="H138" s="87">
        <f>ROUND(F138*AO138,2)</f>
        <v>0</v>
      </c>
      <c r="I138" s="87">
        <f>ROUND(F138*AP138,2)</f>
        <v>0</v>
      </c>
      <c r="J138" s="87">
        <f>ROUND(F138*G138,2)</f>
        <v>0</v>
      </c>
      <c r="K138" s="88" t="s">
        <v>70</v>
      </c>
      <c r="Z138" s="28">
        <f>ROUND(IF(AQ138="5",BJ138,0),2)</f>
        <v>0</v>
      </c>
      <c r="AB138" s="28">
        <f>ROUND(IF(AQ138="1",BH138,0),2)</f>
        <v>0</v>
      </c>
      <c r="AC138" s="28">
        <f>ROUND(IF(AQ138="1",BI138,0),2)</f>
        <v>0</v>
      </c>
      <c r="AD138" s="28">
        <f>ROUND(IF(AQ138="7",BH138,0),2)</f>
        <v>0</v>
      </c>
      <c r="AE138" s="28">
        <f>ROUND(IF(AQ138="7",BI138,0),2)</f>
        <v>0</v>
      </c>
      <c r="AF138" s="28">
        <f>ROUND(IF(AQ138="2",BH138,0),2)</f>
        <v>0</v>
      </c>
      <c r="AG138" s="28">
        <f>ROUND(IF(AQ138="2",BI138,0),2)</f>
        <v>0</v>
      </c>
      <c r="AH138" s="28">
        <f>ROUND(IF(AQ138="0",BJ138,0),2)</f>
        <v>0</v>
      </c>
      <c r="AI138" s="10" t="s">
        <v>184</v>
      </c>
      <c r="AJ138" s="41">
        <f>IF(AN138=0,J138,0)</f>
        <v>0</v>
      </c>
      <c r="AK138" s="41">
        <f>IF(AN138=12,J138,0)</f>
        <v>0</v>
      </c>
      <c r="AL138" s="41">
        <f>IF(AN138=21,J138,0)</f>
        <v>0</v>
      </c>
      <c r="AN138" s="28">
        <v>21</v>
      </c>
      <c r="AO138" s="28">
        <f>G138*1</f>
        <v>0</v>
      </c>
      <c r="AP138" s="28">
        <f>G138*(1-1)</f>
        <v>0</v>
      </c>
      <c r="AQ138" s="43" t="s">
        <v>111</v>
      </c>
      <c r="AV138" s="28">
        <f>ROUND(AW138+AX138,2)</f>
        <v>0</v>
      </c>
      <c r="AW138" s="28">
        <f>ROUND(F138*AO138,2)</f>
        <v>0</v>
      </c>
      <c r="AX138" s="28">
        <f>ROUND(F138*AP138,2)</f>
        <v>0</v>
      </c>
      <c r="AY138" s="30" t="s">
        <v>250</v>
      </c>
      <c r="AZ138" s="30" t="s">
        <v>189</v>
      </c>
      <c r="BA138" s="10" t="s">
        <v>190</v>
      </c>
      <c r="BC138" s="28">
        <f>AW138+AX138</f>
        <v>0</v>
      </c>
      <c r="BD138" s="28">
        <f>G138/(100-BE138)*100</f>
        <v>0</v>
      </c>
      <c r="BE138" s="28">
        <v>0</v>
      </c>
      <c r="BF138" s="28">
        <f>138</f>
        <v>138</v>
      </c>
      <c r="BH138" s="41">
        <f>F138*AO138</f>
        <v>0</v>
      </c>
      <c r="BI138" s="41">
        <f>F138*AP138</f>
        <v>0</v>
      </c>
      <c r="BJ138" s="41">
        <f>F138*G138</f>
        <v>0</v>
      </c>
      <c r="BK138" s="41"/>
      <c r="BL138" s="28">
        <v>764</v>
      </c>
      <c r="BW138" s="28">
        <v>21</v>
      </c>
      <c r="BX138" s="40" t="s">
        <v>290</v>
      </c>
    </row>
    <row r="139" spans="1:76" x14ac:dyDescent="0.25">
      <c r="A139" s="89"/>
      <c r="B139" s="90"/>
      <c r="C139" s="91" t="s">
        <v>286</v>
      </c>
      <c r="D139" s="92" t="s">
        <v>287</v>
      </c>
      <c r="E139" s="90"/>
      <c r="F139" s="93">
        <v>98.87</v>
      </c>
      <c r="G139" s="90"/>
      <c r="H139" s="90"/>
      <c r="I139" s="90"/>
      <c r="J139" s="90"/>
      <c r="K139" s="94"/>
    </row>
    <row r="140" spans="1:76" x14ac:dyDescent="0.25">
      <c r="A140" s="89"/>
      <c r="B140" s="90"/>
      <c r="C140" s="91" t="s">
        <v>291</v>
      </c>
      <c r="D140" s="92" t="s">
        <v>52</v>
      </c>
      <c r="E140" s="90"/>
      <c r="F140" s="93">
        <v>9.8870000000000005</v>
      </c>
      <c r="G140" s="90"/>
      <c r="H140" s="90"/>
      <c r="I140" s="90"/>
      <c r="J140" s="90"/>
      <c r="K140" s="94"/>
    </row>
    <row r="141" spans="1:76" ht="25.5" x14ac:dyDescent="0.25">
      <c r="A141" s="95" t="s">
        <v>292</v>
      </c>
      <c r="B141" s="96" t="s">
        <v>293</v>
      </c>
      <c r="C141" s="270" t="s">
        <v>294</v>
      </c>
      <c r="D141" s="271"/>
      <c r="E141" s="96" t="s">
        <v>205</v>
      </c>
      <c r="F141" s="97">
        <v>98.87</v>
      </c>
      <c r="G141" s="97">
        <v>0</v>
      </c>
      <c r="H141" s="97">
        <f>ROUND(F141*AO141,2)</f>
        <v>0</v>
      </c>
      <c r="I141" s="97">
        <f>ROUND(F141*AP141,2)</f>
        <v>0</v>
      </c>
      <c r="J141" s="97">
        <f>ROUND(F141*G141,2)</f>
        <v>0</v>
      </c>
      <c r="K141" s="98" t="s">
        <v>223</v>
      </c>
      <c r="Z141" s="28">
        <f>ROUND(IF(AQ141="5",BJ141,0),2)</f>
        <v>0</v>
      </c>
      <c r="AB141" s="28">
        <f>ROUND(IF(AQ141="1",BH141,0),2)</f>
        <v>0</v>
      </c>
      <c r="AC141" s="28">
        <f>ROUND(IF(AQ141="1",BI141,0),2)</f>
        <v>0</v>
      </c>
      <c r="AD141" s="28">
        <f>ROUND(IF(AQ141="7",BH141,0),2)</f>
        <v>0</v>
      </c>
      <c r="AE141" s="28">
        <f>ROUND(IF(AQ141="7",BI141,0),2)</f>
        <v>0</v>
      </c>
      <c r="AF141" s="28">
        <f>ROUND(IF(AQ141="2",BH141,0),2)</f>
        <v>0</v>
      </c>
      <c r="AG141" s="28">
        <f>ROUND(IF(AQ141="2",BI141,0),2)</f>
        <v>0</v>
      </c>
      <c r="AH141" s="28">
        <f>ROUND(IF(AQ141="0",BJ141,0),2)</f>
        <v>0</v>
      </c>
      <c r="AI141" s="10" t="s">
        <v>184</v>
      </c>
      <c r="AJ141" s="28">
        <f>IF(AN141=0,J141,0)</f>
        <v>0</v>
      </c>
      <c r="AK141" s="28">
        <f>IF(AN141=12,J141,0)</f>
        <v>0</v>
      </c>
      <c r="AL141" s="28">
        <f>IF(AN141=21,J141,0)</f>
        <v>0</v>
      </c>
      <c r="AN141" s="28">
        <v>21</v>
      </c>
      <c r="AO141" s="28">
        <f>G141*0.756227831</f>
        <v>0</v>
      </c>
      <c r="AP141" s="28">
        <f>G141*(1-0.756227831)</f>
        <v>0</v>
      </c>
      <c r="AQ141" s="30" t="s">
        <v>111</v>
      </c>
      <c r="AV141" s="28">
        <f>ROUND(AW141+AX141,2)</f>
        <v>0</v>
      </c>
      <c r="AW141" s="28">
        <f>ROUND(F141*AO141,2)</f>
        <v>0</v>
      </c>
      <c r="AX141" s="28">
        <f>ROUND(F141*AP141,2)</f>
        <v>0</v>
      </c>
      <c r="AY141" s="30" t="s">
        <v>250</v>
      </c>
      <c r="AZ141" s="30" t="s">
        <v>189</v>
      </c>
      <c r="BA141" s="10" t="s">
        <v>190</v>
      </c>
      <c r="BC141" s="28">
        <f>AW141+AX141</f>
        <v>0</v>
      </c>
      <c r="BD141" s="28">
        <f>G141/(100-BE141)*100</f>
        <v>0</v>
      </c>
      <c r="BE141" s="28">
        <v>0</v>
      </c>
      <c r="BF141" s="28">
        <f>141</f>
        <v>141</v>
      </c>
      <c r="BH141" s="28">
        <f>F141*AO141</f>
        <v>0</v>
      </c>
      <c r="BI141" s="28">
        <f>F141*AP141</f>
        <v>0</v>
      </c>
      <c r="BJ141" s="28">
        <f>F141*G141</f>
        <v>0</v>
      </c>
      <c r="BK141" s="28"/>
      <c r="BL141" s="28">
        <v>764</v>
      </c>
      <c r="BW141" s="28">
        <v>21</v>
      </c>
      <c r="BX141" s="4" t="s">
        <v>294</v>
      </c>
    </row>
    <row r="142" spans="1:76" x14ac:dyDescent="0.25">
      <c r="A142" s="89"/>
      <c r="B142" s="90"/>
      <c r="C142" s="91" t="s">
        <v>286</v>
      </c>
      <c r="D142" s="92" t="s">
        <v>295</v>
      </c>
      <c r="E142" s="90"/>
      <c r="F142" s="93">
        <v>98.87</v>
      </c>
      <c r="G142" s="90"/>
      <c r="H142" s="90"/>
      <c r="I142" s="90"/>
      <c r="J142" s="90"/>
      <c r="K142" s="94"/>
    </row>
    <row r="143" spans="1:76" ht="25.5" x14ac:dyDescent="0.25">
      <c r="A143" s="95" t="s">
        <v>296</v>
      </c>
      <c r="B143" s="96" t="s">
        <v>297</v>
      </c>
      <c r="C143" s="270" t="s">
        <v>298</v>
      </c>
      <c r="D143" s="271"/>
      <c r="E143" s="96" t="s">
        <v>205</v>
      </c>
      <c r="F143" s="97">
        <v>64.97</v>
      </c>
      <c r="G143" s="97">
        <v>0</v>
      </c>
      <c r="H143" s="97">
        <f>ROUND(F143*AO143,2)</f>
        <v>0</v>
      </c>
      <c r="I143" s="97">
        <f>ROUND(F143*AP143,2)</f>
        <v>0</v>
      </c>
      <c r="J143" s="97">
        <f>ROUND(F143*G143,2)</f>
        <v>0</v>
      </c>
      <c r="K143" s="98" t="s">
        <v>70</v>
      </c>
      <c r="Z143" s="28">
        <f>ROUND(IF(AQ143="5",BJ143,0),2)</f>
        <v>0</v>
      </c>
      <c r="AB143" s="28">
        <f>ROUND(IF(AQ143="1",BH143,0),2)</f>
        <v>0</v>
      </c>
      <c r="AC143" s="28">
        <f>ROUND(IF(AQ143="1",BI143,0),2)</f>
        <v>0</v>
      </c>
      <c r="AD143" s="28">
        <f>ROUND(IF(AQ143="7",BH143,0),2)</f>
        <v>0</v>
      </c>
      <c r="AE143" s="28">
        <f>ROUND(IF(AQ143="7",BI143,0),2)</f>
        <v>0</v>
      </c>
      <c r="AF143" s="28">
        <f>ROUND(IF(AQ143="2",BH143,0),2)</f>
        <v>0</v>
      </c>
      <c r="AG143" s="28">
        <f>ROUND(IF(AQ143="2",BI143,0),2)</f>
        <v>0</v>
      </c>
      <c r="AH143" s="28">
        <f>ROUND(IF(AQ143="0",BJ143,0),2)</f>
        <v>0</v>
      </c>
      <c r="AI143" s="10" t="s">
        <v>184</v>
      </c>
      <c r="AJ143" s="28">
        <f>IF(AN143=0,J143,0)</f>
        <v>0</v>
      </c>
      <c r="AK143" s="28">
        <f>IF(AN143=12,J143,0)</f>
        <v>0</v>
      </c>
      <c r="AL143" s="28">
        <f>IF(AN143=21,J143,0)</f>
        <v>0</v>
      </c>
      <c r="AN143" s="28">
        <v>21</v>
      </c>
      <c r="AO143" s="28">
        <f>G143*0.810285044</f>
        <v>0</v>
      </c>
      <c r="AP143" s="28">
        <f>G143*(1-0.810285044)</f>
        <v>0</v>
      </c>
      <c r="AQ143" s="30" t="s">
        <v>111</v>
      </c>
      <c r="AV143" s="28">
        <f>ROUND(AW143+AX143,2)</f>
        <v>0</v>
      </c>
      <c r="AW143" s="28">
        <f>ROUND(F143*AO143,2)</f>
        <v>0</v>
      </c>
      <c r="AX143" s="28">
        <f>ROUND(F143*AP143,2)</f>
        <v>0</v>
      </c>
      <c r="AY143" s="30" t="s">
        <v>250</v>
      </c>
      <c r="AZ143" s="30" t="s">
        <v>189</v>
      </c>
      <c r="BA143" s="10" t="s">
        <v>190</v>
      </c>
      <c r="BC143" s="28">
        <f>AW143+AX143</f>
        <v>0</v>
      </c>
      <c r="BD143" s="28">
        <f>G143/(100-BE143)*100</f>
        <v>0</v>
      </c>
      <c r="BE143" s="28">
        <v>0</v>
      </c>
      <c r="BF143" s="28">
        <f>143</f>
        <v>143</v>
      </c>
      <c r="BH143" s="28">
        <f>F143*AO143</f>
        <v>0</v>
      </c>
      <c r="BI143" s="28">
        <f>F143*AP143</f>
        <v>0</v>
      </c>
      <c r="BJ143" s="28">
        <f>F143*G143</f>
        <v>0</v>
      </c>
      <c r="BK143" s="28"/>
      <c r="BL143" s="28">
        <v>764</v>
      </c>
      <c r="BW143" s="28">
        <v>21</v>
      </c>
      <c r="BX143" s="4" t="s">
        <v>298</v>
      </c>
    </row>
    <row r="144" spans="1:76" ht="13.5" customHeight="1" x14ac:dyDescent="0.25">
      <c r="A144" s="60"/>
      <c r="C144" s="255" t="s">
        <v>278</v>
      </c>
      <c r="D144" s="256"/>
      <c r="E144" s="256"/>
      <c r="F144" s="256"/>
      <c r="G144" s="256"/>
      <c r="H144" s="256"/>
      <c r="I144" s="256"/>
      <c r="J144" s="256"/>
      <c r="K144" s="257"/>
    </row>
    <row r="145" spans="1:76" x14ac:dyDescent="0.25">
      <c r="A145" s="79"/>
      <c r="B145" s="80"/>
      <c r="C145" s="81" t="s">
        <v>299</v>
      </c>
      <c r="D145" s="82" t="s">
        <v>300</v>
      </c>
      <c r="E145" s="80"/>
      <c r="F145" s="83">
        <v>64.97</v>
      </c>
      <c r="G145" s="80"/>
      <c r="H145" s="80"/>
      <c r="I145" s="80"/>
      <c r="J145" s="80"/>
      <c r="K145" s="84"/>
    </row>
    <row r="146" spans="1:76" x14ac:dyDescent="0.25">
      <c r="A146" s="95" t="s">
        <v>301</v>
      </c>
      <c r="B146" s="96" t="s">
        <v>302</v>
      </c>
      <c r="C146" s="270" t="s">
        <v>303</v>
      </c>
      <c r="D146" s="271"/>
      <c r="E146" s="96" t="s">
        <v>205</v>
      </c>
      <c r="F146" s="97">
        <v>64.97</v>
      </c>
      <c r="G146" s="97">
        <v>0</v>
      </c>
      <c r="H146" s="97">
        <f>ROUND(F146*AO146,2)</f>
        <v>0</v>
      </c>
      <c r="I146" s="97">
        <f>ROUND(F146*AP146,2)</f>
        <v>0</v>
      </c>
      <c r="J146" s="97">
        <f>ROUND(F146*G146,2)</f>
        <v>0</v>
      </c>
      <c r="K146" s="98" t="s">
        <v>223</v>
      </c>
      <c r="Z146" s="28">
        <f>ROUND(IF(AQ146="5",BJ146,0),2)</f>
        <v>0</v>
      </c>
      <c r="AB146" s="28">
        <f>ROUND(IF(AQ146="1",BH146,0),2)</f>
        <v>0</v>
      </c>
      <c r="AC146" s="28">
        <f>ROUND(IF(AQ146="1",BI146,0),2)</f>
        <v>0</v>
      </c>
      <c r="AD146" s="28">
        <f>ROUND(IF(AQ146="7",BH146,0),2)</f>
        <v>0</v>
      </c>
      <c r="AE146" s="28">
        <f>ROUND(IF(AQ146="7",BI146,0),2)</f>
        <v>0</v>
      </c>
      <c r="AF146" s="28">
        <f>ROUND(IF(AQ146="2",BH146,0),2)</f>
        <v>0</v>
      </c>
      <c r="AG146" s="28">
        <f>ROUND(IF(AQ146="2",BI146,0),2)</f>
        <v>0</v>
      </c>
      <c r="AH146" s="28">
        <f>ROUND(IF(AQ146="0",BJ146,0),2)</f>
        <v>0</v>
      </c>
      <c r="AI146" s="10" t="s">
        <v>184</v>
      </c>
      <c r="AJ146" s="28">
        <f>IF(AN146=0,J146,0)</f>
        <v>0</v>
      </c>
      <c r="AK146" s="28">
        <f>IF(AN146=12,J146,0)</f>
        <v>0</v>
      </c>
      <c r="AL146" s="28">
        <f>IF(AN146=21,J146,0)</f>
        <v>0</v>
      </c>
      <c r="AN146" s="28">
        <v>21</v>
      </c>
      <c r="AO146" s="28">
        <f>G146*0.027367698</f>
        <v>0</v>
      </c>
      <c r="AP146" s="28">
        <f>G146*(1-0.027367698)</f>
        <v>0</v>
      </c>
      <c r="AQ146" s="30" t="s">
        <v>111</v>
      </c>
      <c r="AV146" s="28">
        <f>ROUND(AW146+AX146,2)</f>
        <v>0</v>
      </c>
      <c r="AW146" s="28">
        <f>ROUND(F146*AO146,2)</f>
        <v>0</v>
      </c>
      <c r="AX146" s="28">
        <f>ROUND(F146*AP146,2)</f>
        <v>0</v>
      </c>
      <c r="AY146" s="30" t="s">
        <v>250</v>
      </c>
      <c r="AZ146" s="30" t="s">
        <v>189</v>
      </c>
      <c r="BA146" s="10" t="s">
        <v>190</v>
      </c>
      <c r="BC146" s="28">
        <f>AW146+AX146</f>
        <v>0</v>
      </c>
      <c r="BD146" s="28">
        <f>G146/(100-BE146)*100</f>
        <v>0</v>
      </c>
      <c r="BE146" s="28">
        <v>0</v>
      </c>
      <c r="BF146" s="28">
        <f>146</f>
        <v>146</v>
      </c>
      <c r="BH146" s="28">
        <f>F146*AO146</f>
        <v>0</v>
      </c>
      <c r="BI146" s="28">
        <f>F146*AP146</f>
        <v>0</v>
      </c>
      <c r="BJ146" s="28">
        <f>F146*G146</f>
        <v>0</v>
      </c>
      <c r="BK146" s="28"/>
      <c r="BL146" s="28">
        <v>764</v>
      </c>
      <c r="BW146" s="28">
        <v>21</v>
      </c>
      <c r="BX146" s="4" t="s">
        <v>303</v>
      </c>
    </row>
    <row r="147" spans="1:76" x14ac:dyDescent="0.25">
      <c r="A147" s="89"/>
      <c r="B147" s="90"/>
      <c r="C147" s="91" t="s">
        <v>299</v>
      </c>
      <c r="D147" s="92" t="s">
        <v>304</v>
      </c>
      <c r="E147" s="90"/>
      <c r="F147" s="93">
        <v>64.97</v>
      </c>
      <c r="G147" s="90"/>
      <c r="H147" s="90"/>
      <c r="I147" s="90"/>
      <c r="J147" s="90"/>
      <c r="K147" s="94"/>
    </row>
    <row r="148" spans="1:76" x14ac:dyDescent="0.25">
      <c r="A148" s="85" t="s">
        <v>305</v>
      </c>
      <c r="B148" s="86" t="s">
        <v>306</v>
      </c>
      <c r="C148" s="268" t="s">
        <v>307</v>
      </c>
      <c r="D148" s="269"/>
      <c r="E148" s="86" t="s">
        <v>308</v>
      </c>
      <c r="F148" s="87">
        <v>111.53183</v>
      </c>
      <c r="G148" s="87">
        <v>0</v>
      </c>
      <c r="H148" s="87">
        <f>ROUND(F148*AO148,2)</f>
        <v>0</v>
      </c>
      <c r="I148" s="87">
        <f>ROUND(F148*AP148,2)</f>
        <v>0</v>
      </c>
      <c r="J148" s="87">
        <f>ROUND(F148*G148,2)</f>
        <v>0</v>
      </c>
      <c r="K148" s="88" t="s">
        <v>223</v>
      </c>
      <c r="Z148" s="28">
        <f>ROUND(IF(AQ148="5",BJ148,0),2)</f>
        <v>0</v>
      </c>
      <c r="AB148" s="28">
        <f>ROUND(IF(AQ148="1",BH148,0),2)</f>
        <v>0</v>
      </c>
      <c r="AC148" s="28">
        <f>ROUND(IF(AQ148="1",BI148,0),2)</f>
        <v>0</v>
      </c>
      <c r="AD148" s="28">
        <f>ROUND(IF(AQ148="7",BH148,0),2)</f>
        <v>0</v>
      </c>
      <c r="AE148" s="28">
        <f>ROUND(IF(AQ148="7",BI148,0),2)</f>
        <v>0</v>
      </c>
      <c r="AF148" s="28">
        <f>ROUND(IF(AQ148="2",BH148,0),2)</f>
        <v>0</v>
      </c>
      <c r="AG148" s="28">
        <f>ROUND(IF(AQ148="2",BI148,0),2)</f>
        <v>0</v>
      </c>
      <c r="AH148" s="28">
        <f>ROUND(IF(AQ148="0",BJ148,0),2)</f>
        <v>0</v>
      </c>
      <c r="AI148" s="10" t="s">
        <v>184</v>
      </c>
      <c r="AJ148" s="41">
        <f>IF(AN148=0,J148,0)</f>
        <v>0</v>
      </c>
      <c r="AK148" s="41">
        <f>IF(AN148=12,J148,0)</f>
        <v>0</v>
      </c>
      <c r="AL148" s="41">
        <f>IF(AN148=21,J148,0)</f>
        <v>0</v>
      </c>
      <c r="AN148" s="28">
        <v>21</v>
      </c>
      <c r="AO148" s="28">
        <f>G148*1</f>
        <v>0</v>
      </c>
      <c r="AP148" s="28">
        <f>G148*(1-1)</f>
        <v>0</v>
      </c>
      <c r="AQ148" s="43" t="s">
        <v>111</v>
      </c>
      <c r="AV148" s="28">
        <f>ROUND(AW148+AX148,2)</f>
        <v>0</v>
      </c>
      <c r="AW148" s="28">
        <f>ROUND(F148*AO148,2)</f>
        <v>0</v>
      </c>
      <c r="AX148" s="28">
        <f>ROUND(F148*AP148,2)</f>
        <v>0</v>
      </c>
      <c r="AY148" s="30" t="s">
        <v>250</v>
      </c>
      <c r="AZ148" s="30" t="s">
        <v>189</v>
      </c>
      <c r="BA148" s="10" t="s">
        <v>190</v>
      </c>
      <c r="BC148" s="28">
        <f>AW148+AX148</f>
        <v>0</v>
      </c>
      <c r="BD148" s="28">
        <f>G148/(100-BE148)*100</f>
        <v>0</v>
      </c>
      <c r="BE148" s="28">
        <v>0</v>
      </c>
      <c r="BF148" s="28">
        <f>148</f>
        <v>148</v>
      </c>
      <c r="BH148" s="41">
        <f>F148*AO148</f>
        <v>0</v>
      </c>
      <c r="BI148" s="41">
        <f>F148*AP148</f>
        <v>0</v>
      </c>
      <c r="BJ148" s="41">
        <f>F148*G148</f>
        <v>0</v>
      </c>
      <c r="BK148" s="41"/>
      <c r="BL148" s="28">
        <v>764</v>
      </c>
      <c r="BW148" s="28">
        <v>21</v>
      </c>
      <c r="BX148" s="40" t="s">
        <v>307</v>
      </c>
    </row>
    <row r="149" spans="1:76" x14ac:dyDescent="0.25">
      <c r="A149" s="89"/>
      <c r="B149" s="90"/>
      <c r="C149" s="91" t="s">
        <v>309</v>
      </c>
      <c r="D149" s="92" t="s">
        <v>52</v>
      </c>
      <c r="E149" s="90"/>
      <c r="F149" s="93">
        <v>108.28333000000001</v>
      </c>
      <c r="G149" s="90"/>
      <c r="H149" s="90"/>
      <c r="I149" s="90"/>
      <c r="J149" s="90"/>
      <c r="K149" s="94"/>
    </row>
    <row r="150" spans="1:76" x14ac:dyDescent="0.25">
      <c r="A150" s="89"/>
      <c r="B150" s="90"/>
      <c r="C150" s="91" t="s">
        <v>310</v>
      </c>
      <c r="D150" s="92" t="s">
        <v>52</v>
      </c>
      <c r="E150" s="90"/>
      <c r="F150" s="93">
        <v>3.2484999999999999</v>
      </c>
      <c r="G150" s="90"/>
      <c r="H150" s="90"/>
      <c r="I150" s="90"/>
      <c r="J150" s="90"/>
      <c r="K150" s="94"/>
    </row>
    <row r="151" spans="1:76" x14ac:dyDescent="0.25">
      <c r="A151" s="85" t="s">
        <v>311</v>
      </c>
      <c r="B151" s="86" t="s">
        <v>312</v>
      </c>
      <c r="C151" s="268" t="s">
        <v>313</v>
      </c>
      <c r="D151" s="269"/>
      <c r="E151" s="86" t="s">
        <v>205</v>
      </c>
      <c r="F151" s="87">
        <v>68.218500000000006</v>
      </c>
      <c r="G151" s="87">
        <v>0</v>
      </c>
      <c r="H151" s="87">
        <f>ROUND(F151*AO151,2)</f>
        <v>0</v>
      </c>
      <c r="I151" s="87">
        <f>ROUND(F151*AP151,2)</f>
        <v>0</v>
      </c>
      <c r="J151" s="87">
        <f>ROUND(F151*G151,2)</f>
        <v>0</v>
      </c>
      <c r="K151" s="88" t="s">
        <v>223</v>
      </c>
      <c r="Z151" s="28">
        <f>ROUND(IF(AQ151="5",BJ151,0),2)</f>
        <v>0</v>
      </c>
      <c r="AB151" s="28">
        <f>ROUND(IF(AQ151="1",BH151,0),2)</f>
        <v>0</v>
      </c>
      <c r="AC151" s="28">
        <f>ROUND(IF(AQ151="1",BI151,0),2)</f>
        <v>0</v>
      </c>
      <c r="AD151" s="28">
        <f>ROUND(IF(AQ151="7",BH151,0),2)</f>
        <v>0</v>
      </c>
      <c r="AE151" s="28">
        <f>ROUND(IF(AQ151="7",BI151,0),2)</f>
        <v>0</v>
      </c>
      <c r="AF151" s="28">
        <f>ROUND(IF(AQ151="2",BH151,0),2)</f>
        <v>0</v>
      </c>
      <c r="AG151" s="28">
        <f>ROUND(IF(AQ151="2",BI151,0),2)</f>
        <v>0</v>
      </c>
      <c r="AH151" s="28">
        <f>ROUND(IF(AQ151="0",BJ151,0),2)</f>
        <v>0</v>
      </c>
      <c r="AI151" s="10" t="s">
        <v>184</v>
      </c>
      <c r="AJ151" s="41">
        <f>IF(AN151=0,J151,0)</f>
        <v>0</v>
      </c>
      <c r="AK151" s="41">
        <f>IF(AN151=12,J151,0)</f>
        <v>0</v>
      </c>
      <c r="AL151" s="41">
        <f>IF(AN151=21,J151,0)</f>
        <v>0</v>
      </c>
      <c r="AN151" s="28">
        <v>21</v>
      </c>
      <c r="AO151" s="28">
        <f>G151*1</f>
        <v>0</v>
      </c>
      <c r="AP151" s="28">
        <f>G151*(1-1)</f>
        <v>0</v>
      </c>
      <c r="AQ151" s="43" t="s">
        <v>111</v>
      </c>
      <c r="AV151" s="28">
        <f>ROUND(AW151+AX151,2)</f>
        <v>0</v>
      </c>
      <c r="AW151" s="28">
        <f>ROUND(F151*AO151,2)</f>
        <v>0</v>
      </c>
      <c r="AX151" s="28">
        <f>ROUND(F151*AP151,2)</f>
        <v>0</v>
      </c>
      <c r="AY151" s="30" t="s">
        <v>250</v>
      </c>
      <c r="AZ151" s="30" t="s">
        <v>189</v>
      </c>
      <c r="BA151" s="10" t="s">
        <v>190</v>
      </c>
      <c r="BC151" s="28">
        <f>AW151+AX151</f>
        <v>0</v>
      </c>
      <c r="BD151" s="28">
        <f>G151/(100-BE151)*100</f>
        <v>0</v>
      </c>
      <c r="BE151" s="28">
        <v>0</v>
      </c>
      <c r="BF151" s="28">
        <f>151</f>
        <v>151</v>
      </c>
      <c r="BH151" s="41">
        <f>F151*AO151</f>
        <v>0</v>
      </c>
      <c r="BI151" s="41">
        <f>F151*AP151</f>
        <v>0</v>
      </c>
      <c r="BJ151" s="41">
        <f>F151*G151</f>
        <v>0</v>
      </c>
      <c r="BK151" s="41"/>
      <c r="BL151" s="28">
        <v>764</v>
      </c>
      <c r="BW151" s="28">
        <v>21</v>
      </c>
      <c r="BX151" s="40" t="s">
        <v>313</v>
      </c>
    </row>
    <row r="152" spans="1:76" x14ac:dyDescent="0.25">
      <c r="A152" s="89"/>
      <c r="B152" s="90"/>
      <c r="C152" s="91" t="s">
        <v>314</v>
      </c>
      <c r="D152" s="92" t="s">
        <v>52</v>
      </c>
      <c r="E152" s="90"/>
      <c r="F152" s="93">
        <v>64.97</v>
      </c>
      <c r="G152" s="90"/>
      <c r="H152" s="90"/>
      <c r="I152" s="90"/>
      <c r="J152" s="90"/>
      <c r="K152" s="94"/>
    </row>
    <row r="153" spans="1:76" x14ac:dyDescent="0.25">
      <c r="A153" s="89"/>
      <c r="B153" s="90"/>
      <c r="C153" s="91" t="s">
        <v>315</v>
      </c>
      <c r="D153" s="92" t="s">
        <v>52</v>
      </c>
      <c r="E153" s="90"/>
      <c r="F153" s="93">
        <v>3.2484999999999999</v>
      </c>
      <c r="G153" s="90"/>
      <c r="H153" s="90"/>
      <c r="I153" s="90"/>
      <c r="J153" s="90"/>
      <c r="K153" s="94"/>
    </row>
    <row r="154" spans="1:76" x14ac:dyDescent="0.25">
      <c r="A154" s="85" t="s">
        <v>316</v>
      </c>
      <c r="B154" s="86" t="s">
        <v>317</v>
      </c>
      <c r="C154" s="268" t="s">
        <v>318</v>
      </c>
      <c r="D154" s="269"/>
      <c r="E154" s="86" t="s">
        <v>308</v>
      </c>
      <c r="F154" s="87">
        <v>11.911160000000001</v>
      </c>
      <c r="G154" s="87">
        <v>0</v>
      </c>
      <c r="H154" s="87">
        <f>ROUND(F154*AO154,2)</f>
        <v>0</v>
      </c>
      <c r="I154" s="87">
        <f>ROUND(F154*AP154,2)</f>
        <v>0</v>
      </c>
      <c r="J154" s="87">
        <f>ROUND(F154*G154,2)</f>
        <v>0</v>
      </c>
      <c r="K154" s="88" t="s">
        <v>223</v>
      </c>
      <c r="Z154" s="28">
        <f>ROUND(IF(AQ154="5",BJ154,0),2)</f>
        <v>0</v>
      </c>
      <c r="AB154" s="28">
        <f>ROUND(IF(AQ154="1",BH154,0),2)</f>
        <v>0</v>
      </c>
      <c r="AC154" s="28">
        <f>ROUND(IF(AQ154="1",BI154,0),2)</f>
        <v>0</v>
      </c>
      <c r="AD154" s="28">
        <f>ROUND(IF(AQ154="7",BH154,0),2)</f>
        <v>0</v>
      </c>
      <c r="AE154" s="28">
        <f>ROUND(IF(AQ154="7",BI154,0),2)</f>
        <v>0</v>
      </c>
      <c r="AF154" s="28">
        <f>ROUND(IF(AQ154="2",BH154,0),2)</f>
        <v>0</v>
      </c>
      <c r="AG154" s="28">
        <f>ROUND(IF(AQ154="2",BI154,0),2)</f>
        <v>0</v>
      </c>
      <c r="AH154" s="28">
        <f>ROUND(IF(AQ154="0",BJ154,0),2)</f>
        <v>0</v>
      </c>
      <c r="AI154" s="10" t="s">
        <v>184</v>
      </c>
      <c r="AJ154" s="41">
        <f>IF(AN154=0,J154,0)</f>
        <v>0</v>
      </c>
      <c r="AK154" s="41">
        <f>IF(AN154=12,J154,0)</f>
        <v>0</v>
      </c>
      <c r="AL154" s="41">
        <f>IF(AN154=21,J154,0)</f>
        <v>0</v>
      </c>
      <c r="AN154" s="28">
        <v>21</v>
      </c>
      <c r="AO154" s="28">
        <f>G154*1</f>
        <v>0</v>
      </c>
      <c r="AP154" s="28">
        <f>G154*(1-1)</f>
        <v>0</v>
      </c>
      <c r="AQ154" s="43" t="s">
        <v>111</v>
      </c>
      <c r="AV154" s="28">
        <f>ROUND(AW154+AX154,2)</f>
        <v>0</v>
      </c>
      <c r="AW154" s="28">
        <f>ROUND(F154*AO154,2)</f>
        <v>0</v>
      </c>
      <c r="AX154" s="28">
        <f>ROUND(F154*AP154,2)</f>
        <v>0</v>
      </c>
      <c r="AY154" s="30" t="s">
        <v>250</v>
      </c>
      <c r="AZ154" s="30" t="s">
        <v>189</v>
      </c>
      <c r="BA154" s="10" t="s">
        <v>190</v>
      </c>
      <c r="BC154" s="28">
        <f>AW154+AX154</f>
        <v>0</v>
      </c>
      <c r="BD154" s="28">
        <f>G154/(100-BE154)*100</f>
        <v>0</v>
      </c>
      <c r="BE154" s="28">
        <v>0</v>
      </c>
      <c r="BF154" s="28">
        <f>154</f>
        <v>154</v>
      </c>
      <c r="BH154" s="41">
        <f>F154*AO154</f>
        <v>0</v>
      </c>
      <c r="BI154" s="41">
        <f>F154*AP154</f>
        <v>0</v>
      </c>
      <c r="BJ154" s="41">
        <f>F154*G154</f>
        <v>0</v>
      </c>
      <c r="BK154" s="41"/>
      <c r="BL154" s="28">
        <v>764</v>
      </c>
      <c r="BW154" s="28">
        <v>21</v>
      </c>
      <c r="BX154" s="40" t="s">
        <v>318</v>
      </c>
    </row>
    <row r="155" spans="1:76" x14ac:dyDescent="0.25">
      <c r="A155" s="89"/>
      <c r="B155" s="90"/>
      <c r="C155" s="91" t="s">
        <v>319</v>
      </c>
      <c r="D155" s="92" t="s">
        <v>52</v>
      </c>
      <c r="E155" s="90"/>
      <c r="F155" s="93">
        <v>10.828329999999999</v>
      </c>
      <c r="G155" s="90"/>
      <c r="H155" s="90"/>
      <c r="I155" s="90"/>
      <c r="J155" s="90"/>
      <c r="K155" s="94"/>
    </row>
    <row r="156" spans="1:76" x14ac:dyDescent="0.25">
      <c r="A156" s="89"/>
      <c r="B156" s="90"/>
      <c r="C156" s="91" t="s">
        <v>320</v>
      </c>
      <c r="D156" s="92" t="s">
        <v>52</v>
      </c>
      <c r="E156" s="90"/>
      <c r="F156" s="93">
        <v>1.08283</v>
      </c>
      <c r="G156" s="90"/>
      <c r="H156" s="90"/>
      <c r="I156" s="90"/>
      <c r="J156" s="90"/>
      <c r="K156" s="94"/>
    </row>
    <row r="157" spans="1:76" x14ac:dyDescent="0.25">
      <c r="A157" s="85" t="s">
        <v>321</v>
      </c>
      <c r="B157" s="86" t="s">
        <v>322</v>
      </c>
      <c r="C157" s="268" t="s">
        <v>323</v>
      </c>
      <c r="D157" s="269"/>
      <c r="E157" s="86" t="s">
        <v>308</v>
      </c>
      <c r="F157" s="87">
        <v>113.69750000000001</v>
      </c>
      <c r="G157" s="87">
        <v>0</v>
      </c>
      <c r="H157" s="87">
        <f>ROUND(F157*AO157,2)</f>
        <v>0</v>
      </c>
      <c r="I157" s="87">
        <f>ROUND(F157*AP157,2)</f>
        <v>0</v>
      </c>
      <c r="J157" s="87">
        <f>ROUND(F157*G157,2)</f>
        <v>0</v>
      </c>
      <c r="K157" s="88" t="s">
        <v>223</v>
      </c>
      <c r="Z157" s="28">
        <f>ROUND(IF(AQ157="5",BJ157,0),2)</f>
        <v>0</v>
      </c>
      <c r="AB157" s="28">
        <f>ROUND(IF(AQ157="1",BH157,0),2)</f>
        <v>0</v>
      </c>
      <c r="AC157" s="28">
        <f>ROUND(IF(AQ157="1",BI157,0),2)</f>
        <v>0</v>
      </c>
      <c r="AD157" s="28">
        <f>ROUND(IF(AQ157="7",BH157,0),2)</f>
        <v>0</v>
      </c>
      <c r="AE157" s="28">
        <f>ROUND(IF(AQ157="7",BI157,0),2)</f>
        <v>0</v>
      </c>
      <c r="AF157" s="28">
        <f>ROUND(IF(AQ157="2",BH157,0),2)</f>
        <v>0</v>
      </c>
      <c r="AG157" s="28">
        <f>ROUND(IF(AQ157="2",BI157,0),2)</f>
        <v>0</v>
      </c>
      <c r="AH157" s="28">
        <f>ROUND(IF(AQ157="0",BJ157,0),2)</f>
        <v>0</v>
      </c>
      <c r="AI157" s="10" t="s">
        <v>184</v>
      </c>
      <c r="AJ157" s="41">
        <f>IF(AN157=0,J157,0)</f>
        <v>0</v>
      </c>
      <c r="AK157" s="41">
        <f>IF(AN157=12,J157,0)</f>
        <v>0</v>
      </c>
      <c r="AL157" s="41">
        <f>IF(AN157=21,J157,0)</f>
        <v>0</v>
      </c>
      <c r="AN157" s="28">
        <v>21</v>
      </c>
      <c r="AO157" s="28">
        <f>G157*1</f>
        <v>0</v>
      </c>
      <c r="AP157" s="28">
        <f>G157*(1-1)</f>
        <v>0</v>
      </c>
      <c r="AQ157" s="43" t="s">
        <v>111</v>
      </c>
      <c r="AV157" s="28">
        <f>ROUND(AW157+AX157,2)</f>
        <v>0</v>
      </c>
      <c r="AW157" s="28">
        <f>ROUND(F157*AO157,2)</f>
        <v>0</v>
      </c>
      <c r="AX157" s="28">
        <f>ROUND(F157*AP157,2)</f>
        <v>0</v>
      </c>
      <c r="AY157" s="30" t="s">
        <v>250</v>
      </c>
      <c r="AZ157" s="30" t="s">
        <v>189</v>
      </c>
      <c r="BA157" s="10" t="s">
        <v>190</v>
      </c>
      <c r="BC157" s="28">
        <f>AW157+AX157</f>
        <v>0</v>
      </c>
      <c r="BD157" s="28">
        <f>G157/(100-BE157)*100</f>
        <v>0</v>
      </c>
      <c r="BE157" s="28">
        <v>0</v>
      </c>
      <c r="BF157" s="28">
        <f>157</f>
        <v>157</v>
      </c>
      <c r="BH157" s="41">
        <f>F157*AO157</f>
        <v>0</v>
      </c>
      <c r="BI157" s="41">
        <f>F157*AP157</f>
        <v>0</v>
      </c>
      <c r="BJ157" s="41">
        <f>F157*G157</f>
        <v>0</v>
      </c>
      <c r="BK157" s="41"/>
      <c r="BL157" s="28">
        <v>764</v>
      </c>
      <c r="BW157" s="28">
        <v>21</v>
      </c>
      <c r="BX157" s="40" t="s">
        <v>323</v>
      </c>
    </row>
    <row r="158" spans="1:76" x14ac:dyDescent="0.25">
      <c r="A158" s="89"/>
      <c r="B158" s="90"/>
      <c r="C158" s="91" t="s">
        <v>309</v>
      </c>
      <c r="D158" s="92" t="s">
        <v>52</v>
      </c>
      <c r="E158" s="90"/>
      <c r="F158" s="93">
        <v>108.28333000000001</v>
      </c>
      <c r="G158" s="90"/>
      <c r="H158" s="90"/>
      <c r="I158" s="90"/>
      <c r="J158" s="90"/>
      <c r="K158" s="94"/>
    </row>
    <row r="159" spans="1:76" x14ac:dyDescent="0.25">
      <c r="A159" s="89"/>
      <c r="B159" s="90"/>
      <c r="C159" s="91" t="s">
        <v>324</v>
      </c>
      <c r="D159" s="92" t="s">
        <v>52</v>
      </c>
      <c r="E159" s="90"/>
      <c r="F159" s="93">
        <v>5.4141700000000004</v>
      </c>
      <c r="G159" s="90"/>
      <c r="H159" s="90"/>
      <c r="I159" s="90"/>
      <c r="J159" s="90"/>
      <c r="K159" s="94"/>
    </row>
    <row r="160" spans="1:76" x14ac:dyDescent="0.25">
      <c r="A160" s="95" t="s">
        <v>325</v>
      </c>
      <c r="B160" s="96" t="s">
        <v>326</v>
      </c>
      <c r="C160" s="270" t="s">
        <v>327</v>
      </c>
      <c r="D160" s="271"/>
      <c r="E160" s="96" t="s">
        <v>205</v>
      </c>
      <c r="F160" s="97">
        <v>14.4</v>
      </c>
      <c r="G160" s="97">
        <v>0</v>
      </c>
      <c r="H160" s="97">
        <f>ROUND(F160*AO160,2)</f>
        <v>0</v>
      </c>
      <c r="I160" s="97">
        <f>ROUND(F160*AP160,2)</f>
        <v>0</v>
      </c>
      <c r="J160" s="97">
        <f>ROUND(F160*G160,2)</f>
        <v>0</v>
      </c>
      <c r="K160" s="98" t="s">
        <v>70</v>
      </c>
      <c r="Z160" s="28">
        <f>ROUND(IF(AQ160="5",BJ160,0),2)</f>
        <v>0</v>
      </c>
      <c r="AB160" s="28">
        <f>ROUND(IF(AQ160="1",BH160,0),2)</f>
        <v>0</v>
      </c>
      <c r="AC160" s="28">
        <f>ROUND(IF(AQ160="1",BI160,0),2)</f>
        <v>0</v>
      </c>
      <c r="AD160" s="28">
        <f>ROUND(IF(AQ160="7",BH160,0),2)</f>
        <v>0</v>
      </c>
      <c r="AE160" s="28">
        <f>ROUND(IF(AQ160="7",BI160,0),2)</f>
        <v>0</v>
      </c>
      <c r="AF160" s="28">
        <f>ROUND(IF(AQ160="2",BH160,0),2)</f>
        <v>0</v>
      </c>
      <c r="AG160" s="28">
        <f>ROUND(IF(AQ160="2",BI160,0),2)</f>
        <v>0</v>
      </c>
      <c r="AH160" s="28">
        <f>ROUND(IF(AQ160="0",BJ160,0),2)</f>
        <v>0</v>
      </c>
      <c r="AI160" s="10" t="s">
        <v>184</v>
      </c>
      <c r="AJ160" s="28">
        <f>IF(AN160=0,J160,0)</f>
        <v>0</v>
      </c>
      <c r="AK160" s="28">
        <f>IF(AN160=12,J160,0)</f>
        <v>0</v>
      </c>
      <c r="AL160" s="28">
        <f>IF(AN160=21,J160,0)</f>
        <v>0</v>
      </c>
      <c r="AN160" s="28">
        <v>21</v>
      </c>
      <c r="AO160" s="28">
        <f>G160*0.425485689</f>
        <v>0</v>
      </c>
      <c r="AP160" s="28">
        <f>G160*(1-0.425485689)</f>
        <v>0</v>
      </c>
      <c r="AQ160" s="30" t="s">
        <v>111</v>
      </c>
      <c r="AV160" s="28">
        <f>ROUND(AW160+AX160,2)</f>
        <v>0</v>
      </c>
      <c r="AW160" s="28">
        <f>ROUND(F160*AO160,2)</f>
        <v>0</v>
      </c>
      <c r="AX160" s="28">
        <f>ROUND(F160*AP160,2)</f>
        <v>0</v>
      </c>
      <c r="AY160" s="30" t="s">
        <v>250</v>
      </c>
      <c r="AZ160" s="30" t="s">
        <v>189</v>
      </c>
      <c r="BA160" s="10" t="s">
        <v>190</v>
      </c>
      <c r="BC160" s="28">
        <f>AW160+AX160</f>
        <v>0</v>
      </c>
      <c r="BD160" s="28">
        <f>G160/(100-BE160)*100</f>
        <v>0</v>
      </c>
      <c r="BE160" s="28">
        <v>0</v>
      </c>
      <c r="BF160" s="28">
        <f>160</f>
        <v>160</v>
      </c>
      <c r="BH160" s="28">
        <f>F160*AO160</f>
        <v>0</v>
      </c>
      <c r="BI160" s="28">
        <f>F160*AP160</f>
        <v>0</v>
      </c>
      <c r="BJ160" s="28">
        <f>F160*G160</f>
        <v>0</v>
      </c>
      <c r="BK160" s="28"/>
      <c r="BL160" s="28">
        <v>764</v>
      </c>
      <c r="BW160" s="28">
        <v>21</v>
      </c>
      <c r="BX160" s="4" t="s">
        <v>327</v>
      </c>
    </row>
    <row r="161" spans="1:76" ht="13.5" customHeight="1" x14ac:dyDescent="0.25">
      <c r="A161" s="60"/>
      <c r="C161" s="255" t="s">
        <v>328</v>
      </c>
      <c r="D161" s="256"/>
      <c r="E161" s="256"/>
      <c r="F161" s="256"/>
      <c r="G161" s="256"/>
      <c r="H161" s="256"/>
      <c r="I161" s="256"/>
      <c r="J161" s="256"/>
      <c r="K161" s="257"/>
    </row>
    <row r="162" spans="1:76" x14ac:dyDescent="0.25">
      <c r="A162" s="79"/>
      <c r="B162" s="80"/>
      <c r="C162" s="81" t="s">
        <v>329</v>
      </c>
      <c r="D162" s="82" t="s">
        <v>330</v>
      </c>
      <c r="E162" s="80"/>
      <c r="F162" s="83">
        <v>14.4</v>
      </c>
      <c r="G162" s="80"/>
      <c r="H162" s="80"/>
      <c r="I162" s="80"/>
      <c r="J162" s="80"/>
      <c r="K162" s="84"/>
    </row>
    <row r="163" spans="1:76" ht="38.25" x14ac:dyDescent="0.25">
      <c r="A163" s="60"/>
      <c r="B163" s="61" t="s">
        <v>85</v>
      </c>
      <c r="C163" s="255" t="s">
        <v>331</v>
      </c>
      <c r="D163" s="256"/>
      <c r="E163" s="256"/>
      <c r="F163" s="256"/>
      <c r="G163" s="256"/>
      <c r="H163" s="256"/>
      <c r="I163" s="256"/>
      <c r="J163" s="256"/>
      <c r="K163" s="257"/>
      <c r="BX163" s="32" t="s">
        <v>331</v>
      </c>
    </row>
    <row r="164" spans="1:76" x14ac:dyDescent="0.25">
      <c r="A164" s="75" t="s">
        <v>332</v>
      </c>
      <c r="B164" s="76" t="s">
        <v>333</v>
      </c>
      <c r="C164" s="266" t="s">
        <v>334</v>
      </c>
      <c r="D164" s="267"/>
      <c r="E164" s="76" t="s">
        <v>205</v>
      </c>
      <c r="F164" s="77">
        <v>25.7</v>
      </c>
      <c r="G164" s="77">
        <v>0</v>
      </c>
      <c r="H164" s="77">
        <f>ROUND(F164*AO164,2)</f>
        <v>0</v>
      </c>
      <c r="I164" s="77">
        <f>ROUND(F164*AP164,2)</f>
        <v>0</v>
      </c>
      <c r="J164" s="77">
        <f>ROUND(F164*G164,2)</f>
        <v>0</v>
      </c>
      <c r="K164" s="78" t="s">
        <v>70</v>
      </c>
      <c r="Z164" s="28">
        <f>ROUND(IF(AQ164="5",BJ164,0),2)</f>
        <v>0</v>
      </c>
      <c r="AB164" s="28">
        <f>ROUND(IF(AQ164="1",BH164,0),2)</f>
        <v>0</v>
      </c>
      <c r="AC164" s="28">
        <f>ROUND(IF(AQ164="1",BI164,0),2)</f>
        <v>0</v>
      </c>
      <c r="AD164" s="28">
        <f>ROUND(IF(AQ164="7",BH164,0),2)</f>
        <v>0</v>
      </c>
      <c r="AE164" s="28">
        <f>ROUND(IF(AQ164="7",BI164,0),2)</f>
        <v>0</v>
      </c>
      <c r="AF164" s="28">
        <f>ROUND(IF(AQ164="2",BH164,0),2)</f>
        <v>0</v>
      </c>
      <c r="AG164" s="28">
        <f>ROUND(IF(AQ164="2",BI164,0),2)</f>
        <v>0</v>
      </c>
      <c r="AH164" s="28">
        <f>ROUND(IF(AQ164="0",BJ164,0),2)</f>
        <v>0</v>
      </c>
      <c r="AI164" s="10" t="s">
        <v>184</v>
      </c>
      <c r="AJ164" s="28">
        <f>IF(AN164=0,J164,0)</f>
        <v>0</v>
      </c>
      <c r="AK164" s="28">
        <f>IF(AN164=12,J164,0)</f>
        <v>0</v>
      </c>
      <c r="AL164" s="28">
        <f>IF(AN164=21,J164,0)</f>
        <v>0</v>
      </c>
      <c r="AN164" s="28">
        <v>21</v>
      </c>
      <c r="AO164" s="28">
        <f>G164*0.688877679</f>
        <v>0</v>
      </c>
      <c r="AP164" s="28">
        <f>G164*(1-0.688877679)</f>
        <v>0</v>
      </c>
      <c r="AQ164" s="30" t="s">
        <v>111</v>
      </c>
      <c r="AV164" s="28">
        <f>ROUND(AW164+AX164,2)</f>
        <v>0</v>
      </c>
      <c r="AW164" s="28">
        <f>ROUND(F164*AO164,2)</f>
        <v>0</v>
      </c>
      <c r="AX164" s="28">
        <f>ROUND(F164*AP164,2)</f>
        <v>0</v>
      </c>
      <c r="AY164" s="30" t="s">
        <v>250</v>
      </c>
      <c r="AZ164" s="30" t="s">
        <v>189</v>
      </c>
      <c r="BA164" s="10" t="s">
        <v>190</v>
      </c>
      <c r="BC164" s="28">
        <f>AW164+AX164</f>
        <v>0</v>
      </c>
      <c r="BD164" s="28">
        <f>G164/(100-BE164)*100</f>
        <v>0</v>
      </c>
      <c r="BE164" s="28">
        <v>0</v>
      </c>
      <c r="BF164" s="28">
        <f>164</f>
        <v>164</v>
      </c>
      <c r="BH164" s="28">
        <f>F164*AO164</f>
        <v>0</v>
      </c>
      <c r="BI164" s="28">
        <f>F164*AP164</f>
        <v>0</v>
      </c>
      <c r="BJ164" s="28">
        <f>F164*G164</f>
        <v>0</v>
      </c>
      <c r="BK164" s="28"/>
      <c r="BL164" s="28">
        <v>764</v>
      </c>
      <c r="BW164" s="28">
        <v>21</v>
      </c>
      <c r="BX164" s="4" t="s">
        <v>334</v>
      </c>
    </row>
    <row r="165" spans="1:76" ht="27" customHeight="1" x14ac:dyDescent="0.25">
      <c r="A165" s="60"/>
      <c r="C165" s="255" t="s">
        <v>335</v>
      </c>
      <c r="D165" s="256"/>
      <c r="E165" s="256"/>
      <c r="F165" s="256"/>
      <c r="G165" s="256"/>
      <c r="H165" s="256"/>
      <c r="I165" s="256"/>
      <c r="J165" s="256"/>
      <c r="K165" s="257"/>
    </row>
    <row r="166" spans="1:76" x14ac:dyDescent="0.25">
      <c r="A166" s="79"/>
      <c r="B166" s="80"/>
      <c r="C166" s="81" t="s">
        <v>336</v>
      </c>
      <c r="D166" s="82" t="s">
        <v>337</v>
      </c>
      <c r="E166" s="80"/>
      <c r="F166" s="83">
        <v>12</v>
      </c>
      <c r="G166" s="80"/>
      <c r="H166" s="80"/>
      <c r="I166" s="80"/>
      <c r="J166" s="80"/>
      <c r="K166" s="84"/>
    </row>
    <row r="167" spans="1:76" x14ac:dyDescent="0.25">
      <c r="A167" s="89"/>
      <c r="B167" s="90"/>
      <c r="C167" s="91" t="s">
        <v>338</v>
      </c>
      <c r="D167" s="92" t="s">
        <v>339</v>
      </c>
      <c r="E167" s="90"/>
      <c r="F167" s="93">
        <v>13.7</v>
      </c>
      <c r="G167" s="90"/>
      <c r="H167" s="90"/>
      <c r="I167" s="90"/>
      <c r="J167" s="90"/>
      <c r="K167" s="94"/>
    </row>
    <row r="168" spans="1:76" x14ac:dyDescent="0.25">
      <c r="A168" s="95" t="s">
        <v>340</v>
      </c>
      <c r="B168" s="96" t="s">
        <v>341</v>
      </c>
      <c r="C168" s="270" t="s">
        <v>342</v>
      </c>
      <c r="D168" s="271"/>
      <c r="E168" s="96" t="s">
        <v>205</v>
      </c>
      <c r="F168" s="97">
        <v>57.04</v>
      </c>
      <c r="G168" s="97">
        <v>0</v>
      </c>
      <c r="H168" s="97">
        <f>ROUND(F168*AO168,2)</f>
        <v>0</v>
      </c>
      <c r="I168" s="97">
        <f>ROUND(F168*AP168,2)</f>
        <v>0</v>
      </c>
      <c r="J168" s="97">
        <f>ROUND(F168*G168,2)</f>
        <v>0</v>
      </c>
      <c r="K168" s="98" t="s">
        <v>70</v>
      </c>
      <c r="Z168" s="28">
        <f>ROUND(IF(AQ168="5",BJ168,0),2)</f>
        <v>0</v>
      </c>
      <c r="AB168" s="28">
        <f>ROUND(IF(AQ168="1",BH168,0),2)</f>
        <v>0</v>
      </c>
      <c r="AC168" s="28">
        <f>ROUND(IF(AQ168="1",BI168,0),2)</f>
        <v>0</v>
      </c>
      <c r="AD168" s="28">
        <f>ROUND(IF(AQ168="7",BH168,0),2)</f>
        <v>0</v>
      </c>
      <c r="AE168" s="28">
        <f>ROUND(IF(AQ168="7",BI168,0),2)</f>
        <v>0</v>
      </c>
      <c r="AF168" s="28">
        <f>ROUND(IF(AQ168="2",BH168,0),2)</f>
        <v>0</v>
      </c>
      <c r="AG168" s="28">
        <f>ROUND(IF(AQ168="2",BI168,0),2)</f>
        <v>0</v>
      </c>
      <c r="AH168" s="28">
        <f>ROUND(IF(AQ168="0",BJ168,0),2)</f>
        <v>0</v>
      </c>
      <c r="AI168" s="10" t="s">
        <v>184</v>
      </c>
      <c r="AJ168" s="28">
        <f>IF(AN168=0,J168,0)</f>
        <v>0</v>
      </c>
      <c r="AK168" s="28">
        <f>IF(AN168=12,J168,0)</f>
        <v>0</v>
      </c>
      <c r="AL168" s="28">
        <f>IF(AN168=21,J168,0)</f>
        <v>0</v>
      </c>
      <c r="AN168" s="28">
        <v>21</v>
      </c>
      <c r="AO168" s="28">
        <f>G168*0.683254095</f>
        <v>0</v>
      </c>
      <c r="AP168" s="28">
        <f>G168*(1-0.683254095)</f>
        <v>0</v>
      </c>
      <c r="AQ168" s="30" t="s">
        <v>111</v>
      </c>
      <c r="AV168" s="28">
        <f>ROUND(AW168+AX168,2)</f>
        <v>0</v>
      </c>
      <c r="AW168" s="28">
        <f>ROUND(F168*AO168,2)</f>
        <v>0</v>
      </c>
      <c r="AX168" s="28">
        <f>ROUND(F168*AP168,2)</f>
        <v>0</v>
      </c>
      <c r="AY168" s="30" t="s">
        <v>250</v>
      </c>
      <c r="AZ168" s="30" t="s">
        <v>189</v>
      </c>
      <c r="BA168" s="10" t="s">
        <v>190</v>
      </c>
      <c r="BC168" s="28">
        <f>AW168+AX168</f>
        <v>0</v>
      </c>
      <c r="BD168" s="28">
        <f>G168/(100-BE168)*100</f>
        <v>0</v>
      </c>
      <c r="BE168" s="28">
        <v>0</v>
      </c>
      <c r="BF168" s="28">
        <f>168</f>
        <v>168</v>
      </c>
      <c r="BH168" s="28">
        <f>F168*AO168</f>
        <v>0</v>
      </c>
      <c r="BI168" s="28">
        <f>F168*AP168</f>
        <v>0</v>
      </c>
      <c r="BJ168" s="28">
        <f>F168*G168</f>
        <v>0</v>
      </c>
      <c r="BK168" s="28"/>
      <c r="BL168" s="28">
        <v>764</v>
      </c>
      <c r="BW168" s="28">
        <v>21</v>
      </c>
      <c r="BX168" s="4" t="s">
        <v>342</v>
      </c>
    </row>
    <row r="169" spans="1:76" ht="13.5" customHeight="1" x14ac:dyDescent="0.25">
      <c r="A169" s="60"/>
      <c r="C169" s="255" t="s">
        <v>343</v>
      </c>
      <c r="D169" s="256"/>
      <c r="E169" s="256"/>
      <c r="F169" s="256"/>
      <c r="G169" s="256"/>
      <c r="H169" s="256"/>
      <c r="I169" s="256"/>
      <c r="J169" s="256"/>
      <c r="K169" s="257"/>
    </row>
    <row r="170" spans="1:76" x14ac:dyDescent="0.25">
      <c r="A170" s="79"/>
      <c r="B170" s="80"/>
      <c r="C170" s="81" t="s">
        <v>206</v>
      </c>
      <c r="D170" s="82" t="s">
        <v>344</v>
      </c>
      <c r="E170" s="80"/>
      <c r="F170" s="83">
        <v>35.799999999999997</v>
      </c>
      <c r="G170" s="80"/>
      <c r="H170" s="80"/>
      <c r="I170" s="80"/>
      <c r="J170" s="80"/>
      <c r="K170" s="84"/>
    </row>
    <row r="171" spans="1:76" x14ac:dyDescent="0.25">
      <c r="A171" s="89"/>
      <c r="B171" s="90"/>
      <c r="C171" s="91" t="s">
        <v>208</v>
      </c>
      <c r="D171" s="92" t="s">
        <v>209</v>
      </c>
      <c r="E171" s="90"/>
      <c r="F171" s="93">
        <v>13.8</v>
      </c>
      <c r="G171" s="90"/>
      <c r="H171" s="90"/>
      <c r="I171" s="90"/>
      <c r="J171" s="90"/>
      <c r="K171" s="94"/>
    </row>
    <row r="172" spans="1:76" x14ac:dyDescent="0.25">
      <c r="A172" s="89"/>
      <c r="B172" s="90"/>
      <c r="C172" s="91" t="s">
        <v>345</v>
      </c>
      <c r="D172" s="92" t="s">
        <v>52</v>
      </c>
      <c r="E172" s="90"/>
      <c r="F172" s="93">
        <v>7.44</v>
      </c>
      <c r="G172" s="90"/>
      <c r="H172" s="90"/>
      <c r="I172" s="90"/>
      <c r="J172" s="90"/>
      <c r="K172" s="94"/>
    </row>
    <row r="173" spans="1:76" x14ac:dyDescent="0.25">
      <c r="A173" s="95" t="s">
        <v>346</v>
      </c>
      <c r="B173" s="96" t="s">
        <v>347</v>
      </c>
      <c r="C173" s="270" t="s">
        <v>348</v>
      </c>
      <c r="D173" s="271"/>
      <c r="E173" s="96" t="s">
        <v>205</v>
      </c>
      <c r="F173" s="97">
        <v>49.6</v>
      </c>
      <c r="G173" s="97">
        <v>0</v>
      </c>
      <c r="H173" s="97">
        <f>ROUND(F173*AO173,2)</f>
        <v>0</v>
      </c>
      <c r="I173" s="97">
        <f>ROUND(F173*AP173,2)</f>
        <v>0</v>
      </c>
      <c r="J173" s="97">
        <f>ROUND(F173*G173,2)</f>
        <v>0</v>
      </c>
      <c r="K173" s="98" t="s">
        <v>70</v>
      </c>
      <c r="Z173" s="28">
        <f>ROUND(IF(AQ173="5",BJ173,0),2)</f>
        <v>0</v>
      </c>
      <c r="AB173" s="28">
        <f>ROUND(IF(AQ173="1",BH173,0),2)</f>
        <v>0</v>
      </c>
      <c r="AC173" s="28">
        <f>ROUND(IF(AQ173="1",BI173,0),2)</f>
        <v>0</v>
      </c>
      <c r="AD173" s="28">
        <f>ROUND(IF(AQ173="7",BH173,0),2)</f>
        <v>0</v>
      </c>
      <c r="AE173" s="28">
        <f>ROUND(IF(AQ173="7",BI173,0),2)</f>
        <v>0</v>
      </c>
      <c r="AF173" s="28">
        <f>ROUND(IF(AQ173="2",BH173,0),2)</f>
        <v>0</v>
      </c>
      <c r="AG173" s="28">
        <f>ROUND(IF(AQ173="2",BI173,0),2)</f>
        <v>0</v>
      </c>
      <c r="AH173" s="28">
        <f>ROUND(IF(AQ173="0",BJ173,0),2)</f>
        <v>0</v>
      </c>
      <c r="AI173" s="10" t="s">
        <v>184</v>
      </c>
      <c r="AJ173" s="28">
        <f>IF(AN173=0,J173,0)</f>
        <v>0</v>
      </c>
      <c r="AK173" s="28">
        <f>IF(AN173=12,J173,0)</f>
        <v>0</v>
      </c>
      <c r="AL173" s="28">
        <f>IF(AN173=21,J173,0)</f>
        <v>0</v>
      </c>
      <c r="AN173" s="28">
        <v>21</v>
      </c>
      <c r="AO173" s="28">
        <f>G173*0.101511372</f>
        <v>0</v>
      </c>
      <c r="AP173" s="28">
        <f>G173*(1-0.101511372)</f>
        <v>0</v>
      </c>
      <c r="AQ173" s="30" t="s">
        <v>111</v>
      </c>
      <c r="AV173" s="28">
        <f>ROUND(AW173+AX173,2)</f>
        <v>0</v>
      </c>
      <c r="AW173" s="28">
        <f>ROUND(F173*AO173,2)</f>
        <v>0</v>
      </c>
      <c r="AX173" s="28">
        <f>ROUND(F173*AP173,2)</f>
        <v>0</v>
      </c>
      <c r="AY173" s="30" t="s">
        <v>250</v>
      </c>
      <c r="AZ173" s="30" t="s">
        <v>189</v>
      </c>
      <c r="BA173" s="10" t="s">
        <v>190</v>
      </c>
      <c r="BC173" s="28">
        <f>AW173+AX173</f>
        <v>0</v>
      </c>
      <c r="BD173" s="28">
        <f>G173/(100-BE173)*100</f>
        <v>0</v>
      </c>
      <c r="BE173" s="28">
        <v>0</v>
      </c>
      <c r="BF173" s="28">
        <f>173</f>
        <v>173</v>
      </c>
      <c r="BH173" s="28">
        <f>F173*AO173</f>
        <v>0</v>
      </c>
      <c r="BI173" s="28">
        <f>F173*AP173</f>
        <v>0</v>
      </c>
      <c r="BJ173" s="28">
        <f>F173*G173</f>
        <v>0</v>
      </c>
      <c r="BK173" s="28"/>
      <c r="BL173" s="28">
        <v>764</v>
      </c>
      <c r="BW173" s="28">
        <v>21</v>
      </c>
      <c r="BX173" s="4" t="s">
        <v>348</v>
      </c>
    </row>
    <row r="174" spans="1:76" x14ac:dyDescent="0.25">
      <c r="A174" s="89"/>
      <c r="B174" s="90"/>
      <c r="C174" s="91" t="s">
        <v>206</v>
      </c>
      <c r="D174" s="92" t="s">
        <v>207</v>
      </c>
      <c r="E174" s="90"/>
      <c r="F174" s="93">
        <v>35.799999999999997</v>
      </c>
      <c r="G174" s="90"/>
      <c r="H174" s="90"/>
      <c r="I174" s="90"/>
      <c r="J174" s="90"/>
      <c r="K174" s="94"/>
    </row>
    <row r="175" spans="1:76" x14ac:dyDescent="0.25">
      <c r="A175" s="89"/>
      <c r="B175" s="90"/>
      <c r="C175" s="91" t="s">
        <v>208</v>
      </c>
      <c r="D175" s="92" t="s">
        <v>349</v>
      </c>
      <c r="E175" s="90"/>
      <c r="F175" s="93">
        <v>13.8</v>
      </c>
      <c r="G175" s="90"/>
      <c r="H175" s="90"/>
      <c r="I175" s="90"/>
      <c r="J175" s="90"/>
      <c r="K175" s="94"/>
    </row>
    <row r="176" spans="1:76" x14ac:dyDescent="0.25">
      <c r="A176" s="85" t="s">
        <v>350</v>
      </c>
      <c r="B176" s="86" t="s">
        <v>289</v>
      </c>
      <c r="C176" s="268" t="s">
        <v>351</v>
      </c>
      <c r="D176" s="269"/>
      <c r="E176" s="86" t="s">
        <v>205</v>
      </c>
      <c r="F176" s="87">
        <v>57.04</v>
      </c>
      <c r="G176" s="87">
        <v>0</v>
      </c>
      <c r="H176" s="87">
        <f>ROUND(F176*AO176,2)</f>
        <v>0</v>
      </c>
      <c r="I176" s="87">
        <f>ROUND(F176*AP176,2)</f>
        <v>0</v>
      </c>
      <c r="J176" s="87">
        <f>ROUND(F176*G176,2)</f>
        <v>0</v>
      </c>
      <c r="K176" s="88" t="s">
        <v>70</v>
      </c>
      <c r="Z176" s="28">
        <f>ROUND(IF(AQ176="5",BJ176,0),2)</f>
        <v>0</v>
      </c>
      <c r="AB176" s="28">
        <f>ROUND(IF(AQ176="1",BH176,0),2)</f>
        <v>0</v>
      </c>
      <c r="AC176" s="28">
        <f>ROUND(IF(AQ176="1",BI176,0),2)</f>
        <v>0</v>
      </c>
      <c r="AD176" s="28">
        <f>ROUND(IF(AQ176="7",BH176,0),2)</f>
        <v>0</v>
      </c>
      <c r="AE176" s="28">
        <f>ROUND(IF(AQ176="7",BI176,0),2)</f>
        <v>0</v>
      </c>
      <c r="AF176" s="28">
        <f>ROUND(IF(AQ176="2",BH176,0),2)</f>
        <v>0</v>
      </c>
      <c r="AG176" s="28">
        <f>ROUND(IF(AQ176="2",BI176,0),2)</f>
        <v>0</v>
      </c>
      <c r="AH176" s="28">
        <f>ROUND(IF(AQ176="0",BJ176,0),2)</f>
        <v>0</v>
      </c>
      <c r="AI176" s="10" t="s">
        <v>184</v>
      </c>
      <c r="AJ176" s="41">
        <f>IF(AN176=0,J176,0)</f>
        <v>0</v>
      </c>
      <c r="AK176" s="41">
        <f>IF(AN176=12,J176,0)</f>
        <v>0</v>
      </c>
      <c r="AL176" s="41">
        <f>IF(AN176=21,J176,0)</f>
        <v>0</v>
      </c>
      <c r="AN176" s="28">
        <v>21</v>
      </c>
      <c r="AO176" s="28">
        <f>G176*1</f>
        <v>0</v>
      </c>
      <c r="AP176" s="28">
        <f>G176*(1-1)</f>
        <v>0</v>
      </c>
      <c r="AQ176" s="43" t="s">
        <v>111</v>
      </c>
      <c r="AV176" s="28">
        <f>ROUND(AW176+AX176,2)</f>
        <v>0</v>
      </c>
      <c r="AW176" s="28">
        <f>ROUND(F176*AO176,2)</f>
        <v>0</v>
      </c>
      <c r="AX176" s="28">
        <f>ROUND(F176*AP176,2)</f>
        <v>0</v>
      </c>
      <c r="AY176" s="30" t="s">
        <v>250</v>
      </c>
      <c r="AZ176" s="30" t="s">
        <v>189</v>
      </c>
      <c r="BA176" s="10" t="s">
        <v>190</v>
      </c>
      <c r="BC176" s="28">
        <f>AW176+AX176</f>
        <v>0</v>
      </c>
      <c r="BD176" s="28">
        <f>G176/(100-BE176)*100</f>
        <v>0</v>
      </c>
      <c r="BE176" s="28">
        <v>0</v>
      </c>
      <c r="BF176" s="28">
        <f>176</f>
        <v>176</v>
      </c>
      <c r="BH176" s="41">
        <f>F176*AO176</f>
        <v>0</v>
      </c>
      <c r="BI176" s="41">
        <f>F176*AP176</f>
        <v>0</v>
      </c>
      <c r="BJ176" s="41">
        <f>F176*G176</f>
        <v>0</v>
      </c>
      <c r="BK176" s="41"/>
      <c r="BL176" s="28">
        <v>764</v>
      </c>
      <c r="BW176" s="28">
        <v>21</v>
      </c>
      <c r="BX176" s="40" t="s">
        <v>351</v>
      </c>
    </row>
    <row r="177" spans="1:76" x14ac:dyDescent="0.25">
      <c r="A177" s="89"/>
      <c r="B177" s="90"/>
      <c r="C177" s="91" t="s">
        <v>206</v>
      </c>
      <c r="D177" s="92" t="s">
        <v>207</v>
      </c>
      <c r="E177" s="90"/>
      <c r="F177" s="93">
        <v>35.799999999999997</v>
      </c>
      <c r="G177" s="90"/>
      <c r="H177" s="90"/>
      <c r="I177" s="90"/>
      <c r="J177" s="90"/>
      <c r="K177" s="94"/>
    </row>
    <row r="178" spans="1:76" x14ac:dyDescent="0.25">
      <c r="A178" s="89"/>
      <c r="B178" s="90"/>
      <c r="C178" s="91" t="s">
        <v>208</v>
      </c>
      <c r="D178" s="92" t="s">
        <v>349</v>
      </c>
      <c r="E178" s="90"/>
      <c r="F178" s="93">
        <v>13.8</v>
      </c>
      <c r="G178" s="90"/>
      <c r="H178" s="90"/>
      <c r="I178" s="90"/>
      <c r="J178" s="90"/>
      <c r="K178" s="94"/>
    </row>
    <row r="179" spans="1:76" x14ac:dyDescent="0.25">
      <c r="A179" s="89"/>
      <c r="B179" s="90"/>
      <c r="C179" s="91" t="s">
        <v>345</v>
      </c>
      <c r="D179" s="92" t="s">
        <v>52</v>
      </c>
      <c r="E179" s="90"/>
      <c r="F179" s="93">
        <v>7.44</v>
      </c>
      <c r="G179" s="90"/>
      <c r="H179" s="90"/>
      <c r="I179" s="90"/>
      <c r="J179" s="90"/>
      <c r="K179" s="94"/>
    </row>
    <row r="180" spans="1:76" x14ac:dyDescent="0.25">
      <c r="A180" s="95" t="s">
        <v>352</v>
      </c>
      <c r="B180" s="96" t="s">
        <v>353</v>
      </c>
      <c r="C180" s="270" t="s">
        <v>354</v>
      </c>
      <c r="D180" s="271"/>
      <c r="E180" s="96" t="s">
        <v>205</v>
      </c>
      <c r="F180" s="97">
        <v>36.299999999999997</v>
      </c>
      <c r="G180" s="97">
        <v>0</v>
      </c>
      <c r="H180" s="97">
        <f>ROUND(F180*AO180,2)</f>
        <v>0</v>
      </c>
      <c r="I180" s="97">
        <f>ROUND(F180*AP180,2)</f>
        <v>0</v>
      </c>
      <c r="J180" s="97">
        <f>ROUND(F180*G180,2)</f>
        <v>0</v>
      </c>
      <c r="K180" s="98" t="s">
        <v>70</v>
      </c>
      <c r="Z180" s="28">
        <f>ROUND(IF(AQ180="5",BJ180,0),2)</f>
        <v>0</v>
      </c>
      <c r="AB180" s="28">
        <f>ROUND(IF(AQ180="1",BH180,0),2)</f>
        <v>0</v>
      </c>
      <c r="AC180" s="28">
        <f>ROUND(IF(AQ180="1",BI180,0),2)</f>
        <v>0</v>
      </c>
      <c r="AD180" s="28">
        <f>ROUND(IF(AQ180="7",BH180,0),2)</f>
        <v>0</v>
      </c>
      <c r="AE180" s="28">
        <f>ROUND(IF(AQ180="7",BI180,0),2)</f>
        <v>0</v>
      </c>
      <c r="AF180" s="28">
        <f>ROUND(IF(AQ180="2",BH180,0),2)</f>
        <v>0</v>
      </c>
      <c r="AG180" s="28">
        <f>ROUND(IF(AQ180="2",BI180,0),2)</f>
        <v>0</v>
      </c>
      <c r="AH180" s="28">
        <f>ROUND(IF(AQ180="0",BJ180,0),2)</f>
        <v>0</v>
      </c>
      <c r="AI180" s="10" t="s">
        <v>184</v>
      </c>
      <c r="AJ180" s="28">
        <f>IF(AN180=0,J180,0)</f>
        <v>0</v>
      </c>
      <c r="AK180" s="28">
        <f>IF(AN180=12,J180,0)</f>
        <v>0</v>
      </c>
      <c r="AL180" s="28">
        <f>IF(AN180=21,J180,0)</f>
        <v>0</v>
      </c>
      <c r="AN180" s="28">
        <v>21</v>
      </c>
      <c r="AO180" s="28">
        <f>G180*0.61988378</f>
        <v>0</v>
      </c>
      <c r="AP180" s="28">
        <f>G180*(1-0.61988378)</f>
        <v>0</v>
      </c>
      <c r="AQ180" s="30" t="s">
        <v>111</v>
      </c>
      <c r="AV180" s="28">
        <f>ROUND(AW180+AX180,2)</f>
        <v>0</v>
      </c>
      <c r="AW180" s="28">
        <f>ROUND(F180*AO180,2)</f>
        <v>0</v>
      </c>
      <c r="AX180" s="28">
        <f>ROUND(F180*AP180,2)</f>
        <v>0</v>
      </c>
      <c r="AY180" s="30" t="s">
        <v>250</v>
      </c>
      <c r="AZ180" s="30" t="s">
        <v>189</v>
      </c>
      <c r="BA180" s="10" t="s">
        <v>190</v>
      </c>
      <c r="BC180" s="28">
        <f>AW180+AX180</f>
        <v>0</v>
      </c>
      <c r="BD180" s="28">
        <f>G180/(100-BE180)*100</f>
        <v>0</v>
      </c>
      <c r="BE180" s="28">
        <v>0</v>
      </c>
      <c r="BF180" s="28">
        <f>180</f>
        <v>180</v>
      </c>
      <c r="BH180" s="28">
        <f>F180*AO180</f>
        <v>0</v>
      </c>
      <c r="BI180" s="28">
        <f>F180*AP180</f>
        <v>0</v>
      </c>
      <c r="BJ180" s="28">
        <f>F180*G180</f>
        <v>0</v>
      </c>
      <c r="BK180" s="28"/>
      <c r="BL180" s="28">
        <v>764</v>
      </c>
      <c r="BW180" s="28">
        <v>21</v>
      </c>
      <c r="BX180" s="4" t="s">
        <v>354</v>
      </c>
    </row>
    <row r="181" spans="1:76" ht="27" customHeight="1" x14ac:dyDescent="0.25">
      <c r="A181" s="60"/>
      <c r="C181" s="255" t="s">
        <v>355</v>
      </c>
      <c r="D181" s="256"/>
      <c r="E181" s="256"/>
      <c r="F181" s="256"/>
      <c r="G181" s="256"/>
      <c r="H181" s="256"/>
      <c r="I181" s="256"/>
      <c r="J181" s="256"/>
      <c r="K181" s="257"/>
    </row>
    <row r="182" spans="1:76" x14ac:dyDescent="0.25">
      <c r="A182" s="79"/>
      <c r="B182" s="80"/>
      <c r="C182" s="81" t="s">
        <v>356</v>
      </c>
      <c r="D182" s="82" t="s">
        <v>357</v>
      </c>
      <c r="E182" s="80"/>
      <c r="F182" s="83">
        <v>33.4</v>
      </c>
      <c r="G182" s="80"/>
      <c r="H182" s="80"/>
      <c r="I182" s="80"/>
      <c r="J182" s="80"/>
      <c r="K182" s="84"/>
    </row>
    <row r="183" spans="1:76" x14ac:dyDescent="0.25">
      <c r="A183" s="89"/>
      <c r="B183" s="90"/>
      <c r="C183" s="91" t="s">
        <v>358</v>
      </c>
      <c r="D183" s="92" t="s">
        <v>359</v>
      </c>
      <c r="E183" s="90"/>
      <c r="F183" s="93">
        <v>2.9</v>
      </c>
      <c r="G183" s="90"/>
      <c r="H183" s="90"/>
      <c r="I183" s="90"/>
      <c r="J183" s="90"/>
      <c r="K183" s="94"/>
    </row>
    <row r="184" spans="1:76" x14ac:dyDescent="0.25">
      <c r="A184" s="95" t="s">
        <v>360</v>
      </c>
      <c r="B184" s="96" t="s">
        <v>293</v>
      </c>
      <c r="C184" s="270" t="s">
        <v>361</v>
      </c>
      <c r="D184" s="271"/>
      <c r="E184" s="96" t="s">
        <v>205</v>
      </c>
      <c r="F184" s="97">
        <v>73.2</v>
      </c>
      <c r="G184" s="97">
        <v>0</v>
      </c>
      <c r="H184" s="97">
        <f>ROUND(F184*AO184,2)</f>
        <v>0</v>
      </c>
      <c r="I184" s="97">
        <f>ROUND(F184*AP184,2)</f>
        <v>0</v>
      </c>
      <c r="J184" s="97">
        <f>ROUND(F184*G184,2)</f>
        <v>0</v>
      </c>
      <c r="K184" s="98" t="s">
        <v>70</v>
      </c>
      <c r="Z184" s="28">
        <f>ROUND(IF(AQ184="5",BJ184,0),2)</f>
        <v>0</v>
      </c>
      <c r="AB184" s="28">
        <f>ROUND(IF(AQ184="1",BH184,0),2)</f>
        <v>0</v>
      </c>
      <c r="AC184" s="28">
        <f>ROUND(IF(AQ184="1",BI184,0),2)</f>
        <v>0</v>
      </c>
      <c r="AD184" s="28">
        <f>ROUND(IF(AQ184="7",BH184,0),2)</f>
        <v>0</v>
      </c>
      <c r="AE184" s="28">
        <f>ROUND(IF(AQ184="7",BI184,0),2)</f>
        <v>0</v>
      </c>
      <c r="AF184" s="28">
        <f>ROUND(IF(AQ184="2",BH184,0),2)</f>
        <v>0</v>
      </c>
      <c r="AG184" s="28">
        <f>ROUND(IF(AQ184="2",BI184,0),2)</f>
        <v>0</v>
      </c>
      <c r="AH184" s="28">
        <f>ROUND(IF(AQ184="0",BJ184,0),2)</f>
        <v>0</v>
      </c>
      <c r="AI184" s="10" t="s">
        <v>184</v>
      </c>
      <c r="AJ184" s="28">
        <f>IF(AN184=0,J184,0)</f>
        <v>0</v>
      </c>
      <c r="AK184" s="28">
        <f>IF(AN184=12,J184,0)</f>
        <v>0</v>
      </c>
      <c r="AL184" s="28">
        <f>IF(AN184=21,J184,0)</f>
        <v>0</v>
      </c>
      <c r="AN184" s="28">
        <v>21</v>
      </c>
      <c r="AO184" s="28">
        <f>G184*0.666380432</f>
        <v>0</v>
      </c>
      <c r="AP184" s="28">
        <f>G184*(1-0.666380432)</f>
        <v>0</v>
      </c>
      <c r="AQ184" s="30" t="s">
        <v>111</v>
      </c>
      <c r="AV184" s="28">
        <f>ROUND(AW184+AX184,2)</f>
        <v>0</v>
      </c>
      <c r="AW184" s="28">
        <f>ROUND(F184*AO184,2)</f>
        <v>0</v>
      </c>
      <c r="AX184" s="28">
        <f>ROUND(F184*AP184,2)</f>
        <v>0</v>
      </c>
      <c r="AY184" s="30" t="s">
        <v>250</v>
      </c>
      <c r="AZ184" s="30" t="s">
        <v>189</v>
      </c>
      <c r="BA184" s="10" t="s">
        <v>190</v>
      </c>
      <c r="BC184" s="28">
        <f>AW184+AX184</f>
        <v>0</v>
      </c>
      <c r="BD184" s="28">
        <f>G184/(100-BE184)*100</f>
        <v>0</v>
      </c>
      <c r="BE184" s="28">
        <v>0</v>
      </c>
      <c r="BF184" s="28">
        <f>184</f>
        <v>184</v>
      </c>
      <c r="BH184" s="28">
        <f>F184*AO184</f>
        <v>0</v>
      </c>
      <c r="BI184" s="28">
        <f>F184*AP184</f>
        <v>0</v>
      </c>
      <c r="BJ184" s="28">
        <f>F184*G184</f>
        <v>0</v>
      </c>
      <c r="BK184" s="28"/>
      <c r="BL184" s="28">
        <v>764</v>
      </c>
      <c r="BW184" s="28">
        <v>21</v>
      </c>
      <c r="BX184" s="4" t="s">
        <v>361</v>
      </c>
    </row>
    <row r="185" spans="1:76" ht="13.5" customHeight="1" x14ac:dyDescent="0.25">
      <c r="A185" s="60"/>
      <c r="C185" s="255" t="s">
        <v>362</v>
      </c>
      <c r="D185" s="256"/>
      <c r="E185" s="256"/>
      <c r="F185" s="256"/>
      <c r="G185" s="256"/>
      <c r="H185" s="256"/>
      <c r="I185" s="256"/>
      <c r="J185" s="256"/>
      <c r="K185" s="257"/>
    </row>
    <row r="186" spans="1:76" x14ac:dyDescent="0.25">
      <c r="A186" s="79"/>
      <c r="B186" s="80"/>
      <c r="C186" s="81" t="s">
        <v>363</v>
      </c>
      <c r="D186" s="82" t="s">
        <v>364</v>
      </c>
      <c r="E186" s="80"/>
      <c r="F186" s="83">
        <v>59.6</v>
      </c>
      <c r="G186" s="80"/>
      <c r="H186" s="80"/>
      <c r="I186" s="80"/>
      <c r="J186" s="80"/>
      <c r="K186" s="84"/>
    </row>
    <row r="187" spans="1:76" x14ac:dyDescent="0.25">
      <c r="A187" s="89"/>
      <c r="B187" s="90"/>
      <c r="C187" s="91" t="s">
        <v>365</v>
      </c>
      <c r="D187" s="92" t="s">
        <v>366</v>
      </c>
      <c r="E187" s="90"/>
      <c r="F187" s="93">
        <v>7.2</v>
      </c>
      <c r="G187" s="90"/>
      <c r="H187" s="90"/>
      <c r="I187" s="90"/>
      <c r="J187" s="90"/>
      <c r="K187" s="94"/>
    </row>
    <row r="188" spans="1:76" x14ac:dyDescent="0.25">
      <c r="A188" s="89"/>
      <c r="B188" s="90"/>
      <c r="C188" s="91" t="s">
        <v>367</v>
      </c>
      <c r="D188" s="92" t="s">
        <v>368</v>
      </c>
      <c r="E188" s="90"/>
      <c r="F188" s="93">
        <v>6.4</v>
      </c>
      <c r="G188" s="90"/>
      <c r="H188" s="90"/>
      <c r="I188" s="90"/>
      <c r="J188" s="90"/>
      <c r="K188" s="94"/>
    </row>
    <row r="189" spans="1:76" x14ac:dyDescent="0.25">
      <c r="A189" s="95" t="s">
        <v>369</v>
      </c>
      <c r="B189" s="96" t="s">
        <v>370</v>
      </c>
      <c r="C189" s="270" t="s">
        <v>371</v>
      </c>
      <c r="D189" s="271"/>
      <c r="E189" s="96" t="s">
        <v>308</v>
      </c>
      <c r="F189" s="97">
        <v>3</v>
      </c>
      <c r="G189" s="97">
        <v>0</v>
      </c>
      <c r="H189" s="97">
        <f>ROUND(F189*AO189,2)</f>
        <v>0</v>
      </c>
      <c r="I189" s="97">
        <f>ROUND(F189*AP189,2)</f>
        <v>0</v>
      </c>
      <c r="J189" s="97">
        <f>ROUND(F189*G189,2)</f>
        <v>0</v>
      </c>
      <c r="K189" s="98" t="s">
        <v>223</v>
      </c>
      <c r="Z189" s="28">
        <f>ROUND(IF(AQ189="5",BJ189,0),2)</f>
        <v>0</v>
      </c>
      <c r="AB189" s="28">
        <f>ROUND(IF(AQ189="1",BH189,0),2)</f>
        <v>0</v>
      </c>
      <c r="AC189" s="28">
        <f>ROUND(IF(AQ189="1",BI189,0),2)</f>
        <v>0</v>
      </c>
      <c r="AD189" s="28">
        <f>ROUND(IF(AQ189="7",BH189,0),2)</f>
        <v>0</v>
      </c>
      <c r="AE189" s="28">
        <f>ROUND(IF(AQ189="7",BI189,0),2)</f>
        <v>0</v>
      </c>
      <c r="AF189" s="28">
        <f>ROUND(IF(AQ189="2",BH189,0),2)</f>
        <v>0</v>
      </c>
      <c r="AG189" s="28">
        <f>ROUND(IF(AQ189="2",BI189,0),2)</f>
        <v>0</v>
      </c>
      <c r="AH189" s="28">
        <f>ROUND(IF(AQ189="0",BJ189,0),2)</f>
        <v>0</v>
      </c>
      <c r="AI189" s="10" t="s">
        <v>184</v>
      </c>
      <c r="AJ189" s="28">
        <f>IF(AN189=0,J189,0)</f>
        <v>0</v>
      </c>
      <c r="AK189" s="28">
        <f>IF(AN189=12,J189,0)</f>
        <v>0</v>
      </c>
      <c r="AL189" s="28">
        <f>IF(AN189=21,J189,0)</f>
        <v>0</v>
      </c>
      <c r="AN189" s="28">
        <v>21</v>
      </c>
      <c r="AO189" s="28">
        <f>G189*0.048454259</f>
        <v>0</v>
      </c>
      <c r="AP189" s="28">
        <f>G189*(1-0.048454259)</f>
        <v>0</v>
      </c>
      <c r="AQ189" s="30" t="s">
        <v>111</v>
      </c>
      <c r="AV189" s="28">
        <f>ROUND(AW189+AX189,2)</f>
        <v>0</v>
      </c>
      <c r="AW189" s="28">
        <f>ROUND(F189*AO189,2)</f>
        <v>0</v>
      </c>
      <c r="AX189" s="28">
        <f>ROUND(F189*AP189,2)</f>
        <v>0</v>
      </c>
      <c r="AY189" s="30" t="s">
        <v>250</v>
      </c>
      <c r="AZ189" s="30" t="s">
        <v>189</v>
      </c>
      <c r="BA189" s="10" t="s">
        <v>190</v>
      </c>
      <c r="BC189" s="28">
        <f>AW189+AX189</f>
        <v>0</v>
      </c>
      <c r="BD189" s="28">
        <f>G189/(100-BE189)*100</f>
        <v>0</v>
      </c>
      <c r="BE189" s="28">
        <v>0</v>
      </c>
      <c r="BF189" s="28">
        <f>189</f>
        <v>189</v>
      </c>
      <c r="BH189" s="28">
        <f>F189*AO189</f>
        <v>0</v>
      </c>
      <c r="BI189" s="28">
        <f>F189*AP189</f>
        <v>0</v>
      </c>
      <c r="BJ189" s="28">
        <f>F189*G189</f>
        <v>0</v>
      </c>
      <c r="BK189" s="28"/>
      <c r="BL189" s="28">
        <v>764</v>
      </c>
      <c r="BW189" s="28">
        <v>21</v>
      </c>
      <c r="BX189" s="4" t="s">
        <v>371</v>
      </c>
    </row>
    <row r="190" spans="1:76" x14ac:dyDescent="0.25">
      <c r="A190" s="89"/>
      <c r="B190" s="90"/>
      <c r="C190" s="91" t="s">
        <v>87</v>
      </c>
      <c r="D190" s="92" t="s">
        <v>372</v>
      </c>
      <c r="E190" s="90"/>
      <c r="F190" s="93">
        <v>3</v>
      </c>
      <c r="G190" s="90"/>
      <c r="H190" s="90"/>
      <c r="I190" s="90"/>
      <c r="J190" s="90"/>
      <c r="K190" s="94"/>
    </row>
    <row r="191" spans="1:76" x14ac:dyDescent="0.25">
      <c r="A191" s="85" t="s">
        <v>373</v>
      </c>
      <c r="B191" s="86" t="s">
        <v>374</v>
      </c>
      <c r="C191" s="268" t="s">
        <v>375</v>
      </c>
      <c r="D191" s="269"/>
      <c r="E191" s="86" t="s">
        <v>205</v>
      </c>
      <c r="F191" s="87">
        <v>1.5</v>
      </c>
      <c r="G191" s="87">
        <v>0</v>
      </c>
      <c r="H191" s="87">
        <f>ROUND(F191*AO191,2)</f>
        <v>0</v>
      </c>
      <c r="I191" s="87">
        <f>ROUND(F191*AP191,2)</f>
        <v>0</v>
      </c>
      <c r="J191" s="87">
        <f>ROUND(F191*G191,2)</f>
        <v>0</v>
      </c>
      <c r="K191" s="88" t="s">
        <v>223</v>
      </c>
      <c r="Z191" s="28">
        <f>ROUND(IF(AQ191="5",BJ191,0),2)</f>
        <v>0</v>
      </c>
      <c r="AB191" s="28">
        <f>ROUND(IF(AQ191="1",BH191,0),2)</f>
        <v>0</v>
      </c>
      <c r="AC191" s="28">
        <f>ROUND(IF(AQ191="1",BI191,0),2)</f>
        <v>0</v>
      </c>
      <c r="AD191" s="28">
        <f>ROUND(IF(AQ191="7",BH191,0),2)</f>
        <v>0</v>
      </c>
      <c r="AE191" s="28">
        <f>ROUND(IF(AQ191="7",BI191,0),2)</f>
        <v>0</v>
      </c>
      <c r="AF191" s="28">
        <f>ROUND(IF(AQ191="2",BH191,0),2)</f>
        <v>0</v>
      </c>
      <c r="AG191" s="28">
        <f>ROUND(IF(AQ191="2",BI191,0),2)</f>
        <v>0</v>
      </c>
      <c r="AH191" s="28">
        <f>ROUND(IF(AQ191="0",BJ191,0),2)</f>
        <v>0</v>
      </c>
      <c r="AI191" s="10" t="s">
        <v>184</v>
      </c>
      <c r="AJ191" s="41">
        <f>IF(AN191=0,J191,0)</f>
        <v>0</v>
      </c>
      <c r="AK191" s="41">
        <f>IF(AN191=12,J191,0)</f>
        <v>0</v>
      </c>
      <c r="AL191" s="41">
        <f>IF(AN191=21,J191,0)</f>
        <v>0</v>
      </c>
      <c r="AN191" s="28">
        <v>21</v>
      </c>
      <c r="AO191" s="28">
        <f>G191*1</f>
        <v>0</v>
      </c>
      <c r="AP191" s="28">
        <f>G191*(1-1)</f>
        <v>0</v>
      </c>
      <c r="AQ191" s="43" t="s">
        <v>111</v>
      </c>
      <c r="AV191" s="28">
        <f>ROUND(AW191+AX191,2)</f>
        <v>0</v>
      </c>
      <c r="AW191" s="28">
        <f>ROUND(F191*AO191,2)</f>
        <v>0</v>
      </c>
      <c r="AX191" s="28">
        <f>ROUND(F191*AP191,2)</f>
        <v>0</v>
      </c>
      <c r="AY191" s="30" t="s">
        <v>250</v>
      </c>
      <c r="AZ191" s="30" t="s">
        <v>189</v>
      </c>
      <c r="BA191" s="10" t="s">
        <v>190</v>
      </c>
      <c r="BC191" s="28">
        <f>AW191+AX191</f>
        <v>0</v>
      </c>
      <c r="BD191" s="28">
        <f>G191/(100-BE191)*100</f>
        <v>0</v>
      </c>
      <c r="BE191" s="28">
        <v>0</v>
      </c>
      <c r="BF191" s="28">
        <f>191</f>
        <v>191</v>
      </c>
      <c r="BH191" s="41">
        <f>F191*AO191</f>
        <v>0</v>
      </c>
      <c r="BI191" s="41">
        <f>F191*AP191</f>
        <v>0</v>
      </c>
      <c r="BJ191" s="41">
        <f>F191*G191</f>
        <v>0</v>
      </c>
      <c r="BK191" s="41"/>
      <c r="BL191" s="28">
        <v>764</v>
      </c>
      <c r="BW191" s="28">
        <v>21</v>
      </c>
      <c r="BX191" s="40" t="s">
        <v>375</v>
      </c>
    </row>
    <row r="192" spans="1:76" x14ac:dyDescent="0.25">
      <c r="A192" s="89"/>
      <c r="B192" s="90"/>
      <c r="C192" s="91" t="s">
        <v>376</v>
      </c>
      <c r="D192" s="92" t="s">
        <v>372</v>
      </c>
      <c r="E192" s="90"/>
      <c r="F192" s="93">
        <v>1.5</v>
      </c>
      <c r="G192" s="90"/>
      <c r="H192" s="90"/>
      <c r="I192" s="90"/>
      <c r="J192" s="90"/>
      <c r="K192" s="94"/>
    </row>
    <row r="193" spans="1:76" x14ac:dyDescent="0.25">
      <c r="A193" s="99" t="s">
        <v>377</v>
      </c>
      <c r="B193" s="100" t="s">
        <v>378</v>
      </c>
      <c r="C193" s="272" t="s">
        <v>379</v>
      </c>
      <c r="D193" s="273"/>
      <c r="E193" s="100" t="s">
        <v>380</v>
      </c>
      <c r="F193" s="101">
        <v>20620</v>
      </c>
      <c r="G193" s="101">
        <v>0</v>
      </c>
      <c r="H193" s="101">
        <f>ROUND(F193*AO193,2)</f>
        <v>0</v>
      </c>
      <c r="I193" s="101">
        <f>ROUND(F193*AP193,2)</f>
        <v>0</v>
      </c>
      <c r="J193" s="101">
        <f>ROUND(F193*G193,2)</f>
        <v>0</v>
      </c>
      <c r="K193" s="102" t="s">
        <v>70</v>
      </c>
      <c r="Z193" s="28">
        <f>ROUND(IF(AQ193="5",BJ193,0),2)</f>
        <v>0</v>
      </c>
      <c r="AB193" s="28">
        <f>ROUND(IF(AQ193="1",BH193,0),2)</f>
        <v>0</v>
      </c>
      <c r="AC193" s="28">
        <f>ROUND(IF(AQ193="1",BI193,0),2)</f>
        <v>0</v>
      </c>
      <c r="AD193" s="28">
        <f>ROUND(IF(AQ193="7",BH193,0),2)</f>
        <v>0</v>
      </c>
      <c r="AE193" s="28">
        <f>ROUND(IF(AQ193="7",BI193,0),2)</f>
        <v>0</v>
      </c>
      <c r="AF193" s="28">
        <f>ROUND(IF(AQ193="2",BH193,0),2)</f>
        <v>0</v>
      </c>
      <c r="AG193" s="28">
        <f>ROUND(IF(AQ193="2",BI193,0),2)</f>
        <v>0</v>
      </c>
      <c r="AH193" s="28">
        <f>ROUND(IF(AQ193="0",BJ193,0),2)</f>
        <v>0</v>
      </c>
      <c r="AI193" s="10" t="s">
        <v>184</v>
      </c>
      <c r="AJ193" s="28">
        <f>IF(AN193=0,J193,0)</f>
        <v>0</v>
      </c>
      <c r="AK193" s="28">
        <f>IF(AN193=12,J193,0)</f>
        <v>0</v>
      </c>
      <c r="AL193" s="28">
        <f>IF(AN193=21,J193,0)</f>
        <v>0</v>
      </c>
      <c r="AN193" s="28">
        <v>21</v>
      </c>
      <c r="AO193" s="28">
        <f>G193*0</f>
        <v>0</v>
      </c>
      <c r="AP193" s="28">
        <f>G193*(1-0)</f>
        <v>0</v>
      </c>
      <c r="AQ193" s="30" t="s">
        <v>91</v>
      </c>
      <c r="AV193" s="28">
        <f>ROUND(AW193+AX193,2)</f>
        <v>0</v>
      </c>
      <c r="AW193" s="28">
        <f>ROUND(F193*AO193,2)</f>
        <v>0</v>
      </c>
      <c r="AX193" s="28">
        <f>ROUND(F193*AP193,2)</f>
        <v>0</v>
      </c>
      <c r="AY193" s="30" t="s">
        <v>250</v>
      </c>
      <c r="AZ193" s="30" t="s">
        <v>189</v>
      </c>
      <c r="BA193" s="10" t="s">
        <v>190</v>
      </c>
      <c r="BC193" s="28">
        <f>AW193+AX193</f>
        <v>0</v>
      </c>
      <c r="BD193" s="28">
        <f>G193/(100-BE193)*100</f>
        <v>0</v>
      </c>
      <c r="BE193" s="28">
        <v>0</v>
      </c>
      <c r="BF193" s="28">
        <f>193</f>
        <v>193</v>
      </c>
      <c r="BH193" s="28">
        <f>F193*AO193</f>
        <v>0</v>
      </c>
      <c r="BI193" s="28">
        <f>F193*AP193</f>
        <v>0</v>
      </c>
      <c r="BJ193" s="28">
        <f>F193*G193</f>
        <v>0</v>
      </c>
      <c r="BK193" s="28"/>
      <c r="BL193" s="28">
        <v>764</v>
      </c>
      <c r="BW193" s="28">
        <v>21</v>
      </c>
      <c r="BX193" s="4" t="s">
        <v>379</v>
      </c>
    </row>
    <row r="194" spans="1:76" x14ac:dyDescent="0.25">
      <c r="A194" s="31"/>
      <c r="C194" s="34" t="s">
        <v>381</v>
      </c>
      <c r="D194" s="33" t="s">
        <v>52</v>
      </c>
      <c r="F194" s="35">
        <v>20620</v>
      </c>
      <c r="K194" s="36"/>
    </row>
    <row r="195" spans="1:76" x14ac:dyDescent="0.25">
      <c r="A195" s="24" t="s">
        <v>52</v>
      </c>
      <c r="B195" s="25" t="s">
        <v>382</v>
      </c>
      <c r="C195" s="246" t="s">
        <v>383</v>
      </c>
      <c r="D195" s="247"/>
      <c r="E195" s="26" t="s">
        <v>33</v>
      </c>
      <c r="F195" s="26" t="s">
        <v>33</v>
      </c>
      <c r="G195" s="26" t="s">
        <v>33</v>
      </c>
      <c r="H195" s="1">
        <f>SUM(H196:H208)</f>
        <v>0</v>
      </c>
      <c r="I195" s="1">
        <f>SUM(I196:I208)</f>
        <v>0</v>
      </c>
      <c r="J195" s="1">
        <f>SUM(J196:J208)</f>
        <v>0</v>
      </c>
      <c r="K195" s="27" t="s">
        <v>52</v>
      </c>
      <c r="AI195" s="10" t="s">
        <v>184</v>
      </c>
      <c r="AS195" s="1">
        <f>SUM(AJ196:AJ208)</f>
        <v>0</v>
      </c>
      <c r="AT195" s="1">
        <f>SUM(AK196:AK208)</f>
        <v>0</v>
      </c>
      <c r="AU195" s="1">
        <f>SUM(AL196:AL208)</f>
        <v>0</v>
      </c>
    </row>
    <row r="196" spans="1:76" x14ac:dyDescent="0.25">
      <c r="A196" s="2" t="s">
        <v>384</v>
      </c>
      <c r="B196" s="3" t="s">
        <v>385</v>
      </c>
      <c r="C196" s="230" t="s">
        <v>386</v>
      </c>
      <c r="D196" s="225"/>
      <c r="E196" s="3" t="s">
        <v>69</v>
      </c>
      <c r="F196" s="28">
        <v>588.79999999999995</v>
      </c>
      <c r="G196" s="28">
        <v>0</v>
      </c>
      <c r="H196" s="28">
        <f>ROUND(F196*AO196,2)</f>
        <v>0</v>
      </c>
      <c r="I196" s="28">
        <f>ROUND(F196*AP196,2)</f>
        <v>0</v>
      </c>
      <c r="J196" s="28">
        <f>ROUND(F196*G196,2)</f>
        <v>0</v>
      </c>
      <c r="K196" s="29" t="s">
        <v>70</v>
      </c>
      <c r="Z196" s="28">
        <f>ROUND(IF(AQ196="5",BJ196,0),2)</f>
        <v>0</v>
      </c>
      <c r="AB196" s="28">
        <f>ROUND(IF(AQ196="1",BH196,0),2)</f>
        <v>0</v>
      </c>
      <c r="AC196" s="28">
        <f>ROUND(IF(AQ196="1",BI196,0),2)</f>
        <v>0</v>
      </c>
      <c r="AD196" s="28">
        <f>ROUND(IF(AQ196="7",BH196,0),2)</f>
        <v>0</v>
      </c>
      <c r="AE196" s="28">
        <f>ROUND(IF(AQ196="7",BI196,0),2)</f>
        <v>0</v>
      </c>
      <c r="AF196" s="28">
        <f>ROUND(IF(AQ196="2",BH196,0),2)</f>
        <v>0</v>
      </c>
      <c r="AG196" s="28">
        <f>ROUND(IF(AQ196="2",BI196,0),2)</f>
        <v>0</v>
      </c>
      <c r="AH196" s="28">
        <f>ROUND(IF(AQ196="0",BJ196,0),2)</f>
        <v>0</v>
      </c>
      <c r="AI196" s="10" t="s">
        <v>184</v>
      </c>
      <c r="AJ196" s="28">
        <f>IF(AN196=0,J196,0)</f>
        <v>0</v>
      </c>
      <c r="AK196" s="28">
        <f>IF(AN196=12,J196,0)</f>
        <v>0</v>
      </c>
      <c r="AL196" s="28">
        <f>IF(AN196=21,J196,0)</f>
        <v>0</v>
      </c>
      <c r="AN196" s="28">
        <v>21</v>
      </c>
      <c r="AO196" s="28">
        <f>G196*0</f>
        <v>0</v>
      </c>
      <c r="AP196" s="28">
        <f>G196*(1-0)</f>
        <v>0</v>
      </c>
      <c r="AQ196" s="30" t="s">
        <v>111</v>
      </c>
      <c r="AV196" s="28">
        <f>ROUND(AW196+AX196,2)</f>
        <v>0</v>
      </c>
      <c r="AW196" s="28">
        <f>ROUND(F196*AO196,2)</f>
        <v>0</v>
      </c>
      <c r="AX196" s="28">
        <f>ROUND(F196*AP196,2)</f>
        <v>0</v>
      </c>
      <c r="AY196" s="30" t="s">
        <v>387</v>
      </c>
      <c r="AZ196" s="30" t="s">
        <v>189</v>
      </c>
      <c r="BA196" s="10" t="s">
        <v>190</v>
      </c>
      <c r="BC196" s="28">
        <f>AW196+AX196</f>
        <v>0</v>
      </c>
      <c r="BD196" s="28">
        <f>G196/(100-BE196)*100</f>
        <v>0</v>
      </c>
      <c r="BE196" s="28">
        <v>0</v>
      </c>
      <c r="BF196" s="28">
        <f>196</f>
        <v>196</v>
      </c>
      <c r="BH196" s="28">
        <f>F196*AO196</f>
        <v>0</v>
      </c>
      <c r="BI196" s="28">
        <f>F196*AP196</f>
        <v>0</v>
      </c>
      <c r="BJ196" s="28">
        <f>F196*G196</f>
        <v>0</v>
      </c>
      <c r="BK196" s="28"/>
      <c r="BL196" s="28">
        <v>765</v>
      </c>
      <c r="BW196" s="28">
        <v>21</v>
      </c>
      <c r="BX196" s="4" t="s">
        <v>386</v>
      </c>
    </row>
    <row r="197" spans="1:76" ht="13.5" customHeight="1" x14ac:dyDescent="0.25">
      <c r="A197" s="31"/>
      <c r="C197" s="248" t="s">
        <v>388</v>
      </c>
      <c r="D197" s="249"/>
      <c r="E197" s="249"/>
      <c r="F197" s="249"/>
      <c r="G197" s="249"/>
      <c r="H197" s="249"/>
      <c r="I197" s="249"/>
      <c r="J197" s="249"/>
      <c r="K197" s="250"/>
    </row>
    <row r="198" spans="1:76" x14ac:dyDescent="0.25">
      <c r="A198" s="45"/>
      <c r="C198" s="46" t="s">
        <v>272</v>
      </c>
      <c r="D198" s="47" t="s">
        <v>389</v>
      </c>
      <c r="F198" s="48">
        <v>588.79999999999995</v>
      </c>
      <c r="K198" s="49"/>
    </row>
    <row r="199" spans="1:76" x14ac:dyDescent="0.25">
      <c r="A199" s="75" t="s">
        <v>390</v>
      </c>
      <c r="B199" s="76" t="s">
        <v>391</v>
      </c>
      <c r="C199" s="266" t="s">
        <v>392</v>
      </c>
      <c r="D199" s="267"/>
      <c r="E199" s="76" t="s">
        <v>205</v>
      </c>
      <c r="F199" s="77">
        <v>171.47</v>
      </c>
      <c r="G199" s="77">
        <v>0</v>
      </c>
      <c r="H199" s="77">
        <f>ROUND(F199*AO199,2)</f>
        <v>0</v>
      </c>
      <c r="I199" s="77">
        <f>ROUND(F199*AP199,2)</f>
        <v>0</v>
      </c>
      <c r="J199" s="77">
        <f>ROUND(F199*G199,2)</f>
        <v>0</v>
      </c>
      <c r="K199" s="78" t="s">
        <v>70</v>
      </c>
      <c r="Z199" s="28">
        <f>ROUND(IF(AQ199="5",BJ199,0),2)</f>
        <v>0</v>
      </c>
      <c r="AB199" s="28">
        <f>ROUND(IF(AQ199="1",BH199,0),2)</f>
        <v>0</v>
      </c>
      <c r="AC199" s="28">
        <f>ROUND(IF(AQ199="1",BI199,0),2)</f>
        <v>0</v>
      </c>
      <c r="AD199" s="28">
        <f>ROUND(IF(AQ199="7",BH199,0),2)</f>
        <v>0</v>
      </c>
      <c r="AE199" s="28">
        <f>ROUND(IF(AQ199="7",BI199,0),2)</f>
        <v>0</v>
      </c>
      <c r="AF199" s="28">
        <f>ROUND(IF(AQ199="2",BH199,0),2)</f>
        <v>0</v>
      </c>
      <c r="AG199" s="28">
        <f>ROUND(IF(AQ199="2",BI199,0),2)</f>
        <v>0</v>
      </c>
      <c r="AH199" s="28">
        <f>ROUND(IF(AQ199="0",BJ199,0),2)</f>
        <v>0</v>
      </c>
      <c r="AI199" s="10" t="s">
        <v>184</v>
      </c>
      <c r="AJ199" s="28">
        <f>IF(AN199=0,J199,0)</f>
        <v>0</v>
      </c>
      <c r="AK199" s="28">
        <f>IF(AN199=12,J199,0)</f>
        <v>0</v>
      </c>
      <c r="AL199" s="28">
        <f>IF(AN199=21,J199,0)</f>
        <v>0</v>
      </c>
      <c r="AN199" s="28">
        <v>21</v>
      </c>
      <c r="AO199" s="28">
        <f>G199*0.306990212</f>
        <v>0</v>
      </c>
      <c r="AP199" s="28">
        <f>G199*(1-0.306990212)</f>
        <v>0</v>
      </c>
      <c r="AQ199" s="30" t="s">
        <v>111</v>
      </c>
      <c r="AV199" s="28">
        <f>ROUND(AW199+AX199,2)</f>
        <v>0</v>
      </c>
      <c r="AW199" s="28">
        <f>ROUND(F199*AO199,2)</f>
        <v>0</v>
      </c>
      <c r="AX199" s="28">
        <f>ROUND(F199*AP199,2)</f>
        <v>0</v>
      </c>
      <c r="AY199" s="30" t="s">
        <v>387</v>
      </c>
      <c r="AZ199" s="30" t="s">
        <v>189</v>
      </c>
      <c r="BA199" s="10" t="s">
        <v>190</v>
      </c>
      <c r="BC199" s="28">
        <f>AW199+AX199</f>
        <v>0</v>
      </c>
      <c r="BD199" s="28">
        <f>G199/(100-BE199)*100</f>
        <v>0</v>
      </c>
      <c r="BE199" s="28">
        <v>0</v>
      </c>
      <c r="BF199" s="28">
        <f>199</f>
        <v>199</v>
      </c>
      <c r="BH199" s="28">
        <f>F199*AO199</f>
        <v>0</v>
      </c>
      <c r="BI199" s="28">
        <f>F199*AP199</f>
        <v>0</v>
      </c>
      <c r="BJ199" s="28">
        <f>F199*G199</f>
        <v>0</v>
      </c>
      <c r="BK199" s="28"/>
      <c r="BL199" s="28">
        <v>765</v>
      </c>
      <c r="BW199" s="28">
        <v>21</v>
      </c>
      <c r="BX199" s="4" t="s">
        <v>392</v>
      </c>
    </row>
    <row r="200" spans="1:76" x14ac:dyDescent="0.25">
      <c r="A200" s="89"/>
      <c r="B200" s="90"/>
      <c r="C200" s="91" t="s">
        <v>286</v>
      </c>
      <c r="D200" s="92" t="s">
        <v>393</v>
      </c>
      <c r="E200" s="90"/>
      <c r="F200" s="93">
        <v>98.87</v>
      </c>
      <c r="G200" s="90"/>
      <c r="H200" s="90"/>
      <c r="I200" s="90"/>
      <c r="J200" s="90"/>
      <c r="K200" s="94"/>
    </row>
    <row r="201" spans="1:76" x14ac:dyDescent="0.25">
      <c r="A201" s="89"/>
      <c r="B201" s="90"/>
      <c r="C201" s="91" t="s">
        <v>394</v>
      </c>
      <c r="D201" s="92" t="s">
        <v>395</v>
      </c>
      <c r="E201" s="90"/>
      <c r="F201" s="93">
        <v>66.8</v>
      </c>
      <c r="G201" s="90"/>
      <c r="H201" s="90"/>
      <c r="I201" s="90"/>
      <c r="J201" s="90"/>
      <c r="K201" s="94"/>
    </row>
    <row r="202" spans="1:76" x14ac:dyDescent="0.25">
      <c r="A202" s="89"/>
      <c r="B202" s="90"/>
      <c r="C202" s="91" t="s">
        <v>396</v>
      </c>
      <c r="D202" s="92" t="s">
        <v>397</v>
      </c>
      <c r="E202" s="90"/>
      <c r="F202" s="93">
        <v>5.8</v>
      </c>
      <c r="G202" s="90"/>
      <c r="H202" s="90"/>
      <c r="I202" s="90"/>
      <c r="J202" s="90"/>
      <c r="K202" s="94"/>
    </row>
    <row r="203" spans="1:76" x14ac:dyDescent="0.25">
      <c r="A203" s="85" t="s">
        <v>398</v>
      </c>
      <c r="B203" s="86" t="s">
        <v>399</v>
      </c>
      <c r="C203" s="268" t="s">
        <v>400</v>
      </c>
      <c r="D203" s="269"/>
      <c r="E203" s="86" t="s">
        <v>205</v>
      </c>
      <c r="F203" s="87">
        <v>188.61699999999999</v>
      </c>
      <c r="G203" s="87">
        <v>0</v>
      </c>
      <c r="H203" s="87">
        <f>ROUND(F203*AO203,2)</f>
        <v>0</v>
      </c>
      <c r="I203" s="87">
        <f>ROUND(F203*AP203,2)</f>
        <v>0</v>
      </c>
      <c r="J203" s="87">
        <f>ROUND(F203*G203,2)</f>
        <v>0</v>
      </c>
      <c r="K203" s="88" t="s">
        <v>223</v>
      </c>
      <c r="Z203" s="28">
        <f>ROUND(IF(AQ203="5",BJ203,0),2)</f>
        <v>0</v>
      </c>
      <c r="AB203" s="28">
        <f>ROUND(IF(AQ203="1",BH203,0),2)</f>
        <v>0</v>
      </c>
      <c r="AC203" s="28">
        <f>ROUND(IF(AQ203="1",BI203,0),2)</f>
        <v>0</v>
      </c>
      <c r="AD203" s="28">
        <f>ROUND(IF(AQ203="7",BH203,0),2)</f>
        <v>0</v>
      </c>
      <c r="AE203" s="28">
        <f>ROUND(IF(AQ203="7",BI203,0),2)</f>
        <v>0</v>
      </c>
      <c r="AF203" s="28">
        <f>ROUND(IF(AQ203="2",BH203,0),2)</f>
        <v>0</v>
      </c>
      <c r="AG203" s="28">
        <f>ROUND(IF(AQ203="2",BI203,0),2)</f>
        <v>0</v>
      </c>
      <c r="AH203" s="28">
        <f>ROUND(IF(AQ203="0",BJ203,0),2)</f>
        <v>0</v>
      </c>
      <c r="AI203" s="10" t="s">
        <v>184</v>
      </c>
      <c r="AJ203" s="41">
        <f>IF(AN203=0,J203,0)</f>
        <v>0</v>
      </c>
      <c r="AK203" s="41">
        <f>IF(AN203=12,J203,0)</f>
        <v>0</v>
      </c>
      <c r="AL203" s="41">
        <f>IF(AN203=21,J203,0)</f>
        <v>0</v>
      </c>
      <c r="AN203" s="28">
        <v>21</v>
      </c>
      <c r="AO203" s="28">
        <f>G203*1</f>
        <v>0</v>
      </c>
      <c r="AP203" s="28">
        <f>G203*(1-1)</f>
        <v>0</v>
      </c>
      <c r="AQ203" s="43" t="s">
        <v>111</v>
      </c>
      <c r="AV203" s="28">
        <f>ROUND(AW203+AX203,2)</f>
        <v>0</v>
      </c>
      <c r="AW203" s="28">
        <f>ROUND(F203*AO203,2)</f>
        <v>0</v>
      </c>
      <c r="AX203" s="28">
        <f>ROUND(F203*AP203,2)</f>
        <v>0</v>
      </c>
      <c r="AY203" s="30" t="s">
        <v>387</v>
      </c>
      <c r="AZ203" s="30" t="s">
        <v>189</v>
      </c>
      <c r="BA203" s="10" t="s">
        <v>190</v>
      </c>
      <c r="BC203" s="28">
        <f>AW203+AX203</f>
        <v>0</v>
      </c>
      <c r="BD203" s="28">
        <f>G203/(100-BE203)*100</f>
        <v>0</v>
      </c>
      <c r="BE203" s="28">
        <v>0</v>
      </c>
      <c r="BF203" s="28">
        <f>203</f>
        <v>203</v>
      </c>
      <c r="BH203" s="41">
        <f>F203*AO203</f>
        <v>0</v>
      </c>
      <c r="BI203" s="41">
        <f>F203*AP203</f>
        <v>0</v>
      </c>
      <c r="BJ203" s="41">
        <f>F203*G203</f>
        <v>0</v>
      </c>
      <c r="BK203" s="41"/>
      <c r="BL203" s="28">
        <v>765</v>
      </c>
      <c r="BW203" s="28">
        <v>21</v>
      </c>
      <c r="BX203" s="40" t="s">
        <v>400</v>
      </c>
    </row>
    <row r="204" spans="1:76" x14ac:dyDescent="0.25">
      <c r="A204" s="89"/>
      <c r="B204" s="90"/>
      <c r="C204" s="91" t="s">
        <v>286</v>
      </c>
      <c r="D204" s="92" t="s">
        <v>393</v>
      </c>
      <c r="E204" s="90"/>
      <c r="F204" s="93">
        <v>98.87</v>
      </c>
      <c r="G204" s="90"/>
      <c r="H204" s="90"/>
      <c r="I204" s="90"/>
      <c r="J204" s="90"/>
      <c r="K204" s="94"/>
    </row>
    <row r="205" spans="1:76" x14ac:dyDescent="0.25">
      <c r="A205" s="89"/>
      <c r="B205" s="90"/>
      <c r="C205" s="91" t="s">
        <v>394</v>
      </c>
      <c r="D205" s="92" t="s">
        <v>395</v>
      </c>
      <c r="E205" s="90"/>
      <c r="F205" s="93">
        <v>66.8</v>
      </c>
      <c r="G205" s="90"/>
      <c r="H205" s="90"/>
      <c r="I205" s="90"/>
      <c r="J205" s="90"/>
      <c r="K205" s="94"/>
    </row>
    <row r="206" spans="1:76" x14ac:dyDescent="0.25">
      <c r="A206" s="89"/>
      <c r="B206" s="90"/>
      <c r="C206" s="91" t="s">
        <v>396</v>
      </c>
      <c r="D206" s="92" t="s">
        <v>397</v>
      </c>
      <c r="E206" s="90"/>
      <c r="F206" s="93">
        <v>5.8</v>
      </c>
      <c r="G206" s="90"/>
      <c r="H206" s="90"/>
      <c r="I206" s="90"/>
      <c r="J206" s="90"/>
      <c r="K206" s="94"/>
    </row>
    <row r="207" spans="1:76" x14ac:dyDescent="0.25">
      <c r="A207" s="89"/>
      <c r="B207" s="90"/>
      <c r="C207" s="91" t="s">
        <v>401</v>
      </c>
      <c r="D207" s="92" t="s">
        <v>52</v>
      </c>
      <c r="E207" s="90"/>
      <c r="F207" s="93">
        <v>17.146999999999998</v>
      </c>
      <c r="G207" s="90"/>
      <c r="H207" s="90"/>
      <c r="I207" s="90"/>
      <c r="J207" s="90"/>
      <c r="K207" s="94"/>
    </row>
    <row r="208" spans="1:76" x14ac:dyDescent="0.25">
      <c r="A208" s="99" t="s">
        <v>402</v>
      </c>
      <c r="B208" s="100" t="s">
        <v>403</v>
      </c>
      <c r="C208" s="272" t="s">
        <v>404</v>
      </c>
      <c r="D208" s="273"/>
      <c r="E208" s="100" t="s">
        <v>380</v>
      </c>
      <c r="F208" s="101">
        <v>2300</v>
      </c>
      <c r="G208" s="101">
        <v>0</v>
      </c>
      <c r="H208" s="101">
        <f>ROUND(F208*AO208,2)</f>
        <v>0</v>
      </c>
      <c r="I208" s="101">
        <f>ROUND(F208*AP208,2)</f>
        <v>0</v>
      </c>
      <c r="J208" s="101">
        <f>ROUND(F208*G208,2)</f>
        <v>0</v>
      </c>
      <c r="K208" s="102" t="s">
        <v>70</v>
      </c>
      <c r="Z208" s="28">
        <f>ROUND(IF(AQ208="5",BJ208,0),2)</f>
        <v>0</v>
      </c>
      <c r="AB208" s="28">
        <f>ROUND(IF(AQ208="1",BH208,0),2)</f>
        <v>0</v>
      </c>
      <c r="AC208" s="28">
        <f>ROUND(IF(AQ208="1",BI208,0),2)</f>
        <v>0</v>
      </c>
      <c r="AD208" s="28">
        <f>ROUND(IF(AQ208="7",BH208,0),2)</f>
        <v>0</v>
      </c>
      <c r="AE208" s="28">
        <f>ROUND(IF(AQ208="7",BI208,0),2)</f>
        <v>0</v>
      </c>
      <c r="AF208" s="28">
        <f>ROUND(IF(AQ208="2",BH208,0),2)</f>
        <v>0</v>
      </c>
      <c r="AG208" s="28">
        <f>ROUND(IF(AQ208="2",BI208,0),2)</f>
        <v>0</v>
      </c>
      <c r="AH208" s="28">
        <f>ROUND(IF(AQ208="0",BJ208,0),2)</f>
        <v>0</v>
      </c>
      <c r="AI208" s="10" t="s">
        <v>184</v>
      </c>
      <c r="AJ208" s="28">
        <f>IF(AN208=0,J208,0)</f>
        <v>0</v>
      </c>
      <c r="AK208" s="28">
        <f>IF(AN208=12,J208,0)</f>
        <v>0</v>
      </c>
      <c r="AL208" s="28">
        <f>IF(AN208=21,J208,0)</f>
        <v>0</v>
      </c>
      <c r="AN208" s="28">
        <v>21</v>
      </c>
      <c r="AO208" s="28">
        <f>G208*0</f>
        <v>0</v>
      </c>
      <c r="AP208" s="28">
        <f>G208*(1-0)</f>
        <v>0</v>
      </c>
      <c r="AQ208" s="30" t="s">
        <v>91</v>
      </c>
      <c r="AV208" s="28">
        <f>ROUND(AW208+AX208,2)</f>
        <v>0</v>
      </c>
      <c r="AW208" s="28">
        <f>ROUND(F208*AO208,2)</f>
        <v>0</v>
      </c>
      <c r="AX208" s="28">
        <f>ROUND(F208*AP208,2)</f>
        <v>0</v>
      </c>
      <c r="AY208" s="30" t="s">
        <v>387</v>
      </c>
      <c r="AZ208" s="30" t="s">
        <v>189</v>
      </c>
      <c r="BA208" s="10" t="s">
        <v>190</v>
      </c>
      <c r="BC208" s="28">
        <f>AW208+AX208</f>
        <v>0</v>
      </c>
      <c r="BD208" s="28">
        <f>G208/(100-BE208)*100</f>
        <v>0</v>
      </c>
      <c r="BE208" s="28">
        <v>0</v>
      </c>
      <c r="BF208" s="28">
        <f>208</f>
        <v>208</v>
      </c>
      <c r="BH208" s="28">
        <f>F208*AO208</f>
        <v>0</v>
      </c>
      <c r="BI208" s="28">
        <f>F208*AP208</f>
        <v>0</v>
      </c>
      <c r="BJ208" s="28">
        <f>F208*G208</f>
        <v>0</v>
      </c>
      <c r="BK208" s="28"/>
      <c r="BL208" s="28">
        <v>765</v>
      </c>
      <c r="BW208" s="28">
        <v>21</v>
      </c>
      <c r="BX208" s="4" t="s">
        <v>404</v>
      </c>
    </row>
    <row r="209" spans="1:76" x14ac:dyDescent="0.25">
      <c r="A209" s="31"/>
      <c r="C209" s="34" t="s">
        <v>405</v>
      </c>
      <c r="D209" s="33" t="s">
        <v>52</v>
      </c>
      <c r="F209" s="35">
        <v>2300</v>
      </c>
      <c r="K209" s="36"/>
    </row>
    <row r="210" spans="1:76" x14ac:dyDescent="0.25">
      <c r="A210" s="24" t="s">
        <v>52</v>
      </c>
      <c r="B210" s="25" t="s">
        <v>52</v>
      </c>
      <c r="C210" s="246" t="s">
        <v>406</v>
      </c>
      <c r="D210" s="247"/>
      <c r="E210" s="26" t="s">
        <v>33</v>
      </c>
      <c r="F210" s="26" t="s">
        <v>33</v>
      </c>
      <c r="G210" s="26" t="s">
        <v>33</v>
      </c>
      <c r="H210" s="1">
        <f>H211+H235+H307+H396+H424+H428+H441+H444</f>
        <v>0</v>
      </c>
      <c r="I210" s="1">
        <f>I211+I235+I307+I396+I424+I428+I441+I444</f>
        <v>0</v>
      </c>
      <c r="J210" s="1">
        <f>J211+J235+J307+J396+J424+J428+J441+J444</f>
        <v>0</v>
      </c>
      <c r="K210" s="27" t="s">
        <v>52</v>
      </c>
    </row>
    <row r="211" spans="1:76" x14ac:dyDescent="0.25">
      <c r="A211" s="103" t="s">
        <v>52</v>
      </c>
      <c r="B211" s="104" t="s">
        <v>407</v>
      </c>
      <c r="C211" s="274" t="s">
        <v>408</v>
      </c>
      <c r="D211" s="275"/>
      <c r="E211" s="105" t="s">
        <v>33</v>
      </c>
      <c r="F211" s="105" t="s">
        <v>33</v>
      </c>
      <c r="G211" s="105" t="s">
        <v>33</v>
      </c>
      <c r="H211" s="106">
        <f>SUM(H212:H233)</f>
        <v>0</v>
      </c>
      <c r="I211" s="106">
        <f>SUM(I212:I233)</f>
        <v>0</v>
      </c>
      <c r="J211" s="106">
        <f>SUM(J212:J233)</f>
        <v>0</v>
      </c>
      <c r="K211" s="107" t="s">
        <v>52</v>
      </c>
      <c r="AI211" s="10" t="s">
        <v>409</v>
      </c>
      <c r="AS211" s="1">
        <f>SUM(AJ212:AJ233)</f>
        <v>0</v>
      </c>
      <c r="AT211" s="1">
        <f>SUM(AK212:AK233)</f>
        <v>0</v>
      </c>
      <c r="AU211" s="1">
        <f>SUM(AL212:AL233)</f>
        <v>0</v>
      </c>
    </row>
    <row r="212" spans="1:76" ht="25.5" x14ac:dyDescent="0.25">
      <c r="A212" s="108" t="s">
        <v>410</v>
      </c>
      <c r="B212" s="109" t="s">
        <v>411</v>
      </c>
      <c r="C212" s="276" t="s">
        <v>412</v>
      </c>
      <c r="D212" s="277"/>
      <c r="E212" s="109" t="s">
        <v>69</v>
      </c>
      <c r="F212" s="110">
        <v>619.23479999999995</v>
      </c>
      <c r="G212" s="110">
        <v>0</v>
      </c>
      <c r="H212" s="110">
        <f>ROUND(F212*AO212,2)</f>
        <v>0</v>
      </c>
      <c r="I212" s="110">
        <f>ROUND(F212*AP212,2)</f>
        <v>0</v>
      </c>
      <c r="J212" s="110">
        <f>ROUND(F212*G212,2)</f>
        <v>0</v>
      </c>
      <c r="K212" s="111" t="s">
        <v>70</v>
      </c>
      <c r="Z212" s="28">
        <f>ROUND(IF(AQ212="5",BJ212,0),2)</f>
        <v>0</v>
      </c>
      <c r="AB212" s="28">
        <f>ROUND(IF(AQ212="1",BH212,0),2)</f>
        <v>0</v>
      </c>
      <c r="AC212" s="28">
        <f>ROUND(IF(AQ212="1",BI212,0),2)</f>
        <v>0</v>
      </c>
      <c r="AD212" s="28">
        <f>ROUND(IF(AQ212="7",BH212,0),2)</f>
        <v>0</v>
      </c>
      <c r="AE212" s="28">
        <f>ROUND(IF(AQ212="7",BI212,0),2)</f>
        <v>0</v>
      </c>
      <c r="AF212" s="28">
        <f>ROUND(IF(AQ212="2",BH212,0),2)</f>
        <v>0</v>
      </c>
      <c r="AG212" s="28">
        <f>ROUND(IF(AQ212="2",BI212,0),2)</f>
        <v>0</v>
      </c>
      <c r="AH212" s="28">
        <f>ROUND(IF(AQ212="0",BJ212,0),2)</f>
        <v>0</v>
      </c>
      <c r="AI212" s="10" t="s">
        <v>409</v>
      </c>
      <c r="AJ212" s="28">
        <f>IF(AN212=0,J212,0)</f>
        <v>0</v>
      </c>
      <c r="AK212" s="28">
        <f>IF(AN212=12,J212,0)</f>
        <v>0</v>
      </c>
      <c r="AL212" s="28">
        <f>IF(AN212=21,J212,0)</f>
        <v>0</v>
      </c>
      <c r="AN212" s="28">
        <v>21</v>
      </c>
      <c r="AO212" s="28">
        <f>G212*0</f>
        <v>0</v>
      </c>
      <c r="AP212" s="28">
        <f>G212*(1-0)</f>
        <v>0</v>
      </c>
      <c r="AQ212" s="30" t="s">
        <v>111</v>
      </c>
      <c r="AV212" s="28">
        <f>ROUND(AW212+AX212,2)</f>
        <v>0</v>
      </c>
      <c r="AW212" s="28">
        <f>ROUND(F212*AO212,2)</f>
        <v>0</v>
      </c>
      <c r="AX212" s="28">
        <f>ROUND(F212*AP212,2)</f>
        <v>0</v>
      </c>
      <c r="AY212" s="30" t="s">
        <v>413</v>
      </c>
      <c r="AZ212" s="30" t="s">
        <v>414</v>
      </c>
      <c r="BA212" s="10" t="s">
        <v>415</v>
      </c>
      <c r="BC212" s="28">
        <f>AW212+AX212</f>
        <v>0</v>
      </c>
      <c r="BD212" s="28">
        <f>G212/(100-BE212)*100</f>
        <v>0</v>
      </c>
      <c r="BE212" s="28">
        <v>0</v>
      </c>
      <c r="BF212" s="28">
        <f>212</f>
        <v>212</v>
      </c>
      <c r="BH212" s="28">
        <f>F212*AO212</f>
        <v>0</v>
      </c>
      <c r="BI212" s="28">
        <f>F212*AP212</f>
        <v>0</v>
      </c>
      <c r="BJ212" s="28">
        <f>F212*G212</f>
        <v>0</v>
      </c>
      <c r="BK212" s="28"/>
      <c r="BL212" s="28">
        <v>713</v>
      </c>
      <c r="BW212" s="28">
        <v>21</v>
      </c>
      <c r="BX212" s="4" t="s">
        <v>412</v>
      </c>
    </row>
    <row r="213" spans="1:76" x14ac:dyDescent="0.25">
      <c r="A213" s="112"/>
      <c r="B213" s="113"/>
      <c r="C213" s="114" t="s">
        <v>416</v>
      </c>
      <c r="D213" s="115" t="s">
        <v>417</v>
      </c>
      <c r="E213" s="113"/>
      <c r="F213" s="116">
        <v>762.28679999999997</v>
      </c>
      <c r="G213" s="113"/>
      <c r="H213" s="113"/>
      <c r="I213" s="113"/>
      <c r="J213" s="113"/>
      <c r="K213" s="117"/>
    </row>
    <row r="214" spans="1:76" x14ac:dyDescent="0.25">
      <c r="A214" s="112"/>
      <c r="B214" s="113"/>
      <c r="C214" s="114" t="s">
        <v>418</v>
      </c>
      <c r="D214" s="115" t="s">
        <v>419</v>
      </c>
      <c r="E214" s="113"/>
      <c r="F214" s="116">
        <v>-143.05199999999999</v>
      </c>
      <c r="G214" s="113"/>
      <c r="H214" s="113"/>
      <c r="I214" s="113"/>
      <c r="J214" s="113"/>
      <c r="K214" s="117"/>
    </row>
    <row r="215" spans="1:76" x14ac:dyDescent="0.25">
      <c r="A215" s="118" t="s">
        <v>420</v>
      </c>
      <c r="B215" s="119" t="s">
        <v>421</v>
      </c>
      <c r="C215" s="278" t="s">
        <v>422</v>
      </c>
      <c r="D215" s="279"/>
      <c r="E215" s="119" t="s">
        <v>69</v>
      </c>
      <c r="F215" s="120">
        <v>762.28679999999997</v>
      </c>
      <c r="G215" s="120">
        <v>0</v>
      </c>
      <c r="H215" s="120">
        <f>ROUND(F215*AO215,2)</f>
        <v>0</v>
      </c>
      <c r="I215" s="120">
        <f>ROUND(F215*AP215,2)</f>
        <v>0</v>
      </c>
      <c r="J215" s="120">
        <f>ROUND(F215*G215,2)</f>
        <v>0</v>
      </c>
      <c r="K215" s="121" t="s">
        <v>70</v>
      </c>
      <c r="Z215" s="28">
        <f>ROUND(IF(AQ215="5",BJ215,0),2)</f>
        <v>0</v>
      </c>
      <c r="AB215" s="28">
        <f>ROUND(IF(AQ215="1",BH215,0),2)</f>
        <v>0</v>
      </c>
      <c r="AC215" s="28">
        <f>ROUND(IF(AQ215="1",BI215,0),2)</f>
        <v>0</v>
      </c>
      <c r="AD215" s="28">
        <f>ROUND(IF(AQ215="7",BH215,0),2)</f>
        <v>0</v>
      </c>
      <c r="AE215" s="28">
        <f>ROUND(IF(AQ215="7",BI215,0),2)</f>
        <v>0</v>
      </c>
      <c r="AF215" s="28">
        <f>ROUND(IF(AQ215="2",BH215,0),2)</f>
        <v>0</v>
      </c>
      <c r="AG215" s="28">
        <f>ROUND(IF(AQ215="2",BI215,0),2)</f>
        <v>0</v>
      </c>
      <c r="AH215" s="28">
        <f>ROUND(IF(AQ215="0",BJ215,0),2)</f>
        <v>0</v>
      </c>
      <c r="AI215" s="10" t="s">
        <v>409</v>
      </c>
      <c r="AJ215" s="28">
        <f>IF(AN215=0,J215,0)</f>
        <v>0</v>
      </c>
      <c r="AK215" s="28">
        <f>IF(AN215=12,J215,0)</f>
        <v>0</v>
      </c>
      <c r="AL215" s="28">
        <f>IF(AN215=21,J215,0)</f>
        <v>0</v>
      </c>
      <c r="AN215" s="28">
        <v>21</v>
      </c>
      <c r="AO215" s="28">
        <f>G215*0.055186752</f>
        <v>0</v>
      </c>
      <c r="AP215" s="28">
        <f>G215*(1-0.055186752)</f>
        <v>0</v>
      </c>
      <c r="AQ215" s="30" t="s">
        <v>111</v>
      </c>
      <c r="AV215" s="28">
        <f>ROUND(AW215+AX215,2)</f>
        <v>0</v>
      </c>
      <c r="AW215" s="28">
        <f>ROUND(F215*AO215,2)</f>
        <v>0</v>
      </c>
      <c r="AX215" s="28">
        <f>ROUND(F215*AP215,2)</f>
        <v>0</v>
      </c>
      <c r="AY215" s="30" t="s">
        <v>413</v>
      </c>
      <c r="AZ215" s="30" t="s">
        <v>414</v>
      </c>
      <c r="BA215" s="10" t="s">
        <v>415</v>
      </c>
      <c r="BC215" s="28">
        <f>AW215+AX215</f>
        <v>0</v>
      </c>
      <c r="BD215" s="28">
        <f>G215/(100-BE215)*100</f>
        <v>0</v>
      </c>
      <c r="BE215" s="28">
        <v>0</v>
      </c>
      <c r="BF215" s="28">
        <f>215</f>
        <v>215</v>
      </c>
      <c r="BH215" s="28">
        <f>F215*AO215</f>
        <v>0</v>
      </c>
      <c r="BI215" s="28">
        <f>F215*AP215</f>
        <v>0</v>
      </c>
      <c r="BJ215" s="28">
        <f>F215*G215</f>
        <v>0</v>
      </c>
      <c r="BK215" s="28"/>
      <c r="BL215" s="28">
        <v>713</v>
      </c>
      <c r="BW215" s="28">
        <v>21</v>
      </c>
      <c r="BX215" s="4" t="s">
        <v>422</v>
      </c>
    </row>
    <row r="216" spans="1:76" x14ac:dyDescent="0.25">
      <c r="A216" s="122"/>
      <c r="B216" s="123"/>
      <c r="C216" s="124" t="s">
        <v>416</v>
      </c>
      <c r="D216" s="125" t="s">
        <v>423</v>
      </c>
      <c r="E216" s="123"/>
      <c r="F216" s="126">
        <v>762.28679999999997</v>
      </c>
      <c r="G216" s="123"/>
      <c r="H216" s="123"/>
      <c r="I216" s="123"/>
      <c r="J216" s="123"/>
      <c r="K216" s="127"/>
    </row>
    <row r="217" spans="1:76" x14ac:dyDescent="0.25">
      <c r="A217" s="128" t="s">
        <v>424</v>
      </c>
      <c r="B217" s="129" t="s">
        <v>425</v>
      </c>
      <c r="C217" s="280" t="s">
        <v>426</v>
      </c>
      <c r="D217" s="281"/>
      <c r="E217" s="129" t="s">
        <v>69</v>
      </c>
      <c r="F217" s="130">
        <v>838.51548000000003</v>
      </c>
      <c r="G217" s="130">
        <v>0</v>
      </c>
      <c r="H217" s="130">
        <f>ROUND(F217*AO217,2)</f>
        <v>0</v>
      </c>
      <c r="I217" s="130">
        <f>ROUND(F217*AP217,2)</f>
        <v>0</v>
      </c>
      <c r="J217" s="130">
        <f>ROUND(F217*G217,2)</f>
        <v>0</v>
      </c>
      <c r="K217" s="131" t="s">
        <v>70</v>
      </c>
      <c r="Z217" s="28">
        <f>ROUND(IF(AQ217="5",BJ217,0),2)</f>
        <v>0</v>
      </c>
      <c r="AB217" s="28">
        <f>ROUND(IF(AQ217="1",BH217,0),2)</f>
        <v>0</v>
      </c>
      <c r="AC217" s="28">
        <f>ROUND(IF(AQ217="1",BI217,0),2)</f>
        <v>0</v>
      </c>
      <c r="AD217" s="28">
        <f>ROUND(IF(AQ217="7",BH217,0),2)</f>
        <v>0</v>
      </c>
      <c r="AE217" s="28">
        <f>ROUND(IF(AQ217="7",BI217,0),2)</f>
        <v>0</v>
      </c>
      <c r="AF217" s="28">
        <f>ROUND(IF(AQ217="2",BH217,0),2)</f>
        <v>0</v>
      </c>
      <c r="AG217" s="28">
        <f>ROUND(IF(AQ217="2",BI217,0),2)</f>
        <v>0</v>
      </c>
      <c r="AH217" s="28">
        <f>ROUND(IF(AQ217="0",BJ217,0),2)</f>
        <v>0</v>
      </c>
      <c r="AI217" s="10" t="s">
        <v>409</v>
      </c>
      <c r="AJ217" s="41">
        <f>IF(AN217=0,J217,0)</f>
        <v>0</v>
      </c>
      <c r="AK217" s="41">
        <f>IF(AN217=12,J217,0)</f>
        <v>0</v>
      </c>
      <c r="AL217" s="41">
        <f>IF(AN217=21,J217,0)</f>
        <v>0</v>
      </c>
      <c r="AN217" s="28">
        <v>21</v>
      </c>
      <c r="AO217" s="28">
        <f>G217*1</f>
        <v>0</v>
      </c>
      <c r="AP217" s="28">
        <f>G217*(1-1)</f>
        <v>0</v>
      </c>
      <c r="AQ217" s="43" t="s">
        <v>111</v>
      </c>
      <c r="AV217" s="28">
        <f>ROUND(AW217+AX217,2)</f>
        <v>0</v>
      </c>
      <c r="AW217" s="28">
        <f>ROUND(F217*AO217,2)</f>
        <v>0</v>
      </c>
      <c r="AX217" s="28">
        <f>ROUND(F217*AP217,2)</f>
        <v>0</v>
      </c>
      <c r="AY217" s="30" t="s">
        <v>413</v>
      </c>
      <c r="AZ217" s="30" t="s">
        <v>414</v>
      </c>
      <c r="BA217" s="10" t="s">
        <v>415</v>
      </c>
      <c r="BC217" s="28">
        <f>AW217+AX217</f>
        <v>0</v>
      </c>
      <c r="BD217" s="28">
        <f>G217/(100-BE217)*100</f>
        <v>0</v>
      </c>
      <c r="BE217" s="28">
        <v>0</v>
      </c>
      <c r="BF217" s="28">
        <f>217</f>
        <v>217</v>
      </c>
      <c r="BH217" s="41">
        <f>F217*AO217</f>
        <v>0</v>
      </c>
      <c r="BI217" s="41">
        <f>F217*AP217</f>
        <v>0</v>
      </c>
      <c r="BJ217" s="41">
        <f>F217*G217</f>
        <v>0</v>
      </c>
      <c r="BK217" s="41"/>
      <c r="BL217" s="28">
        <v>713</v>
      </c>
      <c r="BW217" s="28">
        <v>21</v>
      </c>
      <c r="BX217" s="40" t="s">
        <v>426</v>
      </c>
    </row>
    <row r="218" spans="1:76" x14ac:dyDescent="0.25">
      <c r="A218" s="122"/>
      <c r="B218" s="123"/>
      <c r="C218" s="124" t="s">
        <v>416</v>
      </c>
      <c r="D218" s="125" t="s">
        <v>423</v>
      </c>
      <c r="E218" s="123"/>
      <c r="F218" s="126">
        <v>762.28679999999997</v>
      </c>
      <c r="G218" s="123"/>
      <c r="H218" s="123"/>
      <c r="I218" s="123"/>
      <c r="J218" s="123"/>
      <c r="K218" s="127"/>
    </row>
    <row r="219" spans="1:76" x14ac:dyDescent="0.25">
      <c r="A219" s="122"/>
      <c r="B219" s="123"/>
      <c r="C219" s="124" t="s">
        <v>427</v>
      </c>
      <c r="D219" s="125" t="s">
        <v>52</v>
      </c>
      <c r="E219" s="123"/>
      <c r="F219" s="126">
        <v>76.228679999999997</v>
      </c>
      <c r="G219" s="123"/>
      <c r="H219" s="123"/>
      <c r="I219" s="123"/>
      <c r="J219" s="123"/>
      <c r="K219" s="127"/>
    </row>
    <row r="220" spans="1:76" ht="127.5" x14ac:dyDescent="0.25">
      <c r="A220" s="60"/>
      <c r="B220" s="61" t="s">
        <v>85</v>
      </c>
      <c r="C220" s="255" t="s">
        <v>428</v>
      </c>
      <c r="D220" s="256"/>
      <c r="E220" s="256"/>
      <c r="F220" s="256"/>
      <c r="G220" s="256"/>
      <c r="H220" s="256"/>
      <c r="I220" s="256"/>
      <c r="J220" s="256"/>
      <c r="K220" s="257"/>
      <c r="BX220" s="44" t="s">
        <v>428</v>
      </c>
    </row>
    <row r="221" spans="1:76" ht="25.5" x14ac:dyDescent="0.25">
      <c r="A221" s="132" t="s">
        <v>429</v>
      </c>
      <c r="B221" s="133" t="s">
        <v>430</v>
      </c>
      <c r="C221" s="282" t="s">
        <v>431</v>
      </c>
      <c r="D221" s="283"/>
      <c r="E221" s="133" t="s">
        <v>69</v>
      </c>
      <c r="F221" s="134">
        <v>1423.54</v>
      </c>
      <c r="G221" s="134">
        <v>0</v>
      </c>
      <c r="H221" s="134">
        <f>ROUND(F221*AO221,2)</f>
        <v>0</v>
      </c>
      <c r="I221" s="134">
        <f>ROUND(F221*AP221,2)</f>
        <v>0</v>
      </c>
      <c r="J221" s="134">
        <f>ROUND(F221*G221,2)</f>
        <v>0</v>
      </c>
      <c r="K221" s="135" t="s">
        <v>70</v>
      </c>
      <c r="Z221" s="28">
        <f>ROUND(IF(AQ221="5",BJ221,0),2)</f>
        <v>0</v>
      </c>
      <c r="AB221" s="28">
        <f>ROUND(IF(AQ221="1",BH221,0),2)</f>
        <v>0</v>
      </c>
      <c r="AC221" s="28">
        <f>ROUND(IF(AQ221="1",BI221,0),2)</f>
        <v>0</v>
      </c>
      <c r="AD221" s="28">
        <f>ROUND(IF(AQ221="7",BH221,0),2)</f>
        <v>0</v>
      </c>
      <c r="AE221" s="28">
        <f>ROUND(IF(AQ221="7",BI221,0),2)</f>
        <v>0</v>
      </c>
      <c r="AF221" s="28">
        <f>ROUND(IF(AQ221="2",BH221,0),2)</f>
        <v>0</v>
      </c>
      <c r="AG221" s="28">
        <f>ROUND(IF(AQ221="2",BI221,0),2)</f>
        <v>0</v>
      </c>
      <c r="AH221" s="28">
        <f>ROUND(IF(AQ221="0",BJ221,0),2)</f>
        <v>0</v>
      </c>
      <c r="AI221" s="10" t="s">
        <v>409</v>
      </c>
      <c r="AJ221" s="28">
        <f>IF(AN221=0,J221,0)</f>
        <v>0</v>
      </c>
      <c r="AK221" s="28">
        <f>IF(AN221=12,J221,0)</f>
        <v>0</v>
      </c>
      <c r="AL221" s="28">
        <f>IF(AN221=21,J221,0)</f>
        <v>0</v>
      </c>
      <c r="AN221" s="28">
        <v>21</v>
      </c>
      <c r="AO221" s="28">
        <f>G221*0.41306722</f>
        <v>0</v>
      </c>
      <c r="AP221" s="28">
        <f>G221*(1-0.41306722)</f>
        <v>0</v>
      </c>
      <c r="AQ221" s="30" t="s">
        <v>111</v>
      </c>
      <c r="AV221" s="28">
        <f>ROUND(AW221+AX221,2)</f>
        <v>0</v>
      </c>
      <c r="AW221" s="28">
        <f>ROUND(F221*AO221,2)</f>
        <v>0</v>
      </c>
      <c r="AX221" s="28">
        <f>ROUND(F221*AP221,2)</f>
        <v>0</v>
      </c>
      <c r="AY221" s="30" t="s">
        <v>413</v>
      </c>
      <c r="AZ221" s="30" t="s">
        <v>414</v>
      </c>
      <c r="BA221" s="10" t="s">
        <v>415</v>
      </c>
      <c r="BC221" s="28">
        <f>AW221+AX221</f>
        <v>0</v>
      </c>
      <c r="BD221" s="28">
        <f>G221/(100-BE221)*100</f>
        <v>0</v>
      </c>
      <c r="BE221" s="28">
        <v>0</v>
      </c>
      <c r="BF221" s="28">
        <f>221</f>
        <v>221</v>
      </c>
      <c r="BH221" s="28">
        <f>F221*AO221</f>
        <v>0</v>
      </c>
      <c r="BI221" s="28">
        <f>F221*AP221</f>
        <v>0</v>
      </c>
      <c r="BJ221" s="28">
        <f>F221*G221</f>
        <v>0</v>
      </c>
      <c r="BK221" s="28"/>
      <c r="BL221" s="28">
        <v>713</v>
      </c>
      <c r="BW221" s="28">
        <v>21</v>
      </c>
      <c r="BX221" s="4" t="s">
        <v>431</v>
      </c>
    </row>
    <row r="222" spans="1:76" ht="13.5" customHeight="1" x14ac:dyDescent="0.25">
      <c r="A222" s="60"/>
      <c r="C222" s="255" t="s">
        <v>432</v>
      </c>
      <c r="D222" s="256"/>
      <c r="E222" s="256"/>
      <c r="F222" s="256"/>
      <c r="G222" s="256"/>
      <c r="H222" s="256"/>
      <c r="I222" s="256"/>
      <c r="J222" s="256"/>
      <c r="K222" s="257"/>
    </row>
    <row r="223" spans="1:76" x14ac:dyDescent="0.25">
      <c r="A223" s="136"/>
      <c r="B223" s="137"/>
      <c r="C223" s="138" t="s">
        <v>433</v>
      </c>
      <c r="D223" s="139" t="s">
        <v>423</v>
      </c>
      <c r="E223" s="137"/>
      <c r="F223" s="140">
        <v>1423.54</v>
      </c>
      <c r="G223" s="137"/>
      <c r="H223" s="137"/>
      <c r="I223" s="137"/>
      <c r="J223" s="137"/>
      <c r="K223" s="141"/>
    </row>
    <row r="224" spans="1:76" ht="51" x14ac:dyDescent="0.25">
      <c r="A224" s="60"/>
      <c r="B224" s="61" t="s">
        <v>85</v>
      </c>
      <c r="C224" s="255" t="s">
        <v>434</v>
      </c>
      <c r="D224" s="256"/>
      <c r="E224" s="256"/>
      <c r="F224" s="256"/>
      <c r="G224" s="256"/>
      <c r="H224" s="256"/>
      <c r="I224" s="256"/>
      <c r="J224" s="256"/>
      <c r="K224" s="257"/>
      <c r="BX224" s="32" t="s">
        <v>434</v>
      </c>
    </row>
    <row r="225" spans="1:76" x14ac:dyDescent="0.25">
      <c r="A225" s="142" t="s">
        <v>435</v>
      </c>
      <c r="B225" s="143" t="s">
        <v>436</v>
      </c>
      <c r="C225" s="284" t="s">
        <v>437</v>
      </c>
      <c r="D225" s="285"/>
      <c r="E225" s="143" t="s">
        <v>69</v>
      </c>
      <c r="F225" s="144">
        <v>1452.0108</v>
      </c>
      <c r="G225" s="144">
        <v>0</v>
      </c>
      <c r="H225" s="144">
        <f>ROUND(F225*AO225,2)</f>
        <v>0</v>
      </c>
      <c r="I225" s="144">
        <f>ROUND(F225*AP225,2)</f>
        <v>0</v>
      </c>
      <c r="J225" s="144">
        <f>ROUND(F225*G225,2)</f>
        <v>0</v>
      </c>
      <c r="K225" s="145" t="s">
        <v>70</v>
      </c>
      <c r="Z225" s="28">
        <f>ROUND(IF(AQ225="5",BJ225,0),2)</f>
        <v>0</v>
      </c>
      <c r="AB225" s="28">
        <f>ROUND(IF(AQ225="1",BH225,0),2)</f>
        <v>0</v>
      </c>
      <c r="AC225" s="28">
        <f>ROUND(IF(AQ225="1",BI225,0),2)</f>
        <v>0</v>
      </c>
      <c r="AD225" s="28">
        <f>ROUND(IF(AQ225="7",BH225,0),2)</f>
        <v>0</v>
      </c>
      <c r="AE225" s="28">
        <f>ROUND(IF(AQ225="7",BI225,0),2)</f>
        <v>0</v>
      </c>
      <c r="AF225" s="28">
        <f>ROUND(IF(AQ225="2",BH225,0),2)</f>
        <v>0</v>
      </c>
      <c r="AG225" s="28">
        <f>ROUND(IF(AQ225="2",BI225,0),2)</f>
        <v>0</v>
      </c>
      <c r="AH225" s="28">
        <f>ROUND(IF(AQ225="0",BJ225,0),2)</f>
        <v>0</v>
      </c>
      <c r="AI225" s="10" t="s">
        <v>409</v>
      </c>
      <c r="AJ225" s="41">
        <f>IF(AN225=0,J225,0)</f>
        <v>0</v>
      </c>
      <c r="AK225" s="41">
        <f>IF(AN225=12,J225,0)</f>
        <v>0</v>
      </c>
      <c r="AL225" s="41">
        <f>IF(AN225=21,J225,0)</f>
        <v>0</v>
      </c>
      <c r="AN225" s="28">
        <v>21</v>
      </c>
      <c r="AO225" s="28">
        <f>G225*1</f>
        <v>0</v>
      </c>
      <c r="AP225" s="28">
        <f>G225*(1-1)</f>
        <v>0</v>
      </c>
      <c r="AQ225" s="43" t="s">
        <v>111</v>
      </c>
      <c r="AV225" s="28">
        <f>ROUND(AW225+AX225,2)</f>
        <v>0</v>
      </c>
      <c r="AW225" s="28">
        <f>ROUND(F225*AO225,2)</f>
        <v>0</v>
      </c>
      <c r="AX225" s="28">
        <f>ROUND(F225*AP225,2)</f>
        <v>0</v>
      </c>
      <c r="AY225" s="30" t="s">
        <v>413</v>
      </c>
      <c r="AZ225" s="30" t="s">
        <v>414</v>
      </c>
      <c r="BA225" s="10" t="s">
        <v>415</v>
      </c>
      <c r="BC225" s="28">
        <f>AW225+AX225</f>
        <v>0</v>
      </c>
      <c r="BD225" s="28">
        <f>G225/(100-BE225)*100</f>
        <v>0</v>
      </c>
      <c r="BE225" s="28">
        <v>0</v>
      </c>
      <c r="BF225" s="28">
        <f>225</f>
        <v>225</v>
      </c>
      <c r="BH225" s="41">
        <f>F225*AO225</f>
        <v>0</v>
      </c>
      <c r="BI225" s="41">
        <f>F225*AP225</f>
        <v>0</v>
      </c>
      <c r="BJ225" s="41">
        <f>F225*G225</f>
        <v>0</v>
      </c>
      <c r="BK225" s="41"/>
      <c r="BL225" s="28">
        <v>713</v>
      </c>
      <c r="BW225" s="28">
        <v>21</v>
      </c>
      <c r="BX225" s="40" t="s">
        <v>437</v>
      </c>
    </row>
    <row r="226" spans="1:76" x14ac:dyDescent="0.25">
      <c r="A226" s="122"/>
      <c r="B226" s="123"/>
      <c r="C226" s="124" t="s">
        <v>433</v>
      </c>
      <c r="D226" s="125" t="s">
        <v>423</v>
      </c>
      <c r="E226" s="123"/>
      <c r="F226" s="126">
        <v>1423.54</v>
      </c>
      <c r="G226" s="123"/>
      <c r="H226" s="123"/>
      <c r="I226" s="123"/>
      <c r="J226" s="123"/>
      <c r="K226" s="127"/>
    </row>
    <row r="227" spans="1:76" x14ac:dyDescent="0.25">
      <c r="A227" s="122"/>
      <c r="B227" s="123"/>
      <c r="C227" s="124" t="s">
        <v>438</v>
      </c>
      <c r="D227" s="125" t="s">
        <v>52</v>
      </c>
      <c r="E227" s="123"/>
      <c r="F227" s="126">
        <v>28.470800000000001</v>
      </c>
      <c r="G227" s="123"/>
      <c r="H227" s="123"/>
      <c r="I227" s="123"/>
      <c r="J227" s="123"/>
      <c r="K227" s="127"/>
    </row>
    <row r="228" spans="1:76" ht="51" x14ac:dyDescent="0.25">
      <c r="A228" s="60"/>
      <c r="B228" s="61" t="s">
        <v>85</v>
      </c>
      <c r="C228" s="255" t="s">
        <v>439</v>
      </c>
      <c r="D228" s="256"/>
      <c r="E228" s="256"/>
      <c r="F228" s="256"/>
      <c r="G228" s="256"/>
      <c r="H228" s="256"/>
      <c r="I228" s="256"/>
      <c r="J228" s="256"/>
      <c r="K228" s="257"/>
      <c r="BX228" s="44" t="s">
        <v>439</v>
      </c>
    </row>
    <row r="229" spans="1:76" x14ac:dyDescent="0.25">
      <c r="A229" s="142" t="s">
        <v>440</v>
      </c>
      <c r="B229" s="143" t="s">
        <v>441</v>
      </c>
      <c r="C229" s="284" t="s">
        <v>442</v>
      </c>
      <c r="D229" s="285"/>
      <c r="E229" s="143" t="s">
        <v>69</v>
      </c>
      <c r="F229" s="144">
        <v>1608.6002000000001</v>
      </c>
      <c r="G229" s="144">
        <v>0</v>
      </c>
      <c r="H229" s="144">
        <f>ROUND(F229*AO229,2)</f>
        <v>0</v>
      </c>
      <c r="I229" s="144">
        <f>ROUND(F229*AP229,2)</f>
        <v>0</v>
      </c>
      <c r="J229" s="144">
        <f>ROUND(F229*G229,2)</f>
        <v>0</v>
      </c>
      <c r="K229" s="145" t="s">
        <v>70</v>
      </c>
      <c r="Z229" s="28">
        <f>ROUND(IF(AQ229="5",BJ229,0),2)</f>
        <v>0</v>
      </c>
      <c r="AB229" s="28">
        <f>ROUND(IF(AQ229="1",BH229,0),2)</f>
        <v>0</v>
      </c>
      <c r="AC229" s="28">
        <f>ROUND(IF(AQ229="1",BI229,0),2)</f>
        <v>0</v>
      </c>
      <c r="AD229" s="28">
        <f>ROUND(IF(AQ229="7",BH229,0),2)</f>
        <v>0</v>
      </c>
      <c r="AE229" s="28">
        <f>ROUND(IF(AQ229="7",BI229,0),2)</f>
        <v>0</v>
      </c>
      <c r="AF229" s="28">
        <f>ROUND(IF(AQ229="2",BH229,0),2)</f>
        <v>0</v>
      </c>
      <c r="AG229" s="28">
        <f>ROUND(IF(AQ229="2",BI229,0),2)</f>
        <v>0</v>
      </c>
      <c r="AH229" s="28">
        <f>ROUND(IF(AQ229="0",BJ229,0),2)</f>
        <v>0</v>
      </c>
      <c r="AI229" s="10" t="s">
        <v>409</v>
      </c>
      <c r="AJ229" s="41">
        <f>IF(AN229=0,J229,0)</f>
        <v>0</v>
      </c>
      <c r="AK229" s="41">
        <f>IF(AN229=12,J229,0)</f>
        <v>0</v>
      </c>
      <c r="AL229" s="41">
        <f>IF(AN229=21,J229,0)</f>
        <v>0</v>
      </c>
      <c r="AN229" s="28">
        <v>21</v>
      </c>
      <c r="AO229" s="28">
        <f>G229*1</f>
        <v>0</v>
      </c>
      <c r="AP229" s="28">
        <f>G229*(1-1)</f>
        <v>0</v>
      </c>
      <c r="AQ229" s="43" t="s">
        <v>111</v>
      </c>
      <c r="AV229" s="28">
        <f>ROUND(AW229+AX229,2)</f>
        <v>0</v>
      </c>
      <c r="AW229" s="28">
        <f>ROUND(F229*AO229,2)</f>
        <v>0</v>
      </c>
      <c r="AX229" s="28">
        <f>ROUND(F229*AP229,2)</f>
        <v>0</v>
      </c>
      <c r="AY229" s="30" t="s">
        <v>413</v>
      </c>
      <c r="AZ229" s="30" t="s">
        <v>414</v>
      </c>
      <c r="BA229" s="10" t="s">
        <v>415</v>
      </c>
      <c r="BC229" s="28">
        <f>AW229+AX229</f>
        <v>0</v>
      </c>
      <c r="BD229" s="28">
        <f>G229/(100-BE229)*100</f>
        <v>0</v>
      </c>
      <c r="BE229" s="28">
        <v>0</v>
      </c>
      <c r="BF229" s="28">
        <f>229</f>
        <v>229</v>
      </c>
      <c r="BH229" s="41">
        <f>F229*AO229</f>
        <v>0</v>
      </c>
      <c r="BI229" s="41">
        <f>F229*AP229</f>
        <v>0</v>
      </c>
      <c r="BJ229" s="41">
        <f>F229*G229</f>
        <v>0</v>
      </c>
      <c r="BK229" s="41"/>
      <c r="BL229" s="28">
        <v>713</v>
      </c>
      <c r="BW229" s="28">
        <v>21</v>
      </c>
      <c r="BX229" s="40" t="s">
        <v>442</v>
      </c>
    </row>
    <row r="230" spans="1:76" x14ac:dyDescent="0.25">
      <c r="A230" s="122"/>
      <c r="B230" s="123"/>
      <c r="C230" s="124" t="s">
        <v>433</v>
      </c>
      <c r="D230" s="125" t="s">
        <v>423</v>
      </c>
      <c r="E230" s="123"/>
      <c r="F230" s="126">
        <v>1423.54</v>
      </c>
      <c r="G230" s="123"/>
      <c r="H230" s="123"/>
      <c r="I230" s="123"/>
      <c r="J230" s="123"/>
      <c r="K230" s="127"/>
    </row>
    <row r="231" spans="1:76" x14ac:dyDescent="0.25">
      <c r="A231" s="122"/>
      <c r="B231" s="123"/>
      <c r="C231" s="124" t="s">
        <v>443</v>
      </c>
      <c r="D231" s="125" t="s">
        <v>52</v>
      </c>
      <c r="E231" s="123"/>
      <c r="F231" s="126">
        <v>185.06020000000001</v>
      </c>
      <c r="G231" s="123"/>
      <c r="H231" s="123"/>
      <c r="I231" s="123"/>
      <c r="J231" s="123"/>
      <c r="K231" s="127"/>
    </row>
    <row r="232" spans="1:76" ht="51" x14ac:dyDescent="0.25">
      <c r="A232" s="72"/>
      <c r="B232" s="73" t="s">
        <v>85</v>
      </c>
      <c r="C232" s="260" t="s">
        <v>444</v>
      </c>
      <c r="D232" s="261"/>
      <c r="E232" s="261"/>
      <c r="F232" s="261"/>
      <c r="G232" s="261"/>
      <c r="H232" s="261"/>
      <c r="I232" s="261"/>
      <c r="J232" s="261"/>
      <c r="K232" s="262"/>
      <c r="BX232" s="44" t="s">
        <v>444</v>
      </c>
    </row>
    <row r="233" spans="1:76" x14ac:dyDescent="0.25">
      <c r="A233" s="2" t="s">
        <v>445</v>
      </c>
      <c r="B233" s="3" t="s">
        <v>446</v>
      </c>
      <c r="C233" s="230" t="s">
        <v>447</v>
      </c>
      <c r="D233" s="225"/>
      <c r="E233" s="3" t="s">
        <v>380</v>
      </c>
      <c r="F233" s="28">
        <v>21890</v>
      </c>
      <c r="G233" s="28">
        <v>0</v>
      </c>
      <c r="H233" s="28">
        <f>ROUND(F233*AO233,2)</f>
        <v>0</v>
      </c>
      <c r="I233" s="28">
        <f>ROUND(F233*AP233,2)</f>
        <v>0</v>
      </c>
      <c r="J233" s="28">
        <f>ROUND(F233*G233,2)</f>
        <v>0</v>
      </c>
      <c r="K233" s="29" t="s">
        <v>70</v>
      </c>
      <c r="Z233" s="28">
        <f>ROUND(IF(AQ233="5",BJ233,0),2)</f>
        <v>0</v>
      </c>
      <c r="AB233" s="28">
        <f>ROUND(IF(AQ233="1",BH233,0),2)</f>
        <v>0</v>
      </c>
      <c r="AC233" s="28">
        <f>ROUND(IF(AQ233="1",BI233,0),2)</f>
        <v>0</v>
      </c>
      <c r="AD233" s="28">
        <f>ROUND(IF(AQ233="7",BH233,0),2)</f>
        <v>0</v>
      </c>
      <c r="AE233" s="28">
        <f>ROUND(IF(AQ233="7",BI233,0),2)</f>
        <v>0</v>
      </c>
      <c r="AF233" s="28">
        <f>ROUND(IF(AQ233="2",BH233,0),2)</f>
        <v>0</v>
      </c>
      <c r="AG233" s="28">
        <f>ROUND(IF(AQ233="2",BI233,0),2)</f>
        <v>0</v>
      </c>
      <c r="AH233" s="28">
        <f>ROUND(IF(AQ233="0",BJ233,0),2)</f>
        <v>0</v>
      </c>
      <c r="AI233" s="10" t="s">
        <v>409</v>
      </c>
      <c r="AJ233" s="28">
        <f>IF(AN233=0,J233,0)</f>
        <v>0</v>
      </c>
      <c r="AK233" s="28">
        <f>IF(AN233=12,J233,0)</f>
        <v>0</v>
      </c>
      <c r="AL233" s="28">
        <f>IF(AN233=21,J233,0)</f>
        <v>0</v>
      </c>
      <c r="AN233" s="28">
        <v>21</v>
      </c>
      <c r="AO233" s="28">
        <f>G233*0</f>
        <v>0</v>
      </c>
      <c r="AP233" s="28">
        <f>G233*(1-0)</f>
        <v>0</v>
      </c>
      <c r="AQ233" s="30" t="s">
        <v>91</v>
      </c>
      <c r="AV233" s="28">
        <f>ROUND(AW233+AX233,2)</f>
        <v>0</v>
      </c>
      <c r="AW233" s="28">
        <f>ROUND(F233*AO233,2)</f>
        <v>0</v>
      </c>
      <c r="AX233" s="28">
        <f>ROUND(F233*AP233,2)</f>
        <v>0</v>
      </c>
      <c r="AY233" s="30" t="s">
        <v>413</v>
      </c>
      <c r="AZ233" s="30" t="s">
        <v>414</v>
      </c>
      <c r="BA233" s="10" t="s">
        <v>415</v>
      </c>
      <c r="BC233" s="28">
        <f>AW233+AX233</f>
        <v>0</v>
      </c>
      <c r="BD233" s="28">
        <f>G233/(100-BE233)*100</f>
        <v>0</v>
      </c>
      <c r="BE233" s="28">
        <v>0</v>
      </c>
      <c r="BF233" s="28">
        <f>233</f>
        <v>233</v>
      </c>
      <c r="BH233" s="28">
        <f>F233*AO233</f>
        <v>0</v>
      </c>
      <c r="BI233" s="28">
        <f>F233*AP233</f>
        <v>0</v>
      </c>
      <c r="BJ233" s="28">
        <f>F233*G233</f>
        <v>0</v>
      </c>
      <c r="BK233" s="28"/>
      <c r="BL233" s="28">
        <v>713</v>
      </c>
      <c r="BW233" s="28">
        <v>21</v>
      </c>
      <c r="BX233" s="4" t="s">
        <v>447</v>
      </c>
    </row>
    <row r="234" spans="1:76" x14ac:dyDescent="0.25">
      <c r="A234" s="31"/>
      <c r="C234" s="34" t="s">
        <v>448</v>
      </c>
      <c r="D234" s="33" t="s">
        <v>52</v>
      </c>
      <c r="F234" s="35">
        <v>21890</v>
      </c>
      <c r="K234" s="36"/>
    </row>
    <row r="235" spans="1:76" x14ac:dyDescent="0.25">
      <c r="A235" s="103" t="s">
        <v>52</v>
      </c>
      <c r="B235" s="104" t="s">
        <v>182</v>
      </c>
      <c r="C235" s="274" t="s">
        <v>183</v>
      </c>
      <c r="D235" s="275"/>
      <c r="E235" s="105" t="s">
        <v>33</v>
      </c>
      <c r="F235" s="105" t="s">
        <v>33</v>
      </c>
      <c r="G235" s="105" t="s">
        <v>33</v>
      </c>
      <c r="H235" s="106">
        <f>SUM(H236:H305)</f>
        <v>0</v>
      </c>
      <c r="I235" s="106">
        <f>SUM(I236:I305)</f>
        <v>0</v>
      </c>
      <c r="J235" s="106">
        <f>SUM(J236:J305)</f>
        <v>0</v>
      </c>
      <c r="K235" s="107" t="s">
        <v>52</v>
      </c>
      <c r="AI235" s="10" t="s">
        <v>409</v>
      </c>
      <c r="AS235" s="1">
        <f>SUM(AJ236:AJ305)</f>
        <v>0</v>
      </c>
      <c r="AT235" s="1">
        <f>SUM(AK236:AK305)</f>
        <v>0</v>
      </c>
      <c r="AU235" s="1">
        <f>SUM(AL236:AL305)</f>
        <v>0</v>
      </c>
    </row>
    <row r="236" spans="1:76" x14ac:dyDescent="0.25">
      <c r="A236" s="108" t="s">
        <v>449</v>
      </c>
      <c r="B236" s="109" t="s">
        <v>186</v>
      </c>
      <c r="C236" s="276" t="s">
        <v>450</v>
      </c>
      <c r="D236" s="277"/>
      <c r="E236" s="109" t="s">
        <v>69</v>
      </c>
      <c r="F236" s="110">
        <v>1423.54</v>
      </c>
      <c r="G236" s="110">
        <v>0</v>
      </c>
      <c r="H236" s="110">
        <f>ROUND(F236*AO236,2)</f>
        <v>0</v>
      </c>
      <c r="I236" s="110">
        <f>ROUND(F236*AP236,2)</f>
        <v>0</v>
      </c>
      <c r="J236" s="110">
        <f>ROUND(F236*G236,2)</f>
        <v>0</v>
      </c>
      <c r="K236" s="111" t="s">
        <v>70</v>
      </c>
      <c r="Z236" s="28">
        <f>ROUND(IF(AQ236="5",BJ236,0),2)</f>
        <v>0</v>
      </c>
      <c r="AB236" s="28">
        <f>ROUND(IF(AQ236="1",BH236,0),2)</f>
        <v>0</v>
      </c>
      <c r="AC236" s="28">
        <f>ROUND(IF(AQ236="1",BI236,0),2)</f>
        <v>0</v>
      </c>
      <c r="AD236" s="28">
        <f>ROUND(IF(AQ236="7",BH236,0),2)</f>
        <v>0</v>
      </c>
      <c r="AE236" s="28">
        <f>ROUND(IF(AQ236="7",BI236,0),2)</f>
        <v>0</v>
      </c>
      <c r="AF236" s="28">
        <f>ROUND(IF(AQ236="2",BH236,0),2)</f>
        <v>0</v>
      </c>
      <c r="AG236" s="28">
        <f>ROUND(IF(AQ236="2",BI236,0),2)</f>
        <v>0</v>
      </c>
      <c r="AH236" s="28">
        <f>ROUND(IF(AQ236="0",BJ236,0),2)</f>
        <v>0</v>
      </c>
      <c r="AI236" s="10" t="s">
        <v>409</v>
      </c>
      <c r="AJ236" s="28">
        <f>IF(AN236=0,J236,0)</f>
        <v>0</v>
      </c>
      <c r="AK236" s="28">
        <f>IF(AN236=12,J236,0)</f>
        <v>0</v>
      </c>
      <c r="AL236" s="28">
        <f>IF(AN236=21,J236,0)</f>
        <v>0</v>
      </c>
      <c r="AN236" s="28">
        <v>21</v>
      </c>
      <c r="AO236" s="28">
        <f>G236*0</f>
        <v>0</v>
      </c>
      <c r="AP236" s="28">
        <f>G236*(1-0)</f>
        <v>0</v>
      </c>
      <c r="AQ236" s="30" t="s">
        <v>111</v>
      </c>
      <c r="AV236" s="28">
        <f>ROUND(AW236+AX236,2)</f>
        <v>0</v>
      </c>
      <c r="AW236" s="28">
        <f>ROUND(F236*AO236,2)</f>
        <v>0</v>
      </c>
      <c r="AX236" s="28">
        <f>ROUND(F236*AP236,2)</f>
        <v>0</v>
      </c>
      <c r="AY236" s="30" t="s">
        <v>188</v>
      </c>
      <c r="AZ236" s="30" t="s">
        <v>451</v>
      </c>
      <c r="BA236" s="10" t="s">
        <v>415</v>
      </c>
      <c r="BC236" s="28">
        <f>AW236+AX236</f>
        <v>0</v>
      </c>
      <c r="BD236" s="28">
        <f>G236/(100-BE236)*100</f>
        <v>0</v>
      </c>
      <c r="BE236" s="28">
        <v>0</v>
      </c>
      <c r="BF236" s="28">
        <f>236</f>
        <v>236</v>
      </c>
      <c r="BH236" s="28">
        <f>F236*AO236</f>
        <v>0</v>
      </c>
      <c r="BI236" s="28">
        <f>F236*AP236</f>
        <v>0</v>
      </c>
      <c r="BJ236" s="28">
        <f>F236*G236</f>
        <v>0</v>
      </c>
      <c r="BK236" s="28"/>
      <c r="BL236" s="28">
        <v>762</v>
      </c>
      <c r="BW236" s="28">
        <v>21</v>
      </c>
      <c r="BX236" s="4" t="s">
        <v>450</v>
      </c>
    </row>
    <row r="237" spans="1:76" x14ac:dyDescent="0.25">
      <c r="A237" s="112"/>
      <c r="B237" s="113"/>
      <c r="C237" s="114" t="s">
        <v>433</v>
      </c>
      <c r="D237" s="115" t="s">
        <v>417</v>
      </c>
      <c r="E237" s="113"/>
      <c r="F237" s="116">
        <v>1423.54</v>
      </c>
      <c r="G237" s="113"/>
      <c r="H237" s="113"/>
      <c r="I237" s="113"/>
      <c r="J237" s="113"/>
      <c r="K237" s="117"/>
    </row>
    <row r="238" spans="1:76" x14ac:dyDescent="0.25">
      <c r="A238" s="146" t="s">
        <v>452</v>
      </c>
      <c r="B238" s="147" t="s">
        <v>203</v>
      </c>
      <c r="C238" s="286" t="s">
        <v>204</v>
      </c>
      <c r="D238" s="287"/>
      <c r="E238" s="147" t="s">
        <v>205</v>
      </c>
      <c r="F238" s="148">
        <v>98.9</v>
      </c>
      <c r="G238" s="148">
        <v>0</v>
      </c>
      <c r="H238" s="148">
        <f>ROUND(F238*AO238,2)</f>
        <v>0</v>
      </c>
      <c r="I238" s="148">
        <f>ROUND(F238*AP238,2)</f>
        <v>0</v>
      </c>
      <c r="J238" s="148">
        <f>ROUND(F238*G238,2)</f>
        <v>0</v>
      </c>
      <c r="K238" s="149" t="s">
        <v>70</v>
      </c>
      <c r="Z238" s="28">
        <f>ROUND(IF(AQ238="5",BJ238,0),2)</f>
        <v>0</v>
      </c>
      <c r="AB238" s="28">
        <f>ROUND(IF(AQ238="1",BH238,0),2)</f>
        <v>0</v>
      </c>
      <c r="AC238" s="28">
        <f>ROUND(IF(AQ238="1",BI238,0),2)</f>
        <v>0</v>
      </c>
      <c r="AD238" s="28">
        <f>ROUND(IF(AQ238="7",BH238,0),2)</f>
        <v>0</v>
      </c>
      <c r="AE238" s="28">
        <f>ROUND(IF(AQ238="7",BI238,0),2)</f>
        <v>0</v>
      </c>
      <c r="AF238" s="28">
        <f>ROUND(IF(AQ238="2",BH238,0),2)</f>
        <v>0</v>
      </c>
      <c r="AG238" s="28">
        <f>ROUND(IF(AQ238="2",BI238,0),2)</f>
        <v>0</v>
      </c>
      <c r="AH238" s="28">
        <f>ROUND(IF(AQ238="0",BJ238,0),2)</f>
        <v>0</v>
      </c>
      <c r="AI238" s="10" t="s">
        <v>409</v>
      </c>
      <c r="AJ238" s="28">
        <f>IF(AN238=0,J238,0)</f>
        <v>0</v>
      </c>
      <c r="AK238" s="28">
        <f>IF(AN238=12,J238,0)</f>
        <v>0</v>
      </c>
      <c r="AL238" s="28">
        <f>IF(AN238=21,J238,0)</f>
        <v>0</v>
      </c>
      <c r="AN238" s="28">
        <v>21</v>
      </c>
      <c r="AO238" s="28">
        <f>G238*0</f>
        <v>0</v>
      </c>
      <c r="AP238" s="28">
        <f>G238*(1-0)</f>
        <v>0</v>
      </c>
      <c r="AQ238" s="30" t="s">
        <v>111</v>
      </c>
      <c r="AV238" s="28">
        <f>ROUND(AW238+AX238,2)</f>
        <v>0</v>
      </c>
      <c r="AW238" s="28">
        <f>ROUND(F238*AO238,2)</f>
        <v>0</v>
      </c>
      <c r="AX238" s="28">
        <f>ROUND(F238*AP238,2)</f>
        <v>0</v>
      </c>
      <c r="AY238" s="30" t="s">
        <v>188</v>
      </c>
      <c r="AZ238" s="30" t="s">
        <v>451</v>
      </c>
      <c r="BA238" s="10" t="s">
        <v>415</v>
      </c>
      <c r="BC238" s="28">
        <f>AW238+AX238</f>
        <v>0</v>
      </c>
      <c r="BD238" s="28">
        <f>G238/(100-BE238)*100</f>
        <v>0</v>
      </c>
      <c r="BE238" s="28">
        <v>0</v>
      </c>
      <c r="BF238" s="28">
        <f>238</f>
        <v>238</v>
      </c>
      <c r="BH238" s="28">
        <f>F238*AO238</f>
        <v>0</v>
      </c>
      <c r="BI238" s="28">
        <f>F238*AP238</f>
        <v>0</v>
      </c>
      <c r="BJ238" s="28">
        <f>F238*G238</f>
        <v>0</v>
      </c>
      <c r="BK238" s="28"/>
      <c r="BL238" s="28">
        <v>762</v>
      </c>
      <c r="BW238" s="28">
        <v>21</v>
      </c>
      <c r="BX238" s="4" t="s">
        <v>204</v>
      </c>
    </row>
    <row r="239" spans="1:76" x14ac:dyDescent="0.25">
      <c r="A239" s="150"/>
      <c r="B239" s="151"/>
      <c r="C239" s="152" t="s">
        <v>206</v>
      </c>
      <c r="D239" s="153" t="s">
        <v>207</v>
      </c>
      <c r="E239" s="151"/>
      <c r="F239" s="154">
        <v>35.799999999999997</v>
      </c>
      <c r="G239" s="151"/>
      <c r="H239" s="151"/>
      <c r="I239" s="151"/>
      <c r="J239" s="151"/>
      <c r="K239" s="155"/>
    </row>
    <row r="240" spans="1:76" x14ac:dyDescent="0.25">
      <c r="A240" s="150"/>
      <c r="B240" s="151"/>
      <c r="C240" s="152" t="s">
        <v>208</v>
      </c>
      <c r="D240" s="153" t="s">
        <v>209</v>
      </c>
      <c r="E240" s="151"/>
      <c r="F240" s="154">
        <v>13.8</v>
      </c>
      <c r="G240" s="151"/>
      <c r="H240" s="151"/>
      <c r="I240" s="151"/>
      <c r="J240" s="151"/>
      <c r="K240" s="155"/>
    </row>
    <row r="241" spans="1:76" x14ac:dyDescent="0.25">
      <c r="A241" s="150"/>
      <c r="B241" s="151"/>
      <c r="C241" s="152" t="s">
        <v>453</v>
      </c>
      <c r="D241" s="153" t="s">
        <v>454</v>
      </c>
      <c r="E241" s="151"/>
      <c r="F241" s="154">
        <v>49.3</v>
      </c>
      <c r="G241" s="151"/>
      <c r="H241" s="151"/>
      <c r="I241" s="151"/>
      <c r="J241" s="151"/>
      <c r="K241" s="155"/>
    </row>
    <row r="242" spans="1:76" x14ac:dyDescent="0.25">
      <c r="A242" s="156" t="s">
        <v>455</v>
      </c>
      <c r="B242" s="157" t="s">
        <v>212</v>
      </c>
      <c r="C242" s="288" t="s">
        <v>213</v>
      </c>
      <c r="D242" s="289"/>
      <c r="E242" s="157" t="s">
        <v>214</v>
      </c>
      <c r="F242" s="158">
        <v>0.40944999999999998</v>
      </c>
      <c r="G242" s="158">
        <v>0</v>
      </c>
      <c r="H242" s="158">
        <f>ROUND(F242*AO242,2)</f>
        <v>0</v>
      </c>
      <c r="I242" s="158">
        <f>ROUND(F242*AP242,2)</f>
        <v>0</v>
      </c>
      <c r="J242" s="158">
        <f>ROUND(F242*G242,2)</f>
        <v>0</v>
      </c>
      <c r="K242" s="159" t="s">
        <v>70</v>
      </c>
      <c r="Z242" s="28">
        <f>ROUND(IF(AQ242="5",BJ242,0),2)</f>
        <v>0</v>
      </c>
      <c r="AB242" s="28">
        <f>ROUND(IF(AQ242="1",BH242,0),2)</f>
        <v>0</v>
      </c>
      <c r="AC242" s="28">
        <f>ROUND(IF(AQ242="1",BI242,0),2)</f>
        <v>0</v>
      </c>
      <c r="AD242" s="28">
        <f>ROUND(IF(AQ242="7",BH242,0),2)</f>
        <v>0</v>
      </c>
      <c r="AE242" s="28">
        <f>ROUND(IF(AQ242="7",BI242,0),2)</f>
        <v>0</v>
      </c>
      <c r="AF242" s="28">
        <f>ROUND(IF(AQ242="2",BH242,0),2)</f>
        <v>0</v>
      </c>
      <c r="AG242" s="28">
        <f>ROUND(IF(AQ242="2",BI242,0),2)</f>
        <v>0</v>
      </c>
      <c r="AH242" s="28">
        <f>ROUND(IF(AQ242="0",BJ242,0),2)</f>
        <v>0</v>
      </c>
      <c r="AI242" s="10" t="s">
        <v>409</v>
      </c>
      <c r="AJ242" s="41">
        <f>IF(AN242=0,J242,0)</f>
        <v>0</v>
      </c>
      <c r="AK242" s="41">
        <f>IF(AN242=12,J242,0)</f>
        <v>0</v>
      </c>
      <c r="AL242" s="41">
        <f>IF(AN242=21,J242,0)</f>
        <v>0</v>
      </c>
      <c r="AN242" s="28">
        <v>21</v>
      </c>
      <c r="AO242" s="28">
        <f>G242*1</f>
        <v>0</v>
      </c>
      <c r="AP242" s="28">
        <f>G242*(1-1)</f>
        <v>0</v>
      </c>
      <c r="AQ242" s="43" t="s">
        <v>111</v>
      </c>
      <c r="AV242" s="28">
        <f>ROUND(AW242+AX242,2)</f>
        <v>0</v>
      </c>
      <c r="AW242" s="28">
        <f>ROUND(F242*AO242,2)</f>
        <v>0</v>
      </c>
      <c r="AX242" s="28">
        <f>ROUND(F242*AP242,2)</f>
        <v>0</v>
      </c>
      <c r="AY242" s="30" t="s">
        <v>188</v>
      </c>
      <c r="AZ242" s="30" t="s">
        <v>451</v>
      </c>
      <c r="BA242" s="10" t="s">
        <v>415</v>
      </c>
      <c r="BC242" s="28">
        <f>AW242+AX242</f>
        <v>0</v>
      </c>
      <c r="BD242" s="28">
        <f>G242/(100-BE242)*100</f>
        <v>0</v>
      </c>
      <c r="BE242" s="28">
        <v>0</v>
      </c>
      <c r="BF242" s="28">
        <f>242</f>
        <v>242</v>
      </c>
      <c r="BH242" s="41">
        <f>F242*AO242</f>
        <v>0</v>
      </c>
      <c r="BI242" s="41">
        <f>F242*AP242</f>
        <v>0</v>
      </c>
      <c r="BJ242" s="41">
        <f>F242*G242</f>
        <v>0</v>
      </c>
      <c r="BK242" s="41"/>
      <c r="BL242" s="28">
        <v>762</v>
      </c>
      <c r="BW242" s="28">
        <v>21</v>
      </c>
      <c r="BX242" s="40" t="s">
        <v>213</v>
      </c>
    </row>
    <row r="243" spans="1:76" x14ac:dyDescent="0.25">
      <c r="A243" s="150"/>
      <c r="B243" s="151"/>
      <c r="C243" s="152" t="s">
        <v>215</v>
      </c>
      <c r="D243" s="153" t="s">
        <v>207</v>
      </c>
      <c r="E243" s="151"/>
      <c r="F243" s="154">
        <v>0.12887999999999999</v>
      </c>
      <c r="G243" s="151"/>
      <c r="H243" s="151"/>
      <c r="I243" s="151"/>
      <c r="J243" s="151"/>
      <c r="K243" s="155"/>
    </row>
    <row r="244" spans="1:76" x14ac:dyDescent="0.25">
      <c r="A244" s="150"/>
      <c r="B244" s="151"/>
      <c r="C244" s="152" t="s">
        <v>216</v>
      </c>
      <c r="D244" s="153" t="s">
        <v>209</v>
      </c>
      <c r="E244" s="151"/>
      <c r="F244" s="154">
        <v>4.9680000000000002E-2</v>
      </c>
      <c r="G244" s="151"/>
      <c r="H244" s="151"/>
      <c r="I244" s="151"/>
      <c r="J244" s="151"/>
      <c r="K244" s="155"/>
    </row>
    <row r="245" spans="1:76" x14ac:dyDescent="0.25">
      <c r="A245" s="150"/>
      <c r="B245" s="151"/>
      <c r="C245" s="152" t="s">
        <v>456</v>
      </c>
      <c r="D245" s="153" t="s">
        <v>454</v>
      </c>
      <c r="E245" s="151"/>
      <c r="F245" s="154">
        <v>0.17748</v>
      </c>
      <c r="G245" s="151"/>
      <c r="H245" s="151"/>
      <c r="I245" s="151"/>
      <c r="J245" s="151"/>
      <c r="K245" s="155"/>
    </row>
    <row r="246" spans="1:76" x14ac:dyDescent="0.25">
      <c r="A246" s="150"/>
      <c r="B246" s="151"/>
      <c r="C246" s="152" t="s">
        <v>457</v>
      </c>
      <c r="D246" s="153" t="s">
        <v>52</v>
      </c>
      <c r="E246" s="151"/>
      <c r="F246" s="154">
        <v>5.3409999999999999E-2</v>
      </c>
      <c r="G246" s="151"/>
      <c r="H246" s="151"/>
      <c r="I246" s="151"/>
      <c r="J246" s="151"/>
      <c r="K246" s="155"/>
    </row>
    <row r="247" spans="1:76" x14ac:dyDescent="0.25">
      <c r="A247" s="146" t="s">
        <v>458</v>
      </c>
      <c r="B247" s="147" t="s">
        <v>220</v>
      </c>
      <c r="C247" s="286" t="s">
        <v>221</v>
      </c>
      <c r="D247" s="287"/>
      <c r="E247" s="147" t="s">
        <v>222</v>
      </c>
      <c r="F247" s="148">
        <v>166.4</v>
      </c>
      <c r="G247" s="148">
        <v>0</v>
      </c>
      <c r="H247" s="148">
        <f>ROUND(F247*AO247,2)</f>
        <v>0</v>
      </c>
      <c r="I247" s="148">
        <f>ROUND(F247*AP247,2)</f>
        <v>0</v>
      </c>
      <c r="J247" s="148">
        <f>ROUND(F247*G247,2)</f>
        <v>0</v>
      </c>
      <c r="K247" s="149" t="s">
        <v>223</v>
      </c>
      <c r="Z247" s="28">
        <f>ROUND(IF(AQ247="5",BJ247,0),2)</f>
        <v>0</v>
      </c>
      <c r="AB247" s="28">
        <f>ROUND(IF(AQ247="1",BH247,0),2)</f>
        <v>0</v>
      </c>
      <c r="AC247" s="28">
        <f>ROUND(IF(AQ247="1",BI247,0),2)</f>
        <v>0</v>
      </c>
      <c r="AD247" s="28">
        <f>ROUND(IF(AQ247="7",BH247,0),2)</f>
        <v>0</v>
      </c>
      <c r="AE247" s="28">
        <f>ROUND(IF(AQ247="7",BI247,0),2)</f>
        <v>0</v>
      </c>
      <c r="AF247" s="28">
        <f>ROUND(IF(AQ247="2",BH247,0),2)</f>
        <v>0</v>
      </c>
      <c r="AG247" s="28">
        <f>ROUND(IF(AQ247="2",BI247,0),2)</f>
        <v>0</v>
      </c>
      <c r="AH247" s="28">
        <f>ROUND(IF(AQ247="0",BJ247,0),2)</f>
        <v>0</v>
      </c>
      <c r="AI247" s="10" t="s">
        <v>409</v>
      </c>
      <c r="AJ247" s="28">
        <f>IF(AN247=0,J247,0)</f>
        <v>0</v>
      </c>
      <c r="AK247" s="28">
        <f>IF(AN247=12,J247,0)</f>
        <v>0</v>
      </c>
      <c r="AL247" s="28">
        <f>IF(AN247=21,J247,0)</f>
        <v>0</v>
      </c>
      <c r="AN247" s="28">
        <v>21</v>
      </c>
      <c r="AO247" s="28">
        <f>G247*0.199148193</f>
        <v>0</v>
      </c>
      <c r="AP247" s="28">
        <f>G247*(1-0.199148193)</f>
        <v>0</v>
      </c>
      <c r="AQ247" s="30" t="s">
        <v>111</v>
      </c>
      <c r="AV247" s="28">
        <f>ROUND(AW247+AX247,2)</f>
        <v>0</v>
      </c>
      <c r="AW247" s="28">
        <f>ROUND(F247*AO247,2)</f>
        <v>0</v>
      </c>
      <c r="AX247" s="28">
        <f>ROUND(F247*AP247,2)</f>
        <v>0</v>
      </c>
      <c r="AY247" s="30" t="s">
        <v>188</v>
      </c>
      <c r="AZ247" s="30" t="s">
        <v>451</v>
      </c>
      <c r="BA247" s="10" t="s">
        <v>415</v>
      </c>
      <c r="BC247" s="28">
        <f>AW247+AX247</f>
        <v>0</v>
      </c>
      <c r="BD247" s="28">
        <f>G247/(100-BE247)*100</f>
        <v>0</v>
      </c>
      <c r="BE247" s="28">
        <v>0</v>
      </c>
      <c r="BF247" s="28">
        <f>247</f>
        <v>247</v>
      </c>
      <c r="BH247" s="28">
        <f>F247*AO247</f>
        <v>0</v>
      </c>
      <c r="BI247" s="28">
        <f>F247*AP247</f>
        <v>0</v>
      </c>
      <c r="BJ247" s="28">
        <f>F247*G247</f>
        <v>0</v>
      </c>
      <c r="BK247" s="28"/>
      <c r="BL247" s="28">
        <v>762</v>
      </c>
      <c r="BW247" s="28">
        <v>21</v>
      </c>
      <c r="BX247" s="4" t="s">
        <v>221</v>
      </c>
    </row>
    <row r="248" spans="1:76" ht="13.5" customHeight="1" x14ac:dyDescent="0.25">
      <c r="A248" s="60"/>
      <c r="C248" s="255" t="s">
        <v>459</v>
      </c>
      <c r="D248" s="256"/>
      <c r="E248" s="256"/>
      <c r="F248" s="256"/>
      <c r="G248" s="256"/>
      <c r="H248" s="256"/>
      <c r="I248" s="256"/>
      <c r="J248" s="256"/>
      <c r="K248" s="257"/>
    </row>
    <row r="249" spans="1:76" x14ac:dyDescent="0.25">
      <c r="A249" s="160"/>
      <c r="B249" s="161"/>
      <c r="C249" s="162" t="s">
        <v>460</v>
      </c>
      <c r="D249" s="163" t="s">
        <v>461</v>
      </c>
      <c r="E249" s="161"/>
      <c r="F249" s="164">
        <v>166.4</v>
      </c>
      <c r="G249" s="161"/>
      <c r="H249" s="161"/>
      <c r="I249" s="161"/>
      <c r="J249" s="161"/>
      <c r="K249" s="165"/>
    </row>
    <row r="250" spans="1:76" x14ac:dyDescent="0.25">
      <c r="A250" s="118" t="s">
        <v>462</v>
      </c>
      <c r="B250" s="119" t="s">
        <v>463</v>
      </c>
      <c r="C250" s="278" t="s">
        <v>464</v>
      </c>
      <c r="D250" s="279"/>
      <c r="E250" s="119" t="s">
        <v>69</v>
      </c>
      <c r="F250" s="120">
        <v>1470.9639999999999</v>
      </c>
      <c r="G250" s="120">
        <v>0</v>
      </c>
      <c r="H250" s="120">
        <f>ROUND(F250*AO250,2)</f>
        <v>0</v>
      </c>
      <c r="I250" s="120">
        <f>ROUND(F250*AP250,2)</f>
        <v>0</v>
      </c>
      <c r="J250" s="120">
        <f>ROUND(F250*G250,2)</f>
        <v>0</v>
      </c>
      <c r="K250" s="121" t="s">
        <v>70</v>
      </c>
      <c r="Z250" s="28">
        <f>ROUND(IF(AQ250="5",BJ250,0),2)</f>
        <v>0</v>
      </c>
      <c r="AB250" s="28">
        <f>ROUND(IF(AQ250="1",BH250,0),2)</f>
        <v>0</v>
      </c>
      <c r="AC250" s="28">
        <f>ROUND(IF(AQ250="1",BI250,0),2)</f>
        <v>0</v>
      </c>
      <c r="AD250" s="28">
        <f>ROUND(IF(AQ250="7",BH250,0),2)</f>
        <v>0</v>
      </c>
      <c r="AE250" s="28">
        <f>ROUND(IF(AQ250="7",BI250,0),2)</f>
        <v>0</v>
      </c>
      <c r="AF250" s="28">
        <f>ROUND(IF(AQ250="2",BH250,0),2)</f>
        <v>0</v>
      </c>
      <c r="AG250" s="28">
        <f>ROUND(IF(AQ250="2",BI250,0),2)</f>
        <v>0</v>
      </c>
      <c r="AH250" s="28">
        <f>ROUND(IF(AQ250="0",BJ250,0),2)</f>
        <v>0</v>
      </c>
      <c r="AI250" s="10" t="s">
        <v>409</v>
      </c>
      <c r="AJ250" s="28">
        <f>IF(AN250=0,J250,0)</f>
        <v>0</v>
      </c>
      <c r="AK250" s="28">
        <f>IF(AN250=12,J250,0)</f>
        <v>0</v>
      </c>
      <c r="AL250" s="28">
        <f>IF(AN250=21,J250,0)</f>
        <v>0</v>
      </c>
      <c r="AN250" s="28">
        <v>21</v>
      </c>
      <c r="AO250" s="28">
        <f>G250*0.191465879</f>
        <v>0</v>
      </c>
      <c r="AP250" s="28">
        <f>G250*(1-0.191465879)</f>
        <v>0</v>
      </c>
      <c r="AQ250" s="30" t="s">
        <v>111</v>
      </c>
      <c r="AV250" s="28">
        <f>ROUND(AW250+AX250,2)</f>
        <v>0</v>
      </c>
      <c r="AW250" s="28">
        <f>ROUND(F250*AO250,2)</f>
        <v>0</v>
      </c>
      <c r="AX250" s="28">
        <f>ROUND(F250*AP250,2)</f>
        <v>0</v>
      </c>
      <c r="AY250" s="30" t="s">
        <v>188</v>
      </c>
      <c r="AZ250" s="30" t="s">
        <v>451</v>
      </c>
      <c r="BA250" s="10" t="s">
        <v>415</v>
      </c>
      <c r="BC250" s="28">
        <f>AW250+AX250</f>
        <v>0</v>
      </c>
      <c r="BD250" s="28">
        <f>G250/(100-BE250)*100</f>
        <v>0</v>
      </c>
      <c r="BE250" s="28">
        <v>0</v>
      </c>
      <c r="BF250" s="28">
        <f>250</f>
        <v>250</v>
      </c>
      <c r="BH250" s="28">
        <f>F250*AO250</f>
        <v>0</v>
      </c>
      <c r="BI250" s="28">
        <f>F250*AP250</f>
        <v>0</v>
      </c>
      <c r="BJ250" s="28">
        <f>F250*G250</f>
        <v>0</v>
      </c>
      <c r="BK250" s="28"/>
      <c r="BL250" s="28">
        <v>762</v>
      </c>
      <c r="BW250" s="28">
        <v>21</v>
      </c>
      <c r="BX250" s="4" t="s">
        <v>464</v>
      </c>
    </row>
    <row r="251" spans="1:76" ht="13.5" customHeight="1" x14ac:dyDescent="0.25">
      <c r="A251" s="60"/>
      <c r="C251" s="255" t="s">
        <v>465</v>
      </c>
      <c r="D251" s="256"/>
      <c r="E251" s="256"/>
      <c r="F251" s="256"/>
      <c r="G251" s="256"/>
      <c r="H251" s="256"/>
      <c r="I251" s="256"/>
      <c r="J251" s="256"/>
      <c r="K251" s="257"/>
    </row>
    <row r="252" spans="1:76" x14ac:dyDescent="0.25">
      <c r="A252" s="136"/>
      <c r="B252" s="137"/>
      <c r="C252" s="138" t="s">
        <v>433</v>
      </c>
      <c r="D252" s="139" t="s">
        <v>423</v>
      </c>
      <c r="E252" s="137"/>
      <c r="F252" s="140">
        <v>1423.54</v>
      </c>
      <c r="G252" s="137"/>
      <c r="H252" s="137"/>
      <c r="I252" s="137"/>
      <c r="J252" s="137"/>
      <c r="K252" s="141"/>
    </row>
    <row r="253" spans="1:76" x14ac:dyDescent="0.25">
      <c r="A253" s="122"/>
      <c r="B253" s="123"/>
      <c r="C253" s="124" t="s">
        <v>466</v>
      </c>
      <c r="D253" s="125" t="s">
        <v>461</v>
      </c>
      <c r="E253" s="123"/>
      <c r="F253" s="126">
        <v>47.423999999999999</v>
      </c>
      <c r="G253" s="123"/>
      <c r="H253" s="123"/>
      <c r="I253" s="123"/>
      <c r="J253" s="123"/>
      <c r="K253" s="127"/>
    </row>
    <row r="254" spans="1:76" x14ac:dyDescent="0.25">
      <c r="A254" s="128" t="s">
        <v>467</v>
      </c>
      <c r="B254" s="129" t="s">
        <v>468</v>
      </c>
      <c r="C254" s="280" t="s">
        <v>469</v>
      </c>
      <c r="D254" s="281"/>
      <c r="E254" s="129" t="s">
        <v>214</v>
      </c>
      <c r="F254" s="130">
        <v>37.068300000000001</v>
      </c>
      <c r="G254" s="130">
        <v>0</v>
      </c>
      <c r="H254" s="130">
        <f>ROUND(F254*AO254,2)</f>
        <v>0</v>
      </c>
      <c r="I254" s="130">
        <f>ROUND(F254*AP254,2)</f>
        <v>0</v>
      </c>
      <c r="J254" s="130">
        <f>ROUND(F254*G254,2)</f>
        <v>0</v>
      </c>
      <c r="K254" s="131" t="s">
        <v>70</v>
      </c>
      <c r="Z254" s="28">
        <f>ROUND(IF(AQ254="5",BJ254,0),2)</f>
        <v>0</v>
      </c>
      <c r="AB254" s="28">
        <f>ROUND(IF(AQ254="1",BH254,0),2)</f>
        <v>0</v>
      </c>
      <c r="AC254" s="28">
        <f>ROUND(IF(AQ254="1",BI254,0),2)</f>
        <v>0</v>
      </c>
      <c r="AD254" s="28">
        <f>ROUND(IF(AQ254="7",BH254,0),2)</f>
        <v>0</v>
      </c>
      <c r="AE254" s="28">
        <f>ROUND(IF(AQ254="7",BI254,0),2)</f>
        <v>0</v>
      </c>
      <c r="AF254" s="28">
        <f>ROUND(IF(AQ254="2",BH254,0),2)</f>
        <v>0</v>
      </c>
      <c r="AG254" s="28">
        <f>ROUND(IF(AQ254="2",BI254,0),2)</f>
        <v>0</v>
      </c>
      <c r="AH254" s="28">
        <f>ROUND(IF(AQ254="0",BJ254,0),2)</f>
        <v>0</v>
      </c>
      <c r="AI254" s="10" t="s">
        <v>409</v>
      </c>
      <c r="AJ254" s="41">
        <f>IF(AN254=0,J254,0)</f>
        <v>0</v>
      </c>
      <c r="AK254" s="41">
        <f>IF(AN254=12,J254,0)</f>
        <v>0</v>
      </c>
      <c r="AL254" s="41">
        <f>IF(AN254=21,J254,0)</f>
        <v>0</v>
      </c>
      <c r="AN254" s="28">
        <v>21</v>
      </c>
      <c r="AO254" s="28">
        <f>G254*1</f>
        <v>0</v>
      </c>
      <c r="AP254" s="28">
        <f>G254*(1-1)</f>
        <v>0</v>
      </c>
      <c r="AQ254" s="43" t="s">
        <v>111</v>
      </c>
      <c r="AV254" s="28">
        <f>ROUND(AW254+AX254,2)</f>
        <v>0</v>
      </c>
      <c r="AW254" s="28">
        <f>ROUND(F254*AO254,2)</f>
        <v>0</v>
      </c>
      <c r="AX254" s="28">
        <f>ROUND(F254*AP254,2)</f>
        <v>0</v>
      </c>
      <c r="AY254" s="30" t="s">
        <v>188</v>
      </c>
      <c r="AZ254" s="30" t="s">
        <v>451</v>
      </c>
      <c r="BA254" s="10" t="s">
        <v>415</v>
      </c>
      <c r="BC254" s="28">
        <f>AW254+AX254</f>
        <v>0</v>
      </c>
      <c r="BD254" s="28">
        <f>G254/(100-BE254)*100</f>
        <v>0</v>
      </c>
      <c r="BE254" s="28">
        <v>0</v>
      </c>
      <c r="BF254" s="28">
        <f>254</f>
        <v>254</v>
      </c>
      <c r="BH254" s="41">
        <f>F254*AO254</f>
        <v>0</v>
      </c>
      <c r="BI254" s="41">
        <f>F254*AP254</f>
        <v>0</v>
      </c>
      <c r="BJ254" s="41">
        <f>F254*G254</f>
        <v>0</v>
      </c>
      <c r="BK254" s="41"/>
      <c r="BL254" s="28">
        <v>762</v>
      </c>
      <c r="BW254" s="28">
        <v>21</v>
      </c>
      <c r="BX254" s="40" t="s">
        <v>469</v>
      </c>
    </row>
    <row r="255" spans="1:76" x14ac:dyDescent="0.25">
      <c r="A255" s="122"/>
      <c r="B255" s="123"/>
      <c r="C255" s="124" t="s">
        <v>470</v>
      </c>
      <c r="D255" s="125" t="s">
        <v>52</v>
      </c>
      <c r="E255" s="123"/>
      <c r="F255" s="126">
        <v>35.303139999999999</v>
      </c>
      <c r="G255" s="123"/>
      <c r="H255" s="123"/>
      <c r="I255" s="123"/>
      <c r="J255" s="123"/>
      <c r="K255" s="127"/>
    </row>
    <row r="256" spans="1:76" x14ac:dyDescent="0.25">
      <c r="A256" s="122"/>
      <c r="B256" s="123"/>
      <c r="C256" s="124" t="s">
        <v>471</v>
      </c>
      <c r="D256" s="125" t="s">
        <v>52</v>
      </c>
      <c r="E256" s="123"/>
      <c r="F256" s="126">
        <v>1.7651600000000001</v>
      </c>
      <c r="G256" s="123"/>
      <c r="H256" s="123"/>
      <c r="I256" s="123"/>
      <c r="J256" s="123"/>
      <c r="K256" s="127"/>
    </row>
    <row r="257" spans="1:76" x14ac:dyDescent="0.25">
      <c r="A257" s="146" t="s">
        <v>472</v>
      </c>
      <c r="B257" s="147" t="s">
        <v>473</v>
      </c>
      <c r="C257" s="286" t="s">
        <v>474</v>
      </c>
      <c r="D257" s="287"/>
      <c r="E257" s="147" t="s">
        <v>69</v>
      </c>
      <c r="F257" s="148">
        <v>181.83</v>
      </c>
      <c r="G257" s="148">
        <v>0</v>
      </c>
      <c r="H257" s="148">
        <f>ROUND(F257*AO257,2)</f>
        <v>0</v>
      </c>
      <c r="I257" s="148">
        <f>ROUND(F257*AP257,2)</f>
        <v>0</v>
      </c>
      <c r="J257" s="148">
        <f>ROUND(F257*G257,2)</f>
        <v>0</v>
      </c>
      <c r="K257" s="149" t="s">
        <v>109</v>
      </c>
      <c r="Z257" s="28">
        <f>ROUND(IF(AQ257="5",BJ257,0),2)</f>
        <v>0</v>
      </c>
      <c r="AB257" s="28">
        <f>ROUND(IF(AQ257="1",BH257,0),2)</f>
        <v>0</v>
      </c>
      <c r="AC257" s="28">
        <f>ROUND(IF(AQ257="1",BI257,0),2)</f>
        <v>0</v>
      </c>
      <c r="AD257" s="28">
        <f>ROUND(IF(AQ257="7",BH257,0),2)</f>
        <v>0</v>
      </c>
      <c r="AE257" s="28">
        <f>ROUND(IF(AQ257="7",BI257,0),2)</f>
        <v>0</v>
      </c>
      <c r="AF257" s="28">
        <f>ROUND(IF(AQ257="2",BH257,0),2)</f>
        <v>0</v>
      </c>
      <c r="AG257" s="28">
        <f>ROUND(IF(AQ257="2",BI257,0),2)</f>
        <v>0</v>
      </c>
      <c r="AH257" s="28">
        <f>ROUND(IF(AQ257="0",BJ257,0),2)</f>
        <v>0</v>
      </c>
      <c r="AI257" s="10" t="s">
        <v>409</v>
      </c>
      <c r="AJ257" s="28">
        <f>IF(AN257=0,J257,0)</f>
        <v>0</v>
      </c>
      <c r="AK257" s="28">
        <f>IF(AN257=12,J257,0)</f>
        <v>0</v>
      </c>
      <c r="AL257" s="28">
        <f>IF(AN257=21,J257,0)</f>
        <v>0</v>
      </c>
      <c r="AN257" s="28">
        <v>21</v>
      </c>
      <c r="AO257" s="28">
        <f>G257*0.297905244</f>
        <v>0</v>
      </c>
      <c r="AP257" s="28">
        <f>G257*(1-0.297905244)</f>
        <v>0</v>
      </c>
      <c r="AQ257" s="30" t="s">
        <v>111</v>
      </c>
      <c r="AV257" s="28">
        <f>ROUND(AW257+AX257,2)</f>
        <v>0</v>
      </c>
      <c r="AW257" s="28">
        <f>ROUND(F257*AO257,2)</f>
        <v>0</v>
      </c>
      <c r="AX257" s="28">
        <f>ROUND(F257*AP257,2)</f>
        <v>0</v>
      </c>
      <c r="AY257" s="30" t="s">
        <v>188</v>
      </c>
      <c r="AZ257" s="30" t="s">
        <v>451</v>
      </c>
      <c r="BA257" s="10" t="s">
        <v>415</v>
      </c>
      <c r="BC257" s="28">
        <f>AW257+AX257</f>
        <v>0</v>
      </c>
      <c r="BD257" s="28">
        <f>G257/(100-BE257)*100</f>
        <v>0</v>
      </c>
      <c r="BE257" s="28">
        <v>0</v>
      </c>
      <c r="BF257" s="28">
        <f>257</f>
        <v>257</v>
      </c>
      <c r="BH257" s="28">
        <f>F257*AO257</f>
        <v>0</v>
      </c>
      <c r="BI257" s="28">
        <f>F257*AP257</f>
        <v>0</v>
      </c>
      <c r="BJ257" s="28">
        <f>F257*G257</f>
        <v>0</v>
      </c>
      <c r="BK257" s="28"/>
      <c r="BL257" s="28">
        <v>762</v>
      </c>
      <c r="BW257" s="28">
        <v>21</v>
      </c>
      <c r="BX257" s="4" t="s">
        <v>474</v>
      </c>
    </row>
    <row r="258" spans="1:76" ht="27" customHeight="1" x14ac:dyDescent="0.25">
      <c r="A258" s="60"/>
      <c r="C258" s="255" t="s">
        <v>475</v>
      </c>
      <c r="D258" s="256"/>
      <c r="E258" s="256"/>
      <c r="F258" s="256"/>
      <c r="G258" s="256"/>
      <c r="H258" s="256"/>
      <c r="I258" s="256"/>
      <c r="J258" s="256"/>
      <c r="K258" s="257"/>
    </row>
    <row r="259" spans="1:76" x14ac:dyDescent="0.25">
      <c r="A259" s="160"/>
      <c r="B259" s="161"/>
      <c r="C259" s="162" t="s">
        <v>476</v>
      </c>
      <c r="D259" s="163" t="s">
        <v>52</v>
      </c>
      <c r="E259" s="161"/>
      <c r="F259" s="164">
        <v>181.83</v>
      </c>
      <c r="G259" s="161"/>
      <c r="H259" s="161"/>
      <c r="I259" s="161"/>
      <c r="J259" s="161"/>
      <c r="K259" s="165"/>
    </row>
    <row r="260" spans="1:76" ht="38.25" x14ac:dyDescent="0.25">
      <c r="A260" s="60"/>
      <c r="B260" s="61" t="s">
        <v>85</v>
      </c>
      <c r="C260" s="255" t="s">
        <v>477</v>
      </c>
      <c r="D260" s="256"/>
      <c r="E260" s="256"/>
      <c r="F260" s="256"/>
      <c r="G260" s="256"/>
      <c r="H260" s="256"/>
      <c r="I260" s="256"/>
      <c r="J260" s="256"/>
      <c r="K260" s="257"/>
      <c r="BX260" s="32" t="s">
        <v>477</v>
      </c>
    </row>
    <row r="261" spans="1:76" x14ac:dyDescent="0.25">
      <c r="A261" s="166" t="s">
        <v>478</v>
      </c>
      <c r="B261" s="167" t="s">
        <v>479</v>
      </c>
      <c r="C261" s="290" t="s">
        <v>480</v>
      </c>
      <c r="D261" s="291"/>
      <c r="E261" s="167" t="s">
        <v>214</v>
      </c>
      <c r="F261" s="168">
        <v>1.2800800000000001</v>
      </c>
      <c r="G261" s="168">
        <v>0</v>
      </c>
      <c r="H261" s="168">
        <f>ROUND(F261*AO261,2)</f>
        <v>0</v>
      </c>
      <c r="I261" s="168">
        <f>ROUND(F261*AP261,2)</f>
        <v>0</v>
      </c>
      <c r="J261" s="168">
        <f>ROUND(F261*G261,2)</f>
        <v>0</v>
      </c>
      <c r="K261" s="169" t="s">
        <v>70</v>
      </c>
      <c r="Z261" s="28">
        <f>ROUND(IF(AQ261="5",BJ261,0),2)</f>
        <v>0</v>
      </c>
      <c r="AB261" s="28">
        <f>ROUND(IF(AQ261="1",BH261,0),2)</f>
        <v>0</v>
      </c>
      <c r="AC261" s="28">
        <f>ROUND(IF(AQ261="1",BI261,0),2)</f>
        <v>0</v>
      </c>
      <c r="AD261" s="28">
        <f>ROUND(IF(AQ261="7",BH261,0),2)</f>
        <v>0</v>
      </c>
      <c r="AE261" s="28">
        <f>ROUND(IF(AQ261="7",BI261,0),2)</f>
        <v>0</v>
      </c>
      <c r="AF261" s="28">
        <f>ROUND(IF(AQ261="2",BH261,0),2)</f>
        <v>0</v>
      </c>
      <c r="AG261" s="28">
        <f>ROUND(IF(AQ261="2",BI261,0),2)</f>
        <v>0</v>
      </c>
      <c r="AH261" s="28">
        <f>ROUND(IF(AQ261="0",BJ261,0),2)</f>
        <v>0</v>
      </c>
      <c r="AI261" s="10" t="s">
        <v>409</v>
      </c>
      <c r="AJ261" s="41">
        <f>IF(AN261=0,J261,0)</f>
        <v>0</v>
      </c>
      <c r="AK261" s="41">
        <f>IF(AN261=12,J261,0)</f>
        <v>0</v>
      </c>
      <c r="AL261" s="41">
        <f>IF(AN261=21,J261,0)</f>
        <v>0</v>
      </c>
      <c r="AN261" s="28">
        <v>21</v>
      </c>
      <c r="AO261" s="28">
        <f>G261*1</f>
        <v>0</v>
      </c>
      <c r="AP261" s="28">
        <f>G261*(1-1)</f>
        <v>0</v>
      </c>
      <c r="AQ261" s="43" t="s">
        <v>111</v>
      </c>
      <c r="AV261" s="28">
        <f>ROUND(AW261+AX261,2)</f>
        <v>0</v>
      </c>
      <c r="AW261" s="28">
        <f>ROUND(F261*AO261,2)</f>
        <v>0</v>
      </c>
      <c r="AX261" s="28">
        <f>ROUND(F261*AP261,2)</f>
        <v>0</v>
      </c>
      <c r="AY261" s="30" t="s">
        <v>188</v>
      </c>
      <c r="AZ261" s="30" t="s">
        <v>451</v>
      </c>
      <c r="BA261" s="10" t="s">
        <v>415</v>
      </c>
      <c r="BC261" s="28">
        <f>AW261+AX261</f>
        <v>0</v>
      </c>
      <c r="BD261" s="28">
        <f>G261/(100-BE261)*100</f>
        <v>0</v>
      </c>
      <c r="BE261" s="28">
        <v>0</v>
      </c>
      <c r="BF261" s="28">
        <f>261</f>
        <v>261</v>
      </c>
      <c r="BH261" s="41">
        <f>F261*AO261</f>
        <v>0</v>
      </c>
      <c r="BI261" s="41">
        <f>F261*AP261</f>
        <v>0</v>
      </c>
      <c r="BJ261" s="41">
        <f>F261*G261</f>
        <v>0</v>
      </c>
      <c r="BK261" s="41"/>
      <c r="BL261" s="28">
        <v>762</v>
      </c>
      <c r="BW261" s="28">
        <v>21</v>
      </c>
      <c r="BX261" s="40" t="s">
        <v>480</v>
      </c>
    </row>
    <row r="262" spans="1:76" x14ac:dyDescent="0.25">
      <c r="A262" s="150"/>
      <c r="B262" s="151"/>
      <c r="C262" s="152" t="s">
        <v>481</v>
      </c>
      <c r="D262" s="153" t="s">
        <v>52</v>
      </c>
      <c r="E262" s="151"/>
      <c r="F262" s="154">
        <v>1.16371</v>
      </c>
      <c r="G262" s="151"/>
      <c r="H262" s="151"/>
      <c r="I262" s="151"/>
      <c r="J262" s="151"/>
      <c r="K262" s="155"/>
    </row>
    <row r="263" spans="1:76" x14ac:dyDescent="0.25">
      <c r="A263" s="150"/>
      <c r="B263" s="151"/>
      <c r="C263" s="152" t="s">
        <v>482</v>
      </c>
      <c r="D263" s="153" t="s">
        <v>52</v>
      </c>
      <c r="E263" s="151"/>
      <c r="F263" s="154">
        <v>0.11637</v>
      </c>
      <c r="G263" s="151"/>
      <c r="H263" s="151"/>
      <c r="I263" s="151"/>
      <c r="J263" s="151"/>
      <c r="K263" s="155"/>
    </row>
    <row r="264" spans="1:76" x14ac:dyDescent="0.25">
      <c r="A264" s="60"/>
      <c r="B264" s="61" t="s">
        <v>85</v>
      </c>
      <c r="C264" s="255" t="s">
        <v>483</v>
      </c>
      <c r="D264" s="256"/>
      <c r="E264" s="256"/>
      <c r="F264" s="256"/>
      <c r="G264" s="256"/>
      <c r="H264" s="256"/>
      <c r="I264" s="256"/>
      <c r="J264" s="256"/>
      <c r="K264" s="257"/>
      <c r="BX264" s="44" t="s">
        <v>483</v>
      </c>
    </row>
    <row r="265" spans="1:76" x14ac:dyDescent="0.25">
      <c r="A265" s="170" t="s">
        <v>484</v>
      </c>
      <c r="B265" s="171" t="s">
        <v>485</v>
      </c>
      <c r="C265" s="292" t="s">
        <v>486</v>
      </c>
      <c r="D265" s="293"/>
      <c r="E265" s="171" t="s">
        <v>69</v>
      </c>
      <c r="F265" s="172">
        <v>143.05199999999999</v>
      </c>
      <c r="G265" s="172">
        <v>0</v>
      </c>
      <c r="H265" s="172">
        <f>ROUND(F265*AO265,2)</f>
        <v>0</v>
      </c>
      <c r="I265" s="172">
        <f>ROUND(F265*AP265,2)</f>
        <v>0</v>
      </c>
      <c r="J265" s="172">
        <f>ROUND(F265*G265,2)</f>
        <v>0</v>
      </c>
      <c r="K265" s="173" t="s">
        <v>70</v>
      </c>
      <c r="Z265" s="28">
        <f>ROUND(IF(AQ265="5",BJ265,0),2)</f>
        <v>0</v>
      </c>
      <c r="AB265" s="28">
        <f>ROUND(IF(AQ265="1",BH265,0),2)</f>
        <v>0</v>
      </c>
      <c r="AC265" s="28">
        <f>ROUND(IF(AQ265="1",BI265,0),2)</f>
        <v>0</v>
      </c>
      <c r="AD265" s="28">
        <f>ROUND(IF(AQ265="7",BH265,0),2)</f>
        <v>0</v>
      </c>
      <c r="AE265" s="28">
        <f>ROUND(IF(AQ265="7",BI265,0),2)</f>
        <v>0</v>
      </c>
      <c r="AF265" s="28">
        <f>ROUND(IF(AQ265="2",BH265,0),2)</f>
        <v>0</v>
      </c>
      <c r="AG265" s="28">
        <f>ROUND(IF(AQ265="2",BI265,0),2)</f>
        <v>0</v>
      </c>
      <c r="AH265" s="28">
        <f>ROUND(IF(AQ265="0",BJ265,0),2)</f>
        <v>0</v>
      </c>
      <c r="AI265" s="10" t="s">
        <v>409</v>
      </c>
      <c r="AJ265" s="28">
        <f>IF(AN265=0,J265,0)</f>
        <v>0</v>
      </c>
      <c r="AK265" s="28">
        <f>IF(AN265=12,J265,0)</f>
        <v>0</v>
      </c>
      <c r="AL265" s="28">
        <f>IF(AN265=21,J265,0)</f>
        <v>0</v>
      </c>
      <c r="AN265" s="28">
        <v>21</v>
      </c>
      <c r="AO265" s="28">
        <f>G265*0.00895033</f>
        <v>0</v>
      </c>
      <c r="AP265" s="28">
        <f>G265*(1-0.00895033)</f>
        <v>0</v>
      </c>
      <c r="AQ265" s="30" t="s">
        <v>111</v>
      </c>
      <c r="AV265" s="28">
        <f>ROUND(AW265+AX265,2)</f>
        <v>0</v>
      </c>
      <c r="AW265" s="28">
        <f>ROUND(F265*AO265,2)</f>
        <v>0</v>
      </c>
      <c r="AX265" s="28">
        <f>ROUND(F265*AP265,2)</f>
        <v>0</v>
      </c>
      <c r="AY265" s="30" t="s">
        <v>188</v>
      </c>
      <c r="AZ265" s="30" t="s">
        <v>451</v>
      </c>
      <c r="BA265" s="10" t="s">
        <v>415</v>
      </c>
      <c r="BC265" s="28">
        <f>AW265+AX265</f>
        <v>0</v>
      </c>
      <c r="BD265" s="28">
        <f>G265/(100-BE265)*100</f>
        <v>0</v>
      </c>
      <c r="BE265" s="28">
        <v>0</v>
      </c>
      <c r="BF265" s="28">
        <f>265</f>
        <v>265</v>
      </c>
      <c r="BH265" s="28">
        <f>F265*AO265</f>
        <v>0</v>
      </c>
      <c r="BI265" s="28">
        <f>F265*AP265</f>
        <v>0</v>
      </c>
      <c r="BJ265" s="28">
        <f>F265*G265</f>
        <v>0</v>
      </c>
      <c r="BK265" s="28"/>
      <c r="BL265" s="28">
        <v>762</v>
      </c>
      <c r="BW265" s="28">
        <v>21</v>
      </c>
      <c r="BX265" s="4" t="s">
        <v>486</v>
      </c>
    </row>
    <row r="266" spans="1:76" ht="13.5" customHeight="1" x14ac:dyDescent="0.25">
      <c r="A266" s="60"/>
      <c r="C266" s="255" t="s">
        <v>487</v>
      </c>
      <c r="D266" s="256"/>
      <c r="E266" s="256"/>
      <c r="F266" s="256"/>
      <c r="G266" s="256"/>
      <c r="H266" s="256"/>
      <c r="I266" s="256"/>
      <c r="J266" s="256"/>
      <c r="K266" s="257"/>
    </row>
    <row r="267" spans="1:76" x14ac:dyDescent="0.25">
      <c r="A267" s="160"/>
      <c r="B267" s="161"/>
      <c r="C267" s="162" t="s">
        <v>488</v>
      </c>
      <c r="D267" s="163" t="s">
        <v>489</v>
      </c>
      <c r="E267" s="161"/>
      <c r="F267" s="164">
        <v>143.05199999999999</v>
      </c>
      <c r="G267" s="161"/>
      <c r="H267" s="161"/>
      <c r="I267" s="161"/>
      <c r="J267" s="161"/>
      <c r="K267" s="165"/>
    </row>
    <row r="268" spans="1:76" x14ac:dyDescent="0.25">
      <c r="A268" s="72"/>
      <c r="B268" s="73" t="s">
        <v>85</v>
      </c>
      <c r="C268" s="260" t="s">
        <v>490</v>
      </c>
      <c r="D268" s="261"/>
      <c r="E268" s="261"/>
      <c r="F268" s="261"/>
      <c r="G268" s="261"/>
      <c r="H268" s="261"/>
      <c r="I268" s="261"/>
      <c r="J268" s="261"/>
      <c r="K268" s="262"/>
      <c r="BX268" s="32" t="s">
        <v>490</v>
      </c>
    </row>
    <row r="269" spans="1:76" x14ac:dyDescent="0.25">
      <c r="A269" s="2" t="s">
        <v>491</v>
      </c>
      <c r="B269" s="3" t="s">
        <v>492</v>
      </c>
      <c r="C269" s="230" t="s">
        <v>493</v>
      </c>
      <c r="D269" s="225"/>
      <c r="E269" s="3" t="s">
        <v>69</v>
      </c>
      <c r="F269" s="28">
        <v>17.27</v>
      </c>
      <c r="G269" s="28">
        <v>0</v>
      </c>
      <c r="H269" s="28">
        <f>ROUND(F269*AO269,2)</f>
        <v>0</v>
      </c>
      <c r="I269" s="28">
        <f>ROUND(F269*AP269,2)</f>
        <v>0</v>
      </c>
      <c r="J269" s="28">
        <f>ROUND(F269*G269,2)</f>
        <v>0</v>
      </c>
      <c r="K269" s="29" t="s">
        <v>70</v>
      </c>
      <c r="Z269" s="28">
        <f>ROUND(IF(AQ269="5",BJ269,0),2)</f>
        <v>0</v>
      </c>
      <c r="AB269" s="28">
        <f>ROUND(IF(AQ269="1",BH269,0),2)</f>
        <v>0</v>
      </c>
      <c r="AC269" s="28">
        <f>ROUND(IF(AQ269="1",BI269,0),2)</f>
        <v>0</v>
      </c>
      <c r="AD269" s="28">
        <f>ROUND(IF(AQ269="7",BH269,0),2)</f>
        <v>0</v>
      </c>
      <c r="AE269" s="28">
        <f>ROUND(IF(AQ269="7",BI269,0),2)</f>
        <v>0</v>
      </c>
      <c r="AF269" s="28">
        <f>ROUND(IF(AQ269="2",BH269,0),2)</f>
        <v>0</v>
      </c>
      <c r="AG269" s="28">
        <f>ROUND(IF(AQ269="2",BI269,0),2)</f>
        <v>0</v>
      </c>
      <c r="AH269" s="28">
        <f>ROUND(IF(AQ269="0",BJ269,0),2)</f>
        <v>0</v>
      </c>
      <c r="AI269" s="10" t="s">
        <v>409</v>
      </c>
      <c r="AJ269" s="28">
        <f>IF(AN269=0,J269,0)</f>
        <v>0</v>
      </c>
      <c r="AK269" s="28">
        <f>IF(AN269=12,J269,0)</f>
        <v>0</v>
      </c>
      <c r="AL269" s="28">
        <f>IF(AN269=21,J269,0)</f>
        <v>0</v>
      </c>
      <c r="AN269" s="28">
        <v>21</v>
      </c>
      <c r="AO269" s="28">
        <f>G269*0</f>
        <v>0</v>
      </c>
      <c r="AP269" s="28">
        <f>G269*(1-0)</f>
        <v>0</v>
      </c>
      <c r="AQ269" s="30" t="s">
        <v>111</v>
      </c>
      <c r="AV269" s="28">
        <f>ROUND(AW269+AX269,2)</f>
        <v>0</v>
      </c>
      <c r="AW269" s="28">
        <f>ROUND(F269*AO269,2)</f>
        <v>0</v>
      </c>
      <c r="AX269" s="28">
        <f>ROUND(F269*AP269,2)</f>
        <v>0</v>
      </c>
      <c r="AY269" s="30" t="s">
        <v>188</v>
      </c>
      <c r="AZ269" s="30" t="s">
        <v>451</v>
      </c>
      <c r="BA269" s="10" t="s">
        <v>415</v>
      </c>
      <c r="BC269" s="28">
        <f>AW269+AX269</f>
        <v>0</v>
      </c>
      <c r="BD269" s="28">
        <f>G269/(100-BE269)*100</f>
        <v>0</v>
      </c>
      <c r="BE269" s="28">
        <v>0</v>
      </c>
      <c r="BF269" s="28">
        <f>269</f>
        <v>269</v>
      </c>
      <c r="BH269" s="28">
        <f>F269*AO269</f>
        <v>0</v>
      </c>
      <c r="BI269" s="28">
        <f>F269*AP269</f>
        <v>0</v>
      </c>
      <c r="BJ269" s="28">
        <f>F269*G269</f>
        <v>0</v>
      </c>
      <c r="BK269" s="28"/>
      <c r="BL269" s="28">
        <v>762</v>
      </c>
      <c r="BW269" s="28">
        <v>21</v>
      </c>
      <c r="BX269" s="4" t="s">
        <v>493</v>
      </c>
    </row>
    <row r="270" spans="1:76" x14ac:dyDescent="0.25">
      <c r="A270" s="31"/>
      <c r="C270" s="34" t="s">
        <v>494</v>
      </c>
      <c r="D270" s="33" t="s">
        <v>495</v>
      </c>
      <c r="F270" s="35">
        <v>2.92</v>
      </c>
      <c r="K270" s="36"/>
    </row>
    <row r="271" spans="1:76" x14ac:dyDescent="0.25">
      <c r="A271" s="31"/>
      <c r="C271" s="34" t="s">
        <v>496</v>
      </c>
      <c r="D271" s="33" t="s">
        <v>497</v>
      </c>
      <c r="F271" s="35">
        <v>4.5</v>
      </c>
      <c r="K271" s="36"/>
    </row>
    <row r="272" spans="1:76" x14ac:dyDescent="0.25">
      <c r="A272" s="31"/>
      <c r="C272" s="34" t="s">
        <v>498</v>
      </c>
      <c r="D272" s="33" t="s">
        <v>499</v>
      </c>
      <c r="F272" s="35">
        <v>6.2</v>
      </c>
      <c r="K272" s="36"/>
    </row>
    <row r="273" spans="1:76" x14ac:dyDescent="0.25">
      <c r="A273" s="31"/>
      <c r="C273" s="34" t="s">
        <v>500</v>
      </c>
      <c r="D273" s="33" t="s">
        <v>501</v>
      </c>
      <c r="F273" s="35">
        <v>3.65</v>
      </c>
      <c r="K273" s="36"/>
    </row>
    <row r="274" spans="1:76" ht="38.25" x14ac:dyDescent="0.25">
      <c r="A274" s="31"/>
      <c r="B274" s="37" t="s">
        <v>85</v>
      </c>
      <c r="C274" s="248" t="s">
        <v>502</v>
      </c>
      <c r="D274" s="249"/>
      <c r="E274" s="249"/>
      <c r="F274" s="249"/>
      <c r="G274" s="249"/>
      <c r="H274" s="249"/>
      <c r="I274" s="249"/>
      <c r="J274" s="249"/>
      <c r="K274" s="250"/>
      <c r="BX274" s="32" t="s">
        <v>502</v>
      </c>
    </row>
    <row r="275" spans="1:76" x14ac:dyDescent="0.25">
      <c r="A275" s="38" t="s">
        <v>503</v>
      </c>
      <c r="B275" s="39" t="s">
        <v>504</v>
      </c>
      <c r="C275" s="251" t="s">
        <v>505</v>
      </c>
      <c r="D275" s="252"/>
      <c r="E275" s="39" t="s">
        <v>69</v>
      </c>
      <c r="F275" s="41">
        <v>18.133500000000002</v>
      </c>
      <c r="G275" s="41">
        <v>0</v>
      </c>
      <c r="H275" s="41">
        <f>ROUND(F275*AO275,2)</f>
        <v>0</v>
      </c>
      <c r="I275" s="41">
        <f>ROUND(F275*AP275,2)</f>
        <v>0</v>
      </c>
      <c r="J275" s="41">
        <f>ROUND(F275*G275,2)</f>
        <v>0</v>
      </c>
      <c r="K275" s="42" t="s">
        <v>70</v>
      </c>
      <c r="Z275" s="28">
        <f>ROUND(IF(AQ275="5",BJ275,0),2)</f>
        <v>0</v>
      </c>
      <c r="AB275" s="28">
        <f>ROUND(IF(AQ275="1",BH275,0),2)</f>
        <v>0</v>
      </c>
      <c r="AC275" s="28">
        <f>ROUND(IF(AQ275="1",BI275,0),2)</f>
        <v>0</v>
      </c>
      <c r="AD275" s="28">
        <f>ROUND(IF(AQ275="7",BH275,0),2)</f>
        <v>0</v>
      </c>
      <c r="AE275" s="28">
        <f>ROUND(IF(AQ275="7",BI275,0),2)</f>
        <v>0</v>
      </c>
      <c r="AF275" s="28">
        <f>ROUND(IF(AQ275="2",BH275,0),2)</f>
        <v>0</v>
      </c>
      <c r="AG275" s="28">
        <f>ROUND(IF(AQ275="2",BI275,0),2)</f>
        <v>0</v>
      </c>
      <c r="AH275" s="28">
        <f>ROUND(IF(AQ275="0",BJ275,0),2)</f>
        <v>0</v>
      </c>
      <c r="AI275" s="10" t="s">
        <v>409</v>
      </c>
      <c r="AJ275" s="41">
        <f>IF(AN275=0,J275,0)</f>
        <v>0</v>
      </c>
      <c r="AK275" s="41">
        <f>IF(AN275=12,J275,0)</f>
        <v>0</v>
      </c>
      <c r="AL275" s="41">
        <f>IF(AN275=21,J275,0)</f>
        <v>0</v>
      </c>
      <c r="AN275" s="28">
        <v>21</v>
      </c>
      <c r="AO275" s="28">
        <f>G275*1</f>
        <v>0</v>
      </c>
      <c r="AP275" s="28">
        <f>G275*(1-1)</f>
        <v>0</v>
      </c>
      <c r="AQ275" s="43" t="s">
        <v>111</v>
      </c>
      <c r="AV275" s="28">
        <f>ROUND(AW275+AX275,2)</f>
        <v>0</v>
      </c>
      <c r="AW275" s="28">
        <f>ROUND(F275*AO275,2)</f>
        <v>0</v>
      </c>
      <c r="AX275" s="28">
        <f>ROUND(F275*AP275,2)</f>
        <v>0</v>
      </c>
      <c r="AY275" s="30" t="s">
        <v>188</v>
      </c>
      <c r="AZ275" s="30" t="s">
        <v>451</v>
      </c>
      <c r="BA275" s="10" t="s">
        <v>415</v>
      </c>
      <c r="BC275" s="28">
        <f>AW275+AX275</f>
        <v>0</v>
      </c>
      <c r="BD275" s="28">
        <f>G275/(100-BE275)*100</f>
        <v>0</v>
      </c>
      <c r="BE275" s="28">
        <v>0</v>
      </c>
      <c r="BF275" s="28">
        <f>275</f>
        <v>275</v>
      </c>
      <c r="BH275" s="41">
        <f>F275*AO275</f>
        <v>0</v>
      </c>
      <c r="BI275" s="41">
        <f>F275*AP275</f>
        <v>0</v>
      </c>
      <c r="BJ275" s="41">
        <f>F275*G275</f>
        <v>0</v>
      </c>
      <c r="BK275" s="41"/>
      <c r="BL275" s="28">
        <v>762</v>
      </c>
      <c r="BW275" s="28">
        <v>21</v>
      </c>
      <c r="BX275" s="40" t="s">
        <v>505</v>
      </c>
    </row>
    <row r="276" spans="1:76" x14ac:dyDescent="0.25">
      <c r="A276" s="31"/>
      <c r="C276" s="34" t="s">
        <v>494</v>
      </c>
      <c r="D276" s="33" t="s">
        <v>495</v>
      </c>
      <c r="F276" s="35">
        <v>2.92</v>
      </c>
      <c r="K276" s="36"/>
    </row>
    <row r="277" spans="1:76" x14ac:dyDescent="0.25">
      <c r="A277" s="31"/>
      <c r="C277" s="34" t="s">
        <v>496</v>
      </c>
      <c r="D277" s="33" t="s">
        <v>497</v>
      </c>
      <c r="F277" s="35">
        <v>4.5</v>
      </c>
      <c r="K277" s="36"/>
    </row>
    <row r="278" spans="1:76" x14ac:dyDescent="0.25">
      <c r="A278" s="31"/>
      <c r="C278" s="34" t="s">
        <v>498</v>
      </c>
      <c r="D278" s="33" t="s">
        <v>499</v>
      </c>
      <c r="F278" s="35">
        <v>6.2</v>
      </c>
      <c r="K278" s="36"/>
    </row>
    <row r="279" spans="1:76" x14ac:dyDescent="0.25">
      <c r="A279" s="31"/>
      <c r="C279" s="34" t="s">
        <v>500</v>
      </c>
      <c r="D279" s="33" t="s">
        <v>501</v>
      </c>
      <c r="F279" s="35">
        <v>3.65</v>
      </c>
      <c r="K279" s="36"/>
    </row>
    <row r="280" spans="1:76" x14ac:dyDescent="0.25">
      <c r="A280" s="31"/>
      <c r="C280" s="34" t="s">
        <v>506</v>
      </c>
      <c r="D280" s="33" t="s">
        <v>52</v>
      </c>
      <c r="F280" s="35">
        <v>0.86350000000000005</v>
      </c>
      <c r="K280" s="36"/>
    </row>
    <row r="281" spans="1:76" ht="25.5" x14ac:dyDescent="0.25">
      <c r="A281" s="45"/>
      <c r="B281" s="74" t="s">
        <v>85</v>
      </c>
      <c r="C281" s="263" t="s">
        <v>507</v>
      </c>
      <c r="D281" s="264"/>
      <c r="E281" s="264"/>
      <c r="F281" s="264"/>
      <c r="G281" s="264"/>
      <c r="H281" s="264"/>
      <c r="I281" s="264"/>
      <c r="J281" s="264"/>
      <c r="K281" s="265"/>
      <c r="BX281" s="44" t="s">
        <v>507</v>
      </c>
    </row>
    <row r="282" spans="1:76" x14ac:dyDescent="0.25">
      <c r="A282" s="50" t="s">
        <v>508</v>
      </c>
      <c r="B282" s="51" t="s">
        <v>228</v>
      </c>
      <c r="C282" s="253" t="s">
        <v>229</v>
      </c>
      <c r="D282" s="254"/>
      <c r="E282" s="51" t="s">
        <v>69</v>
      </c>
      <c r="F282" s="52">
        <v>3815.7487599999999</v>
      </c>
      <c r="G282" s="52">
        <v>0</v>
      </c>
      <c r="H282" s="52">
        <f>ROUND(F282*AO282,2)</f>
        <v>0</v>
      </c>
      <c r="I282" s="52">
        <f>ROUND(F282*AP282,2)</f>
        <v>0</v>
      </c>
      <c r="J282" s="52">
        <f>ROUND(F282*G282,2)</f>
        <v>0</v>
      </c>
      <c r="K282" s="53" t="s">
        <v>70</v>
      </c>
      <c r="Z282" s="28">
        <f>ROUND(IF(AQ282="5",BJ282,0),2)</f>
        <v>0</v>
      </c>
      <c r="AB282" s="28">
        <f>ROUND(IF(AQ282="1",BH282,0),2)</f>
        <v>0</v>
      </c>
      <c r="AC282" s="28">
        <f>ROUND(IF(AQ282="1",BI282,0),2)</f>
        <v>0</v>
      </c>
      <c r="AD282" s="28">
        <f>ROUND(IF(AQ282="7",BH282,0),2)</f>
        <v>0</v>
      </c>
      <c r="AE282" s="28">
        <f>ROUND(IF(AQ282="7",BI282,0),2)</f>
        <v>0</v>
      </c>
      <c r="AF282" s="28">
        <f>ROUND(IF(AQ282="2",BH282,0),2)</f>
        <v>0</v>
      </c>
      <c r="AG282" s="28">
        <f>ROUND(IF(AQ282="2",BI282,0),2)</f>
        <v>0</v>
      </c>
      <c r="AH282" s="28">
        <f>ROUND(IF(AQ282="0",BJ282,0),2)</f>
        <v>0</v>
      </c>
      <c r="AI282" s="10" t="s">
        <v>409</v>
      </c>
      <c r="AJ282" s="28">
        <f>IF(AN282=0,J282,0)</f>
        <v>0</v>
      </c>
      <c r="AK282" s="28">
        <f>IF(AN282=12,J282,0)</f>
        <v>0</v>
      </c>
      <c r="AL282" s="28">
        <f>IF(AN282=21,J282,0)</f>
        <v>0</v>
      </c>
      <c r="AN282" s="28">
        <v>21</v>
      </c>
      <c r="AO282" s="28">
        <f>G282*0.735955052</f>
        <v>0</v>
      </c>
      <c r="AP282" s="28">
        <f>G282*(1-0.735955052)</f>
        <v>0</v>
      </c>
      <c r="AQ282" s="30" t="s">
        <v>111</v>
      </c>
      <c r="AV282" s="28">
        <f>ROUND(AW282+AX282,2)</f>
        <v>0</v>
      </c>
      <c r="AW282" s="28">
        <f>ROUND(F282*AO282,2)</f>
        <v>0</v>
      </c>
      <c r="AX282" s="28">
        <f>ROUND(F282*AP282,2)</f>
        <v>0</v>
      </c>
      <c r="AY282" s="30" t="s">
        <v>188</v>
      </c>
      <c r="AZ282" s="30" t="s">
        <v>451</v>
      </c>
      <c r="BA282" s="10" t="s">
        <v>415</v>
      </c>
      <c r="BC282" s="28">
        <f>AW282+AX282</f>
        <v>0</v>
      </c>
      <c r="BD282" s="28">
        <f>G282/(100-BE282)*100</f>
        <v>0</v>
      </c>
      <c r="BE282" s="28">
        <v>0</v>
      </c>
      <c r="BF282" s="28">
        <f>282</f>
        <v>282</v>
      </c>
      <c r="BH282" s="28">
        <f>F282*AO282</f>
        <v>0</v>
      </c>
      <c r="BI282" s="28">
        <f>F282*AP282</f>
        <v>0</v>
      </c>
      <c r="BJ282" s="28">
        <f>F282*G282</f>
        <v>0</v>
      </c>
      <c r="BK282" s="28"/>
      <c r="BL282" s="28">
        <v>762</v>
      </c>
      <c r="BW282" s="28">
        <v>21</v>
      </c>
      <c r="BX282" s="4" t="s">
        <v>229</v>
      </c>
    </row>
    <row r="283" spans="1:76" x14ac:dyDescent="0.25">
      <c r="A283" s="54"/>
      <c r="B283" s="55"/>
      <c r="C283" s="56" t="s">
        <v>509</v>
      </c>
      <c r="D283" s="57" t="s">
        <v>52</v>
      </c>
      <c r="E283" s="55"/>
      <c r="F283" s="58">
        <v>58.185600000000001</v>
      </c>
      <c r="G283" s="55"/>
      <c r="H283" s="55"/>
      <c r="I283" s="55"/>
      <c r="J283" s="55"/>
      <c r="K283" s="59"/>
    </row>
    <row r="284" spans="1:76" x14ac:dyDescent="0.25">
      <c r="A284" s="54"/>
      <c r="B284" s="55"/>
      <c r="C284" s="56" t="s">
        <v>510</v>
      </c>
      <c r="D284" s="57" t="s">
        <v>423</v>
      </c>
      <c r="E284" s="55"/>
      <c r="F284" s="58">
        <v>3131.788</v>
      </c>
      <c r="G284" s="55"/>
      <c r="H284" s="55"/>
      <c r="I284" s="55"/>
      <c r="J284" s="55"/>
      <c r="K284" s="59"/>
    </row>
    <row r="285" spans="1:76" x14ac:dyDescent="0.25">
      <c r="A285" s="54"/>
      <c r="B285" s="55"/>
      <c r="C285" s="56" t="s">
        <v>511</v>
      </c>
      <c r="D285" s="57" t="s">
        <v>461</v>
      </c>
      <c r="E285" s="55"/>
      <c r="F285" s="58">
        <v>104.33280000000001</v>
      </c>
      <c r="G285" s="55"/>
      <c r="H285" s="55"/>
      <c r="I285" s="55"/>
      <c r="J285" s="55"/>
      <c r="K285" s="59"/>
    </row>
    <row r="286" spans="1:76" x14ac:dyDescent="0.25">
      <c r="A286" s="54"/>
      <c r="B286" s="55"/>
      <c r="C286" s="56" t="s">
        <v>232</v>
      </c>
      <c r="D286" s="57" t="s">
        <v>207</v>
      </c>
      <c r="E286" s="55"/>
      <c r="F286" s="58">
        <v>8.5920000000000005</v>
      </c>
      <c r="G286" s="55"/>
      <c r="H286" s="55"/>
      <c r="I286" s="55"/>
      <c r="J286" s="55"/>
      <c r="K286" s="59"/>
    </row>
    <row r="287" spans="1:76" x14ac:dyDescent="0.25">
      <c r="A287" s="54"/>
      <c r="B287" s="55"/>
      <c r="C287" s="56" t="s">
        <v>233</v>
      </c>
      <c r="D287" s="57" t="s">
        <v>209</v>
      </c>
      <c r="E287" s="55"/>
      <c r="F287" s="58">
        <v>3.3119999999999998</v>
      </c>
      <c r="G287" s="55"/>
      <c r="H287" s="55"/>
      <c r="I287" s="55"/>
      <c r="J287" s="55"/>
      <c r="K287" s="59"/>
    </row>
    <row r="288" spans="1:76" x14ac:dyDescent="0.25">
      <c r="A288" s="54"/>
      <c r="B288" s="55"/>
      <c r="C288" s="56" t="s">
        <v>512</v>
      </c>
      <c r="D288" s="57" t="s">
        <v>454</v>
      </c>
      <c r="E288" s="55"/>
      <c r="F288" s="58">
        <v>11.832000000000001</v>
      </c>
      <c r="G288" s="55"/>
      <c r="H288" s="55"/>
      <c r="I288" s="55"/>
      <c r="J288" s="55"/>
      <c r="K288" s="59"/>
    </row>
    <row r="289" spans="1:76" x14ac:dyDescent="0.25">
      <c r="A289" s="54"/>
      <c r="B289" s="55"/>
      <c r="C289" s="56" t="s">
        <v>513</v>
      </c>
      <c r="D289" s="57" t="s">
        <v>52</v>
      </c>
      <c r="E289" s="55"/>
      <c r="F289" s="58">
        <v>497.70636000000002</v>
      </c>
      <c r="G289" s="55"/>
      <c r="H289" s="55"/>
      <c r="I289" s="55"/>
      <c r="J289" s="55"/>
      <c r="K289" s="59"/>
    </row>
    <row r="290" spans="1:76" ht="38.25" x14ac:dyDescent="0.25">
      <c r="A290" s="60"/>
      <c r="B290" s="61" t="s">
        <v>85</v>
      </c>
      <c r="C290" s="255" t="s">
        <v>235</v>
      </c>
      <c r="D290" s="256"/>
      <c r="E290" s="256"/>
      <c r="F290" s="256"/>
      <c r="G290" s="256"/>
      <c r="H290" s="256"/>
      <c r="I290" s="256"/>
      <c r="J290" s="256"/>
      <c r="K290" s="257"/>
      <c r="BX290" s="32" t="s">
        <v>235</v>
      </c>
    </row>
    <row r="291" spans="1:76" x14ac:dyDescent="0.25">
      <c r="A291" s="62" t="s">
        <v>514</v>
      </c>
      <c r="B291" s="63" t="s">
        <v>237</v>
      </c>
      <c r="C291" s="258" t="s">
        <v>238</v>
      </c>
      <c r="D291" s="259"/>
      <c r="E291" s="63" t="s">
        <v>214</v>
      </c>
      <c r="F291" s="64">
        <v>39.726579999999998</v>
      </c>
      <c r="G291" s="64">
        <v>0</v>
      </c>
      <c r="H291" s="64">
        <f>ROUND(F291*AO291,2)</f>
        <v>0</v>
      </c>
      <c r="I291" s="64">
        <f>ROUND(F291*AP291,2)</f>
        <v>0</v>
      </c>
      <c r="J291" s="64">
        <f>ROUND(F291*G291,2)</f>
        <v>0</v>
      </c>
      <c r="K291" s="65" t="s">
        <v>70</v>
      </c>
      <c r="Z291" s="28">
        <f>ROUND(IF(AQ291="5",BJ291,0),2)</f>
        <v>0</v>
      </c>
      <c r="AB291" s="28">
        <f>ROUND(IF(AQ291="1",BH291,0),2)</f>
        <v>0</v>
      </c>
      <c r="AC291" s="28">
        <f>ROUND(IF(AQ291="1",BI291,0),2)</f>
        <v>0</v>
      </c>
      <c r="AD291" s="28">
        <f>ROUND(IF(AQ291="7",BH291,0),2)</f>
        <v>0</v>
      </c>
      <c r="AE291" s="28">
        <f>ROUND(IF(AQ291="7",BI291,0),2)</f>
        <v>0</v>
      </c>
      <c r="AF291" s="28">
        <f>ROUND(IF(AQ291="2",BH291,0),2)</f>
        <v>0</v>
      </c>
      <c r="AG291" s="28">
        <f>ROUND(IF(AQ291="2",BI291,0),2)</f>
        <v>0</v>
      </c>
      <c r="AH291" s="28">
        <f>ROUND(IF(AQ291="0",BJ291,0),2)</f>
        <v>0</v>
      </c>
      <c r="AI291" s="10" t="s">
        <v>409</v>
      </c>
      <c r="AJ291" s="28">
        <f>IF(AN291=0,J291,0)</f>
        <v>0</v>
      </c>
      <c r="AK291" s="28">
        <f>IF(AN291=12,J291,0)</f>
        <v>0</v>
      </c>
      <c r="AL291" s="28">
        <f>IF(AN291=21,J291,0)</f>
        <v>0</v>
      </c>
      <c r="AN291" s="28">
        <v>21</v>
      </c>
      <c r="AO291" s="28">
        <f>G291*1</f>
        <v>0</v>
      </c>
      <c r="AP291" s="28">
        <f>G291*(1-1)</f>
        <v>0</v>
      </c>
      <c r="AQ291" s="30" t="s">
        <v>111</v>
      </c>
      <c r="AV291" s="28">
        <f>ROUND(AW291+AX291,2)</f>
        <v>0</v>
      </c>
      <c r="AW291" s="28">
        <f>ROUND(F291*AO291,2)</f>
        <v>0</v>
      </c>
      <c r="AX291" s="28">
        <f>ROUND(F291*AP291,2)</f>
        <v>0</v>
      </c>
      <c r="AY291" s="30" t="s">
        <v>188</v>
      </c>
      <c r="AZ291" s="30" t="s">
        <v>451</v>
      </c>
      <c r="BA291" s="10" t="s">
        <v>415</v>
      </c>
      <c r="BC291" s="28">
        <f>AW291+AX291</f>
        <v>0</v>
      </c>
      <c r="BD291" s="28">
        <f>G291/(100-BE291)*100</f>
        <v>0</v>
      </c>
      <c r="BE291" s="28">
        <v>0</v>
      </c>
      <c r="BF291" s="28">
        <f>291</f>
        <v>291</v>
      </c>
      <c r="BH291" s="28">
        <f>F291*AO291</f>
        <v>0</v>
      </c>
      <c r="BI291" s="28">
        <f>F291*AP291</f>
        <v>0</v>
      </c>
      <c r="BJ291" s="28">
        <f>F291*G291</f>
        <v>0</v>
      </c>
      <c r="BK291" s="28"/>
      <c r="BL291" s="28">
        <v>762</v>
      </c>
      <c r="BW291" s="28">
        <v>21</v>
      </c>
      <c r="BX291" s="4" t="s">
        <v>238</v>
      </c>
    </row>
    <row r="292" spans="1:76" x14ac:dyDescent="0.25">
      <c r="A292" s="66"/>
      <c r="B292" s="67"/>
      <c r="C292" s="68" t="s">
        <v>515</v>
      </c>
      <c r="D292" s="69" t="s">
        <v>207</v>
      </c>
      <c r="E292" s="67"/>
      <c r="F292" s="70">
        <v>8.5919999999999996E-2</v>
      </c>
      <c r="G292" s="67"/>
      <c r="H292" s="67"/>
      <c r="I292" s="67"/>
      <c r="J292" s="67"/>
      <c r="K292" s="71"/>
    </row>
    <row r="293" spans="1:76" x14ac:dyDescent="0.25">
      <c r="A293" s="66"/>
      <c r="B293" s="67"/>
      <c r="C293" s="68" t="s">
        <v>516</v>
      </c>
      <c r="D293" s="69" t="s">
        <v>209</v>
      </c>
      <c r="E293" s="67"/>
      <c r="F293" s="70">
        <v>3.3119999999999997E-2</v>
      </c>
      <c r="G293" s="67"/>
      <c r="H293" s="67"/>
      <c r="I293" s="67"/>
      <c r="J293" s="67"/>
      <c r="K293" s="71"/>
    </row>
    <row r="294" spans="1:76" x14ac:dyDescent="0.25">
      <c r="A294" s="66"/>
      <c r="B294" s="67"/>
      <c r="C294" s="68" t="s">
        <v>517</v>
      </c>
      <c r="D294" s="69" t="s">
        <v>454</v>
      </c>
      <c r="E294" s="67"/>
      <c r="F294" s="70">
        <v>0.11831999999999999</v>
      </c>
      <c r="G294" s="67"/>
      <c r="H294" s="67"/>
      <c r="I294" s="67"/>
      <c r="J294" s="67"/>
      <c r="K294" s="71"/>
    </row>
    <row r="295" spans="1:76" x14ac:dyDescent="0.25">
      <c r="A295" s="66"/>
      <c r="B295" s="67"/>
      <c r="C295" s="68" t="s">
        <v>518</v>
      </c>
      <c r="D295" s="69" t="s">
        <v>461</v>
      </c>
      <c r="E295" s="67"/>
      <c r="F295" s="70">
        <v>0.69887999999999995</v>
      </c>
      <c r="G295" s="67"/>
      <c r="H295" s="67"/>
      <c r="I295" s="67"/>
      <c r="J295" s="67"/>
      <c r="K295" s="71"/>
    </row>
    <row r="296" spans="1:76" x14ac:dyDescent="0.25">
      <c r="A296" s="66"/>
      <c r="B296" s="67"/>
      <c r="C296" s="68" t="s">
        <v>519</v>
      </c>
      <c r="D296" s="69" t="s">
        <v>423</v>
      </c>
      <c r="E296" s="67"/>
      <c r="F296" s="70">
        <v>34.164960000000001</v>
      </c>
      <c r="G296" s="67"/>
      <c r="H296" s="67"/>
      <c r="I296" s="67"/>
      <c r="J296" s="67"/>
      <c r="K296" s="71"/>
    </row>
    <row r="297" spans="1:76" x14ac:dyDescent="0.25">
      <c r="A297" s="66"/>
      <c r="B297" s="67"/>
      <c r="C297" s="68" t="s">
        <v>520</v>
      </c>
      <c r="D297" s="69" t="s">
        <v>461</v>
      </c>
      <c r="E297" s="67"/>
      <c r="F297" s="70">
        <v>1.13818</v>
      </c>
      <c r="G297" s="67"/>
      <c r="H297" s="67"/>
      <c r="I297" s="67"/>
      <c r="J297" s="67"/>
      <c r="K297" s="71"/>
    </row>
    <row r="298" spans="1:76" x14ac:dyDescent="0.25">
      <c r="A298" s="66"/>
      <c r="B298" s="67"/>
      <c r="C298" s="68" t="s">
        <v>481</v>
      </c>
      <c r="D298" s="69" t="s">
        <v>52</v>
      </c>
      <c r="E298" s="67"/>
      <c r="F298" s="70">
        <v>1.16371</v>
      </c>
      <c r="G298" s="67"/>
      <c r="H298" s="67"/>
      <c r="I298" s="67"/>
      <c r="J298" s="67"/>
      <c r="K298" s="71"/>
    </row>
    <row r="299" spans="1:76" x14ac:dyDescent="0.25">
      <c r="A299" s="66"/>
      <c r="B299" s="67"/>
      <c r="C299" s="68" t="s">
        <v>521</v>
      </c>
      <c r="D299" s="69" t="s">
        <v>495</v>
      </c>
      <c r="E299" s="67"/>
      <c r="F299" s="70">
        <v>7.2999999999999995E-2</v>
      </c>
      <c r="G299" s="67"/>
      <c r="H299" s="67"/>
      <c r="I299" s="67"/>
      <c r="J299" s="67"/>
      <c r="K299" s="71"/>
    </row>
    <row r="300" spans="1:76" x14ac:dyDescent="0.25">
      <c r="A300" s="66"/>
      <c r="B300" s="67"/>
      <c r="C300" s="68" t="s">
        <v>522</v>
      </c>
      <c r="D300" s="69" t="s">
        <v>497</v>
      </c>
      <c r="E300" s="67"/>
      <c r="F300" s="70">
        <v>0.1125</v>
      </c>
      <c r="G300" s="67"/>
      <c r="H300" s="67"/>
      <c r="I300" s="67"/>
      <c r="J300" s="67"/>
      <c r="K300" s="71"/>
    </row>
    <row r="301" spans="1:76" x14ac:dyDescent="0.25">
      <c r="A301" s="66"/>
      <c r="B301" s="67"/>
      <c r="C301" s="68" t="s">
        <v>523</v>
      </c>
      <c r="D301" s="69" t="s">
        <v>499</v>
      </c>
      <c r="E301" s="67"/>
      <c r="F301" s="70">
        <v>0.155</v>
      </c>
      <c r="G301" s="67"/>
      <c r="H301" s="67"/>
      <c r="I301" s="67"/>
      <c r="J301" s="67"/>
      <c r="K301" s="71"/>
    </row>
    <row r="302" spans="1:76" x14ac:dyDescent="0.25">
      <c r="A302" s="66"/>
      <c r="B302" s="67"/>
      <c r="C302" s="68" t="s">
        <v>524</v>
      </c>
      <c r="D302" s="69" t="s">
        <v>501</v>
      </c>
      <c r="E302" s="67"/>
      <c r="F302" s="70">
        <v>9.1249999999999998E-2</v>
      </c>
      <c r="G302" s="67"/>
      <c r="H302" s="67"/>
      <c r="I302" s="67"/>
      <c r="J302" s="67"/>
      <c r="K302" s="71"/>
    </row>
    <row r="303" spans="1:76" x14ac:dyDescent="0.25">
      <c r="A303" s="66"/>
      <c r="B303" s="67"/>
      <c r="C303" s="68" t="s">
        <v>525</v>
      </c>
      <c r="D303" s="69" t="s">
        <v>52</v>
      </c>
      <c r="E303" s="67"/>
      <c r="F303" s="70">
        <v>1.89174</v>
      </c>
      <c r="G303" s="67"/>
      <c r="H303" s="67"/>
      <c r="I303" s="67"/>
      <c r="J303" s="67"/>
      <c r="K303" s="71"/>
    </row>
    <row r="304" spans="1:76" ht="38.25" x14ac:dyDescent="0.25">
      <c r="A304" s="72"/>
      <c r="B304" s="73" t="s">
        <v>85</v>
      </c>
      <c r="C304" s="260" t="s">
        <v>241</v>
      </c>
      <c r="D304" s="261"/>
      <c r="E304" s="261"/>
      <c r="F304" s="261"/>
      <c r="G304" s="261"/>
      <c r="H304" s="261"/>
      <c r="I304" s="261"/>
      <c r="J304" s="261"/>
      <c r="K304" s="262"/>
      <c r="BX304" s="32" t="s">
        <v>241</v>
      </c>
    </row>
    <row r="305" spans="1:76" x14ac:dyDescent="0.25">
      <c r="A305" s="2" t="s">
        <v>526</v>
      </c>
      <c r="B305" s="3" t="s">
        <v>527</v>
      </c>
      <c r="C305" s="230" t="s">
        <v>244</v>
      </c>
      <c r="D305" s="225"/>
      <c r="E305" s="3" t="s">
        <v>380</v>
      </c>
      <c r="F305" s="28">
        <v>9093.0400000000009</v>
      </c>
      <c r="G305" s="28">
        <v>0</v>
      </c>
      <c r="H305" s="28">
        <f>ROUND(F305*AO305,2)</f>
        <v>0</v>
      </c>
      <c r="I305" s="28">
        <f>ROUND(F305*AP305,2)</f>
        <v>0</v>
      </c>
      <c r="J305" s="28">
        <f>ROUND(F305*G305,2)</f>
        <v>0</v>
      </c>
      <c r="K305" s="29" t="s">
        <v>70</v>
      </c>
      <c r="Z305" s="28">
        <f>ROUND(IF(AQ305="5",BJ305,0),2)</f>
        <v>0</v>
      </c>
      <c r="AB305" s="28">
        <f>ROUND(IF(AQ305="1",BH305,0),2)</f>
        <v>0</v>
      </c>
      <c r="AC305" s="28">
        <f>ROUND(IF(AQ305="1",BI305,0),2)</f>
        <v>0</v>
      </c>
      <c r="AD305" s="28">
        <f>ROUND(IF(AQ305="7",BH305,0),2)</f>
        <v>0</v>
      </c>
      <c r="AE305" s="28">
        <f>ROUND(IF(AQ305="7",BI305,0),2)</f>
        <v>0</v>
      </c>
      <c r="AF305" s="28">
        <f>ROUND(IF(AQ305="2",BH305,0),2)</f>
        <v>0</v>
      </c>
      <c r="AG305" s="28">
        <f>ROUND(IF(AQ305="2",BI305,0),2)</f>
        <v>0</v>
      </c>
      <c r="AH305" s="28">
        <f>ROUND(IF(AQ305="0",BJ305,0),2)</f>
        <v>0</v>
      </c>
      <c r="AI305" s="10" t="s">
        <v>409</v>
      </c>
      <c r="AJ305" s="28">
        <f>IF(AN305=0,J305,0)</f>
        <v>0</v>
      </c>
      <c r="AK305" s="28">
        <f>IF(AN305=12,J305,0)</f>
        <v>0</v>
      </c>
      <c r="AL305" s="28">
        <f>IF(AN305=21,J305,0)</f>
        <v>0</v>
      </c>
      <c r="AN305" s="28">
        <v>21</v>
      </c>
      <c r="AO305" s="28">
        <f>G305*0</f>
        <v>0</v>
      </c>
      <c r="AP305" s="28">
        <f>G305*(1-0)</f>
        <v>0</v>
      </c>
      <c r="AQ305" s="30" t="s">
        <v>91</v>
      </c>
      <c r="AV305" s="28">
        <f>ROUND(AW305+AX305,2)</f>
        <v>0</v>
      </c>
      <c r="AW305" s="28">
        <f>ROUND(F305*AO305,2)</f>
        <v>0</v>
      </c>
      <c r="AX305" s="28">
        <f>ROUND(F305*AP305,2)</f>
        <v>0</v>
      </c>
      <c r="AY305" s="30" t="s">
        <v>188</v>
      </c>
      <c r="AZ305" s="30" t="s">
        <v>451</v>
      </c>
      <c r="BA305" s="10" t="s">
        <v>415</v>
      </c>
      <c r="BC305" s="28">
        <f>AW305+AX305</f>
        <v>0</v>
      </c>
      <c r="BD305" s="28">
        <f>G305/(100-BE305)*100</f>
        <v>0</v>
      </c>
      <c r="BE305" s="28">
        <v>0</v>
      </c>
      <c r="BF305" s="28">
        <f>305</f>
        <v>305</v>
      </c>
      <c r="BH305" s="28">
        <f>F305*AO305</f>
        <v>0</v>
      </c>
      <c r="BI305" s="28">
        <f>F305*AP305</f>
        <v>0</v>
      </c>
      <c r="BJ305" s="28">
        <f>F305*G305</f>
        <v>0</v>
      </c>
      <c r="BK305" s="28"/>
      <c r="BL305" s="28">
        <v>762</v>
      </c>
      <c r="BW305" s="28">
        <v>21</v>
      </c>
      <c r="BX305" s="4" t="s">
        <v>244</v>
      </c>
    </row>
    <row r="306" spans="1:76" x14ac:dyDescent="0.25">
      <c r="A306" s="31"/>
      <c r="C306" s="34" t="s">
        <v>528</v>
      </c>
      <c r="D306" s="33" t="s">
        <v>52</v>
      </c>
      <c r="F306" s="35">
        <v>9093.0400000000009</v>
      </c>
      <c r="K306" s="36"/>
    </row>
    <row r="307" spans="1:76" x14ac:dyDescent="0.25">
      <c r="A307" s="24" t="s">
        <v>52</v>
      </c>
      <c r="B307" s="25" t="s">
        <v>245</v>
      </c>
      <c r="C307" s="246" t="s">
        <v>246</v>
      </c>
      <c r="D307" s="247"/>
      <c r="E307" s="26" t="s">
        <v>33</v>
      </c>
      <c r="F307" s="26" t="s">
        <v>33</v>
      </c>
      <c r="G307" s="26" t="s">
        <v>33</v>
      </c>
      <c r="H307" s="1">
        <f>SUM(H308:H394)</f>
        <v>0</v>
      </c>
      <c r="I307" s="1">
        <f>SUM(I308:I394)</f>
        <v>0</v>
      </c>
      <c r="J307" s="1">
        <f>SUM(J308:J394)</f>
        <v>0</v>
      </c>
      <c r="K307" s="27" t="s">
        <v>52</v>
      </c>
      <c r="AI307" s="10" t="s">
        <v>409</v>
      </c>
      <c r="AS307" s="1">
        <f>SUM(AJ308:AJ394)</f>
        <v>0</v>
      </c>
      <c r="AT307" s="1">
        <f>SUM(AK308:AK394)</f>
        <v>0</v>
      </c>
      <c r="AU307" s="1">
        <f>SUM(AL308:AL394)</f>
        <v>0</v>
      </c>
    </row>
    <row r="308" spans="1:76" x14ac:dyDescent="0.25">
      <c r="A308" s="2" t="s">
        <v>529</v>
      </c>
      <c r="B308" s="3" t="s">
        <v>248</v>
      </c>
      <c r="C308" s="230" t="s">
        <v>249</v>
      </c>
      <c r="D308" s="225"/>
      <c r="E308" s="3" t="s">
        <v>205</v>
      </c>
      <c r="F308" s="28">
        <v>176.23</v>
      </c>
      <c r="G308" s="28">
        <v>0</v>
      </c>
      <c r="H308" s="28">
        <f>ROUND(F308*AO308,2)</f>
        <v>0</v>
      </c>
      <c r="I308" s="28">
        <f>ROUND(F308*AP308,2)</f>
        <v>0</v>
      </c>
      <c r="J308" s="28">
        <f>ROUND(F308*G308,2)</f>
        <v>0</v>
      </c>
      <c r="K308" s="29" t="s">
        <v>70</v>
      </c>
      <c r="Z308" s="28">
        <f>ROUND(IF(AQ308="5",BJ308,0),2)</f>
        <v>0</v>
      </c>
      <c r="AB308" s="28">
        <f>ROUND(IF(AQ308="1",BH308,0),2)</f>
        <v>0</v>
      </c>
      <c r="AC308" s="28">
        <f>ROUND(IF(AQ308="1",BI308,0),2)</f>
        <v>0</v>
      </c>
      <c r="AD308" s="28">
        <f>ROUND(IF(AQ308="7",BH308,0),2)</f>
        <v>0</v>
      </c>
      <c r="AE308" s="28">
        <f>ROUND(IF(AQ308="7",BI308,0),2)</f>
        <v>0</v>
      </c>
      <c r="AF308" s="28">
        <f>ROUND(IF(AQ308="2",BH308,0),2)</f>
        <v>0</v>
      </c>
      <c r="AG308" s="28">
        <f>ROUND(IF(AQ308="2",BI308,0),2)</f>
        <v>0</v>
      </c>
      <c r="AH308" s="28">
        <f>ROUND(IF(AQ308="0",BJ308,0),2)</f>
        <v>0</v>
      </c>
      <c r="AI308" s="10" t="s">
        <v>409</v>
      </c>
      <c r="AJ308" s="28">
        <f>IF(AN308=0,J308,0)</f>
        <v>0</v>
      </c>
      <c r="AK308" s="28">
        <f>IF(AN308=12,J308,0)</f>
        <v>0</v>
      </c>
      <c r="AL308" s="28">
        <f>IF(AN308=21,J308,0)</f>
        <v>0</v>
      </c>
      <c r="AN308" s="28">
        <v>21</v>
      </c>
      <c r="AO308" s="28">
        <f>G308*0</f>
        <v>0</v>
      </c>
      <c r="AP308" s="28">
        <f>G308*(1-0)</f>
        <v>0</v>
      </c>
      <c r="AQ308" s="30" t="s">
        <v>111</v>
      </c>
      <c r="AV308" s="28">
        <f>ROUND(AW308+AX308,2)</f>
        <v>0</v>
      </c>
      <c r="AW308" s="28">
        <f>ROUND(F308*AO308,2)</f>
        <v>0</v>
      </c>
      <c r="AX308" s="28">
        <f>ROUND(F308*AP308,2)</f>
        <v>0</v>
      </c>
      <c r="AY308" s="30" t="s">
        <v>250</v>
      </c>
      <c r="AZ308" s="30" t="s">
        <v>451</v>
      </c>
      <c r="BA308" s="10" t="s">
        <v>415</v>
      </c>
      <c r="BC308" s="28">
        <f>AW308+AX308</f>
        <v>0</v>
      </c>
      <c r="BD308" s="28">
        <f>G308/(100-BE308)*100</f>
        <v>0</v>
      </c>
      <c r="BE308" s="28">
        <v>0</v>
      </c>
      <c r="BF308" s="28">
        <f>308</f>
        <v>308</v>
      </c>
      <c r="BH308" s="28">
        <f>F308*AO308</f>
        <v>0</v>
      </c>
      <c r="BI308" s="28">
        <f>F308*AP308</f>
        <v>0</v>
      </c>
      <c r="BJ308" s="28">
        <f>F308*G308</f>
        <v>0</v>
      </c>
      <c r="BK308" s="28"/>
      <c r="BL308" s="28">
        <v>764</v>
      </c>
      <c r="BW308" s="28">
        <v>21</v>
      </c>
      <c r="BX308" s="4" t="s">
        <v>249</v>
      </c>
    </row>
    <row r="309" spans="1:76" ht="13.5" customHeight="1" x14ac:dyDescent="0.25">
      <c r="A309" s="31"/>
      <c r="C309" s="248" t="s">
        <v>251</v>
      </c>
      <c r="D309" s="249"/>
      <c r="E309" s="249"/>
      <c r="F309" s="249"/>
      <c r="G309" s="249"/>
      <c r="H309" s="249"/>
      <c r="I309" s="249"/>
      <c r="J309" s="249"/>
      <c r="K309" s="250"/>
    </row>
    <row r="310" spans="1:76" x14ac:dyDescent="0.25">
      <c r="A310" s="31"/>
      <c r="C310" s="34" t="s">
        <v>530</v>
      </c>
      <c r="D310" s="33" t="s">
        <v>253</v>
      </c>
      <c r="F310" s="35">
        <v>176.23</v>
      </c>
      <c r="K310" s="36"/>
    </row>
    <row r="311" spans="1:76" x14ac:dyDescent="0.25">
      <c r="A311" s="2" t="s">
        <v>531</v>
      </c>
      <c r="B311" s="3" t="s">
        <v>256</v>
      </c>
      <c r="C311" s="230" t="s">
        <v>257</v>
      </c>
      <c r="D311" s="225"/>
      <c r="E311" s="3" t="s">
        <v>205</v>
      </c>
      <c r="F311" s="28">
        <v>176.23</v>
      </c>
      <c r="G311" s="28">
        <v>0</v>
      </c>
      <c r="H311" s="28">
        <f>ROUND(F311*AO311,2)</f>
        <v>0</v>
      </c>
      <c r="I311" s="28">
        <f>ROUND(F311*AP311,2)</f>
        <v>0</v>
      </c>
      <c r="J311" s="28">
        <f>ROUND(F311*G311,2)</f>
        <v>0</v>
      </c>
      <c r="K311" s="29" t="s">
        <v>70</v>
      </c>
      <c r="Z311" s="28">
        <f>ROUND(IF(AQ311="5",BJ311,0),2)</f>
        <v>0</v>
      </c>
      <c r="AB311" s="28">
        <f>ROUND(IF(AQ311="1",BH311,0),2)</f>
        <v>0</v>
      </c>
      <c r="AC311" s="28">
        <f>ROUND(IF(AQ311="1",BI311,0),2)</f>
        <v>0</v>
      </c>
      <c r="AD311" s="28">
        <f>ROUND(IF(AQ311="7",BH311,0),2)</f>
        <v>0</v>
      </c>
      <c r="AE311" s="28">
        <f>ROUND(IF(AQ311="7",BI311,0),2)</f>
        <v>0</v>
      </c>
      <c r="AF311" s="28">
        <f>ROUND(IF(AQ311="2",BH311,0),2)</f>
        <v>0</v>
      </c>
      <c r="AG311" s="28">
        <f>ROUND(IF(AQ311="2",BI311,0),2)</f>
        <v>0</v>
      </c>
      <c r="AH311" s="28">
        <f>ROUND(IF(AQ311="0",BJ311,0),2)</f>
        <v>0</v>
      </c>
      <c r="AI311" s="10" t="s">
        <v>409</v>
      </c>
      <c r="AJ311" s="28">
        <f>IF(AN311=0,J311,0)</f>
        <v>0</v>
      </c>
      <c r="AK311" s="28">
        <f>IF(AN311=12,J311,0)</f>
        <v>0</v>
      </c>
      <c r="AL311" s="28">
        <f>IF(AN311=21,J311,0)</f>
        <v>0</v>
      </c>
      <c r="AN311" s="28">
        <v>21</v>
      </c>
      <c r="AO311" s="28">
        <f>G311*0</f>
        <v>0</v>
      </c>
      <c r="AP311" s="28">
        <f>G311*(1-0)</f>
        <v>0</v>
      </c>
      <c r="AQ311" s="30" t="s">
        <v>111</v>
      </c>
      <c r="AV311" s="28">
        <f>ROUND(AW311+AX311,2)</f>
        <v>0</v>
      </c>
      <c r="AW311" s="28">
        <f>ROUND(F311*AO311,2)</f>
        <v>0</v>
      </c>
      <c r="AX311" s="28">
        <f>ROUND(F311*AP311,2)</f>
        <v>0</v>
      </c>
      <c r="AY311" s="30" t="s">
        <v>250</v>
      </c>
      <c r="AZ311" s="30" t="s">
        <v>451</v>
      </c>
      <c r="BA311" s="10" t="s">
        <v>415</v>
      </c>
      <c r="BC311" s="28">
        <f>AW311+AX311</f>
        <v>0</v>
      </c>
      <c r="BD311" s="28">
        <f>G311/(100-BE311)*100</f>
        <v>0</v>
      </c>
      <c r="BE311" s="28">
        <v>0</v>
      </c>
      <c r="BF311" s="28">
        <f>311</f>
        <v>311</v>
      </c>
      <c r="BH311" s="28">
        <f>F311*AO311</f>
        <v>0</v>
      </c>
      <c r="BI311" s="28">
        <f>F311*AP311</f>
        <v>0</v>
      </c>
      <c r="BJ311" s="28">
        <f>F311*G311</f>
        <v>0</v>
      </c>
      <c r="BK311" s="28"/>
      <c r="BL311" s="28">
        <v>764</v>
      </c>
      <c r="BW311" s="28">
        <v>21</v>
      </c>
      <c r="BX311" s="4" t="s">
        <v>257</v>
      </c>
    </row>
    <row r="312" spans="1:76" x14ac:dyDescent="0.25">
      <c r="A312" s="45"/>
      <c r="C312" s="46" t="s">
        <v>530</v>
      </c>
      <c r="D312" s="47" t="s">
        <v>258</v>
      </c>
      <c r="F312" s="48">
        <v>176.23</v>
      </c>
      <c r="K312" s="49"/>
    </row>
    <row r="313" spans="1:76" x14ac:dyDescent="0.25">
      <c r="A313" s="170" t="s">
        <v>532</v>
      </c>
      <c r="B313" s="171" t="s">
        <v>276</v>
      </c>
      <c r="C313" s="292" t="s">
        <v>277</v>
      </c>
      <c r="D313" s="293"/>
      <c r="E313" s="171" t="s">
        <v>69</v>
      </c>
      <c r="F313" s="172">
        <v>1430.2619999999999</v>
      </c>
      <c r="G313" s="172">
        <v>0</v>
      </c>
      <c r="H313" s="172">
        <f>ROUND(F313*AO313,2)</f>
        <v>0</v>
      </c>
      <c r="I313" s="172">
        <f>ROUND(F313*AP313,2)</f>
        <v>0</v>
      </c>
      <c r="J313" s="172">
        <f>ROUND(F313*G313,2)</f>
        <v>0</v>
      </c>
      <c r="K313" s="173" t="s">
        <v>70</v>
      </c>
      <c r="Z313" s="28">
        <f>ROUND(IF(AQ313="5",BJ313,0),2)</f>
        <v>0</v>
      </c>
      <c r="AB313" s="28">
        <f>ROUND(IF(AQ313="1",BH313,0),2)</f>
        <v>0</v>
      </c>
      <c r="AC313" s="28">
        <f>ROUND(IF(AQ313="1",BI313,0),2)</f>
        <v>0</v>
      </c>
      <c r="AD313" s="28">
        <f>ROUND(IF(AQ313="7",BH313,0),2)</f>
        <v>0</v>
      </c>
      <c r="AE313" s="28">
        <f>ROUND(IF(AQ313="7",BI313,0),2)</f>
        <v>0</v>
      </c>
      <c r="AF313" s="28">
        <f>ROUND(IF(AQ313="2",BH313,0),2)</f>
        <v>0</v>
      </c>
      <c r="AG313" s="28">
        <f>ROUND(IF(AQ313="2",BI313,0),2)</f>
        <v>0</v>
      </c>
      <c r="AH313" s="28">
        <f>ROUND(IF(AQ313="0",BJ313,0),2)</f>
        <v>0</v>
      </c>
      <c r="AI313" s="10" t="s">
        <v>409</v>
      </c>
      <c r="AJ313" s="28">
        <f>IF(AN313=0,J313,0)</f>
        <v>0</v>
      </c>
      <c r="AK313" s="28">
        <f>IF(AN313=12,J313,0)</f>
        <v>0</v>
      </c>
      <c r="AL313" s="28">
        <f>IF(AN313=21,J313,0)</f>
        <v>0</v>
      </c>
      <c r="AN313" s="28">
        <v>21</v>
      </c>
      <c r="AO313" s="28">
        <f>G313*0.686162561</f>
        <v>0</v>
      </c>
      <c r="AP313" s="28">
        <f>G313*(1-0.686162561)</f>
        <v>0</v>
      </c>
      <c r="AQ313" s="30" t="s">
        <v>111</v>
      </c>
      <c r="AV313" s="28">
        <f>ROUND(AW313+AX313,2)</f>
        <v>0</v>
      </c>
      <c r="AW313" s="28">
        <f>ROUND(F313*AO313,2)</f>
        <v>0</v>
      </c>
      <c r="AX313" s="28">
        <f>ROUND(F313*AP313,2)</f>
        <v>0</v>
      </c>
      <c r="AY313" s="30" t="s">
        <v>250</v>
      </c>
      <c r="AZ313" s="30" t="s">
        <v>451</v>
      </c>
      <c r="BA313" s="10" t="s">
        <v>415</v>
      </c>
      <c r="BC313" s="28">
        <f>AW313+AX313</f>
        <v>0</v>
      </c>
      <c r="BD313" s="28">
        <f>G313/(100-BE313)*100</f>
        <v>0</v>
      </c>
      <c r="BE313" s="28">
        <v>0</v>
      </c>
      <c r="BF313" s="28">
        <f>313</f>
        <v>313</v>
      </c>
      <c r="BH313" s="28">
        <f>F313*AO313</f>
        <v>0</v>
      </c>
      <c r="BI313" s="28">
        <f>F313*AP313</f>
        <v>0</v>
      </c>
      <c r="BJ313" s="28">
        <f>F313*G313</f>
        <v>0</v>
      </c>
      <c r="BK313" s="28"/>
      <c r="BL313" s="28">
        <v>764</v>
      </c>
      <c r="BW313" s="28">
        <v>21</v>
      </c>
      <c r="BX313" s="4" t="s">
        <v>277</v>
      </c>
    </row>
    <row r="314" spans="1:76" ht="13.5" customHeight="1" x14ac:dyDescent="0.25">
      <c r="A314" s="60"/>
      <c r="C314" s="255" t="s">
        <v>278</v>
      </c>
      <c r="D314" s="256"/>
      <c r="E314" s="256"/>
      <c r="F314" s="256"/>
      <c r="G314" s="256"/>
      <c r="H314" s="256"/>
      <c r="I314" s="256"/>
      <c r="J314" s="256"/>
      <c r="K314" s="257"/>
    </row>
    <row r="315" spans="1:76" x14ac:dyDescent="0.25">
      <c r="A315" s="160"/>
      <c r="B315" s="161"/>
      <c r="C315" s="162" t="s">
        <v>533</v>
      </c>
      <c r="D315" s="163" t="s">
        <v>534</v>
      </c>
      <c r="E315" s="161"/>
      <c r="F315" s="164">
        <v>1565.894</v>
      </c>
      <c r="G315" s="161"/>
      <c r="H315" s="161"/>
      <c r="I315" s="161"/>
      <c r="J315" s="161"/>
      <c r="K315" s="165"/>
    </row>
    <row r="316" spans="1:76" x14ac:dyDescent="0.25">
      <c r="A316" s="150"/>
      <c r="B316" s="151"/>
      <c r="C316" s="152" t="s">
        <v>535</v>
      </c>
      <c r="D316" s="153" t="s">
        <v>536</v>
      </c>
      <c r="E316" s="151"/>
      <c r="F316" s="154">
        <v>-143.05199999999999</v>
      </c>
      <c r="G316" s="151"/>
      <c r="H316" s="151"/>
      <c r="I316" s="151"/>
      <c r="J316" s="151"/>
      <c r="K316" s="155"/>
    </row>
    <row r="317" spans="1:76" x14ac:dyDescent="0.25">
      <c r="A317" s="150"/>
      <c r="B317" s="151"/>
      <c r="C317" s="152" t="s">
        <v>537</v>
      </c>
      <c r="D317" s="153" t="s">
        <v>538</v>
      </c>
      <c r="E317" s="151"/>
      <c r="F317" s="154">
        <v>7.42</v>
      </c>
      <c r="G317" s="151"/>
      <c r="H317" s="151"/>
      <c r="I317" s="151"/>
      <c r="J317" s="151"/>
      <c r="K317" s="155"/>
    </row>
    <row r="318" spans="1:76" x14ac:dyDescent="0.25">
      <c r="A318" s="146" t="s">
        <v>539</v>
      </c>
      <c r="B318" s="147" t="s">
        <v>283</v>
      </c>
      <c r="C318" s="286" t="s">
        <v>284</v>
      </c>
      <c r="D318" s="287"/>
      <c r="E318" s="147" t="s">
        <v>205</v>
      </c>
      <c r="F318" s="148">
        <v>164.05500000000001</v>
      </c>
      <c r="G318" s="148">
        <v>0</v>
      </c>
      <c r="H318" s="148">
        <f>ROUND(F318*AO318,2)</f>
        <v>0</v>
      </c>
      <c r="I318" s="148">
        <f>ROUND(F318*AP318,2)</f>
        <v>0</v>
      </c>
      <c r="J318" s="148">
        <f>ROUND(F318*G318,2)</f>
        <v>0</v>
      </c>
      <c r="K318" s="149" t="s">
        <v>70</v>
      </c>
      <c r="Z318" s="28">
        <f>ROUND(IF(AQ318="5",BJ318,0),2)</f>
        <v>0</v>
      </c>
      <c r="AB318" s="28">
        <f>ROUND(IF(AQ318="1",BH318,0),2)</f>
        <v>0</v>
      </c>
      <c r="AC318" s="28">
        <f>ROUND(IF(AQ318="1",BI318,0),2)</f>
        <v>0</v>
      </c>
      <c r="AD318" s="28">
        <f>ROUND(IF(AQ318="7",BH318,0),2)</f>
        <v>0</v>
      </c>
      <c r="AE318" s="28">
        <f>ROUND(IF(AQ318="7",BI318,0),2)</f>
        <v>0</v>
      </c>
      <c r="AF318" s="28">
        <f>ROUND(IF(AQ318="2",BH318,0),2)</f>
        <v>0</v>
      </c>
      <c r="AG318" s="28">
        <f>ROUND(IF(AQ318="2",BI318,0),2)</f>
        <v>0</v>
      </c>
      <c r="AH318" s="28">
        <f>ROUND(IF(AQ318="0",BJ318,0),2)</f>
        <v>0</v>
      </c>
      <c r="AI318" s="10" t="s">
        <v>409</v>
      </c>
      <c r="AJ318" s="28">
        <f>IF(AN318=0,J318,0)</f>
        <v>0</v>
      </c>
      <c r="AK318" s="28">
        <f>IF(AN318=12,J318,0)</f>
        <v>0</v>
      </c>
      <c r="AL318" s="28">
        <f>IF(AN318=21,J318,0)</f>
        <v>0</v>
      </c>
      <c r="AN318" s="28">
        <v>21</v>
      </c>
      <c r="AO318" s="28">
        <f>G318*0.061137657</f>
        <v>0</v>
      </c>
      <c r="AP318" s="28">
        <f>G318*(1-0.061137657)</f>
        <v>0</v>
      </c>
      <c r="AQ318" s="30" t="s">
        <v>111</v>
      </c>
      <c r="AV318" s="28">
        <f>ROUND(AW318+AX318,2)</f>
        <v>0</v>
      </c>
      <c r="AW318" s="28">
        <f>ROUND(F318*AO318,2)</f>
        <v>0</v>
      </c>
      <c r="AX318" s="28">
        <f>ROUND(F318*AP318,2)</f>
        <v>0</v>
      </c>
      <c r="AY318" s="30" t="s">
        <v>250</v>
      </c>
      <c r="AZ318" s="30" t="s">
        <v>451</v>
      </c>
      <c r="BA318" s="10" t="s">
        <v>415</v>
      </c>
      <c r="BC318" s="28">
        <f>AW318+AX318</f>
        <v>0</v>
      </c>
      <c r="BD318" s="28">
        <f>G318/(100-BE318)*100</f>
        <v>0</v>
      </c>
      <c r="BE318" s="28">
        <v>0</v>
      </c>
      <c r="BF318" s="28">
        <f>318</f>
        <v>318</v>
      </c>
      <c r="BH318" s="28">
        <f>F318*AO318</f>
        <v>0</v>
      </c>
      <c r="BI318" s="28">
        <f>F318*AP318</f>
        <v>0</v>
      </c>
      <c r="BJ318" s="28">
        <f>F318*G318</f>
        <v>0</v>
      </c>
      <c r="BK318" s="28"/>
      <c r="BL318" s="28">
        <v>764</v>
      </c>
      <c r="BW318" s="28">
        <v>21</v>
      </c>
      <c r="BX318" s="4" t="s">
        <v>284</v>
      </c>
    </row>
    <row r="319" spans="1:76" ht="27" customHeight="1" x14ac:dyDescent="0.25">
      <c r="A319" s="60"/>
      <c r="C319" s="255" t="s">
        <v>285</v>
      </c>
      <c r="D319" s="256"/>
      <c r="E319" s="256"/>
      <c r="F319" s="256"/>
      <c r="G319" s="256"/>
      <c r="H319" s="256"/>
      <c r="I319" s="256"/>
      <c r="J319" s="256"/>
      <c r="K319" s="257"/>
    </row>
    <row r="320" spans="1:76" x14ac:dyDescent="0.25">
      <c r="A320" s="160"/>
      <c r="B320" s="161"/>
      <c r="C320" s="162" t="s">
        <v>540</v>
      </c>
      <c r="D320" s="163" t="s">
        <v>541</v>
      </c>
      <c r="E320" s="161"/>
      <c r="F320" s="164">
        <v>164.05500000000001</v>
      </c>
      <c r="G320" s="161"/>
      <c r="H320" s="161"/>
      <c r="I320" s="161"/>
      <c r="J320" s="161"/>
      <c r="K320" s="165"/>
    </row>
    <row r="321" spans="1:76" ht="25.5" x14ac:dyDescent="0.25">
      <c r="A321" s="156" t="s">
        <v>542</v>
      </c>
      <c r="B321" s="157" t="s">
        <v>289</v>
      </c>
      <c r="C321" s="288" t="s">
        <v>290</v>
      </c>
      <c r="D321" s="289"/>
      <c r="E321" s="157" t="s">
        <v>205</v>
      </c>
      <c r="F321" s="158">
        <v>188.66325000000001</v>
      </c>
      <c r="G321" s="158">
        <v>0</v>
      </c>
      <c r="H321" s="158">
        <f>ROUND(F321*AO321,2)</f>
        <v>0</v>
      </c>
      <c r="I321" s="158">
        <f>ROUND(F321*AP321,2)</f>
        <v>0</v>
      </c>
      <c r="J321" s="158">
        <f>ROUND(F321*G321,2)</f>
        <v>0</v>
      </c>
      <c r="K321" s="159" t="s">
        <v>70</v>
      </c>
      <c r="Z321" s="28">
        <f>ROUND(IF(AQ321="5",BJ321,0),2)</f>
        <v>0</v>
      </c>
      <c r="AB321" s="28">
        <f>ROUND(IF(AQ321="1",BH321,0),2)</f>
        <v>0</v>
      </c>
      <c r="AC321" s="28">
        <f>ROUND(IF(AQ321="1",BI321,0),2)</f>
        <v>0</v>
      </c>
      <c r="AD321" s="28">
        <f>ROUND(IF(AQ321="7",BH321,0),2)</f>
        <v>0</v>
      </c>
      <c r="AE321" s="28">
        <f>ROUND(IF(AQ321="7",BI321,0),2)</f>
        <v>0</v>
      </c>
      <c r="AF321" s="28">
        <f>ROUND(IF(AQ321="2",BH321,0),2)</f>
        <v>0</v>
      </c>
      <c r="AG321" s="28">
        <f>ROUND(IF(AQ321="2",BI321,0),2)</f>
        <v>0</v>
      </c>
      <c r="AH321" s="28">
        <f>ROUND(IF(AQ321="0",BJ321,0),2)</f>
        <v>0</v>
      </c>
      <c r="AI321" s="10" t="s">
        <v>409</v>
      </c>
      <c r="AJ321" s="41">
        <f>IF(AN321=0,J321,0)</f>
        <v>0</v>
      </c>
      <c r="AK321" s="41">
        <f>IF(AN321=12,J321,0)</f>
        <v>0</v>
      </c>
      <c r="AL321" s="41">
        <f>IF(AN321=21,J321,0)</f>
        <v>0</v>
      </c>
      <c r="AN321" s="28">
        <v>21</v>
      </c>
      <c r="AO321" s="28">
        <f>G321*1</f>
        <v>0</v>
      </c>
      <c r="AP321" s="28">
        <f>G321*(1-1)</f>
        <v>0</v>
      </c>
      <c r="AQ321" s="43" t="s">
        <v>111</v>
      </c>
      <c r="AV321" s="28">
        <f>ROUND(AW321+AX321,2)</f>
        <v>0</v>
      </c>
      <c r="AW321" s="28">
        <f>ROUND(F321*AO321,2)</f>
        <v>0</v>
      </c>
      <c r="AX321" s="28">
        <f>ROUND(F321*AP321,2)</f>
        <v>0</v>
      </c>
      <c r="AY321" s="30" t="s">
        <v>250</v>
      </c>
      <c r="AZ321" s="30" t="s">
        <v>451</v>
      </c>
      <c r="BA321" s="10" t="s">
        <v>415</v>
      </c>
      <c r="BC321" s="28">
        <f>AW321+AX321</f>
        <v>0</v>
      </c>
      <c r="BD321" s="28">
        <f>G321/(100-BE321)*100</f>
        <v>0</v>
      </c>
      <c r="BE321" s="28">
        <v>0</v>
      </c>
      <c r="BF321" s="28">
        <f>321</f>
        <v>321</v>
      </c>
      <c r="BH321" s="41">
        <f>F321*AO321</f>
        <v>0</v>
      </c>
      <c r="BI321" s="41">
        <f>F321*AP321</f>
        <v>0</v>
      </c>
      <c r="BJ321" s="41">
        <f>F321*G321</f>
        <v>0</v>
      </c>
      <c r="BK321" s="41"/>
      <c r="BL321" s="28">
        <v>764</v>
      </c>
      <c r="BW321" s="28">
        <v>21</v>
      </c>
      <c r="BX321" s="40" t="s">
        <v>290</v>
      </c>
    </row>
    <row r="322" spans="1:76" x14ac:dyDescent="0.25">
      <c r="A322" s="150"/>
      <c r="B322" s="151"/>
      <c r="C322" s="152" t="s">
        <v>540</v>
      </c>
      <c r="D322" s="153" t="s">
        <v>541</v>
      </c>
      <c r="E322" s="151"/>
      <c r="F322" s="154">
        <v>164.05500000000001</v>
      </c>
      <c r="G322" s="151"/>
      <c r="H322" s="151"/>
      <c r="I322" s="151"/>
      <c r="J322" s="151"/>
      <c r="K322" s="155"/>
    </row>
    <row r="323" spans="1:76" x14ac:dyDescent="0.25">
      <c r="A323" s="150"/>
      <c r="B323" s="151"/>
      <c r="C323" s="152" t="s">
        <v>543</v>
      </c>
      <c r="D323" s="153" t="s">
        <v>52</v>
      </c>
      <c r="E323" s="151"/>
      <c r="F323" s="154">
        <v>24.608250000000002</v>
      </c>
      <c r="G323" s="151"/>
      <c r="H323" s="151"/>
      <c r="I323" s="151"/>
      <c r="J323" s="151"/>
      <c r="K323" s="155"/>
    </row>
    <row r="324" spans="1:76" ht="25.5" x14ac:dyDescent="0.25">
      <c r="A324" s="146" t="s">
        <v>544</v>
      </c>
      <c r="B324" s="147" t="s">
        <v>293</v>
      </c>
      <c r="C324" s="286" t="s">
        <v>294</v>
      </c>
      <c r="D324" s="287"/>
      <c r="E324" s="147" t="s">
        <v>205</v>
      </c>
      <c r="F324" s="148">
        <v>164.2</v>
      </c>
      <c r="G324" s="148">
        <v>0</v>
      </c>
      <c r="H324" s="148">
        <f>ROUND(F324*AO324,2)</f>
        <v>0</v>
      </c>
      <c r="I324" s="148">
        <f>ROUND(F324*AP324,2)</f>
        <v>0</v>
      </c>
      <c r="J324" s="148">
        <f>ROUND(F324*G324,2)</f>
        <v>0</v>
      </c>
      <c r="K324" s="149" t="s">
        <v>223</v>
      </c>
      <c r="Z324" s="28">
        <f>ROUND(IF(AQ324="5",BJ324,0),2)</f>
        <v>0</v>
      </c>
      <c r="AB324" s="28">
        <f>ROUND(IF(AQ324="1",BH324,0),2)</f>
        <v>0</v>
      </c>
      <c r="AC324" s="28">
        <f>ROUND(IF(AQ324="1",BI324,0),2)</f>
        <v>0</v>
      </c>
      <c r="AD324" s="28">
        <f>ROUND(IF(AQ324="7",BH324,0),2)</f>
        <v>0</v>
      </c>
      <c r="AE324" s="28">
        <f>ROUND(IF(AQ324="7",BI324,0),2)</f>
        <v>0</v>
      </c>
      <c r="AF324" s="28">
        <f>ROUND(IF(AQ324="2",BH324,0),2)</f>
        <v>0</v>
      </c>
      <c r="AG324" s="28">
        <f>ROUND(IF(AQ324="2",BI324,0),2)</f>
        <v>0</v>
      </c>
      <c r="AH324" s="28">
        <f>ROUND(IF(AQ324="0",BJ324,0),2)</f>
        <v>0</v>
      </c>
      <c r="AI324" s="10" t="s">
        <v>409</v>
      </c>
      <c r="AJ324" s="28">
        <f>IF(AN324=0,J324,0)</f>
        <v>0</v>
      </c>
      <c r="AK324" s="28">
        <f>IF(AN324=12,J324,0)</f>
        <v>0</v>
      </c>
      <c r="AL324" s="28">
        <f>IF(AN324=21,J324,0)</f>
        <v>0</v>
      </c>
      <c r="AN324" s="28">
        <v>21</v>
      </c>
      <c r="AO324" s="28">
        <f>G324*0.756227963</f>
        <v>0</v>
      </c>
      <c r="AP324" s="28">
        <f>G324*(1-0.756227963)</f>
        <v>0</v>
      </c>
      <c r="AQ324" s="30" t="s">
        <v>111</v>
      </c>
      <c r="AV324" s="28">
        <f>ROUND(AW324+AX324,2)</f>
        <v>0</v>
      </c>
      <c r="AW324" s="28">
        <f>ROUND(F324*AO324,2)</f>
        <v>0</v>
      </c>
      <c r="AX324" s="28">
        <f>ROUND(F324*AP324,2)</f>
        <v>0</v>
      </c>
      <c r="AY324" s="30" t="s">
        <v>250</v>
      </c>
      <c r="AZ324" s="30" t="s">
        <v>451</v>
      </c>
      <c r="BA324" s="10" t="s">
        <v>415</v>
      </c>
      <c r="BC324" s="28">
        <f>AW324+AX324</f>
        <v>0</v>
      </c>
      <c r="BD324" s="28">
        <f>G324/(100-BE324)*100</f>
        <v>0</v>
      </c>
      <c r="BE324" s="28">
        <v>0</v>
      </c>
      <c r="BF324" s="28">
        <f>324</f>
        <v>324</v>
      </c>
      <c r="BH324" s="28">
        <f>F324*AO324</f>
        <v>0</v>
      </c>
      <c r="BI324" s="28">
        <f>F324*AP324</f>
        <v>0</v>
      </c>
      <c r="BJ324" s="28">
        <f>F324*G324</f>
        <v>0</v>
      </c>
      <c r="BK324" s="28"/>
      <c r="BL324" s="28">
        <v>764</v>
      </c>
      <c r="BW324" s="28">
        <v>21</v>
      </c>
      <c r="BX324" s="4" t="s">
        <v>294</v>
      </c>
    </row>
    <row r="325" spans="1:76" x14ac:dyDescent="0.25">
      <c r="A325" s="150"/>
      <c r="B325" s="151"/>
      <c r="C325" s="152" t="s">
        <v>545</v>
      </c>
      <c r="D325" s="153" t="s">
        <v>546</v>
      </c>
      <c r="E325" s="151"/>
      <c r="F325" s="154">
        <v>164.2</v>
      </c>
      <c r="G325" s="151"/>
      <c r="H325" s="151"/>
      <c r="I325" s="151"/>
      <c r="J325" s="151"/>
      <c r="K325" s="155"/>
    </row>
    <row r="326" spans="1:76" ht="25.5" x14ac:dyDescent="0.25">
      <c r="A326" s="146" t="s">
        <v>547</v>
      </c>
      <c r="B326" s="147" t="s">
        <v>297</v>
      </c>
      <c r="C326" s="286" t="s">
        <v>298</v>
      </c>
      <c r="D326" s="287"/>
      <c r="E326" s="147" t="s">
        <v>205</v>
      </c>
      <c r="F326" s="148">
        <v>165.47</v>
      </c>
      <c r="G326" s="148">
        <v>0</v>
      </c>
      <c r="H326" s="148">
        <f>ROUND(F326*AO326,2)</f>
        <v>0</v>
      </c>
      <c r="I326" s="148">
        <f>ROUND(F326*AP326,2)</f>
        <v>0</v>
      </c>
      <c r="J326" s="148">
        <f>ROUND(F326*G326,2)</f>
        <v>0</v>
      </c>
      <c r="K326" s="149" t="s">
        <v>70</v>
      </c>
      <c r="Z326" s="28">
        <f>ROUND(IF(AQ326="5",BJ326,0),2)</f>
        <v>0</v>
      </c>
      <c r="AB326" s="28">
        <f>ROUND(IF(AQ326="1",BH326,0),2)</f>
        <v>0</v>
      </c>
      <c r="AC326" s="28">
        <f>ROUND(IF(AQ326="1",BI326,0),2)</f>
        <v>0</v>
      </c>
      <c r="AD326" s="28">
        <f>ROUND(IF(AQ326="7",BH326,0),2)</f>
        <v>0</v>
      </c>
      <c r="AE326" s="28">
        <f>ROUND(IF(AQ326="7",BI326,0),2)</f>
        <v>0</v>
      </c>
      <c r="AF326" s="28">
        <f>ROUND(IF(AQ326="2",BH326,0),2)</f>
        <v>0</v>
      </c>
      <c r="AG326" s="28">
        <f>ROUND(IF(AQ326="2",BI326,0),2)</f>
        <v>0</v>
      </c>
      <c r="AH326" s="28">
        <f>ROUND(IF(AQ326="0",BJ326,0),2)</f>
        <v>0</v>
      </c>
      <c r="AI326" s="10" t="s">
        <v>409</v>
      </c>
      <c r="AJ326" s="28">
        <f>IF(AN326=0,J326,0)</f>
        <v>0</v>
      </c>
      <c r="AK326" s="28">
        <f>IF(AN326=12,J326,0)</f>
        <v>0</v>
      </c>
      <c r="AL326" s="28">
        <f>IF(AN326=21,J326,0)</f>
        <v>0</v>
      </c>
      <c r="AN326" s="28">
        <v>21</v>
      </c>
      <c r="AO326" s="28">
        <f>G326*0.810285021</f>
        <v>0</v>
      </c>
      <c r="AP326" s="28">
        <f>G326*(1-0.810285021)</f>
        <v>0</v>
      </c>
      <c r="AQ326" s="30" t="s">
        <v>111</v>
      </c>
      <c r="AV326" s="28">
        <f>ROUND(AW326+AX326,2)</f>
        <v>0</v>
      </c>
      <c r="AW326" s="28">
        <f>ROUND(F326*AO326,2)</f>
        <v>0</v>
      </c>
      <c r="AX326" s="28">
        <f>ROUND(F326*AP326,2)</f>
        <v>0</v>
      </c>
      <c r="AY326" s="30" t="s">
        <v>250</v>
      </c>
      <c r="AZ326" s="30" t="s">
        <v>451</v>
      </c>
      <c r="BA326" s="10" t="s">
        <v>415</v>
      </c>
      <c r="BC326" s="28">
        <f>AW326+AX326</f>
        <v>0</v>
      </c>
      <c r="BD326" s="28">
        <f>G326/(100-BE326)*100</f>
        <v>0</v>
      </c>
      <c r="BE326" s="28">
        <v>0</v>
      </c>
      <c r="BF326" s="28">
        <f>326</f>
        <v>326</v>
      </c>
      <c r="BH326" s="28">
        <f>F326*AO326</f>
        <v>0</v>
      </c>
      <c r="BI326" s="28">
        <f>F326*AP326</f>
        <v>0</v>
      </c>
      <c r="BJ326" s="28">
        <f>F326*G326</f>
        <v>0</v>
      </c>
      <c r="BK326" s="28"/>
      <c r="BL326" s="28">
        <v>764</v>
      </c>
      <c r="BW326" s="28">
        <v>21</v>
      </c>
      <c r="BX326" s="4" t="s">
        <v>298</v>
      </c>
    </row>
    <row r="327" spans="1:76" ht="13.5" customHeight="1" x14ac:dyDescent="0.25">
      <c r="A327" s="60"/>
      <c r="C327" s="255" t="s">
        <v>278</v>
      </c>
      <c r="D327" s="256"/>
      <c r="E327" s="256"/>
      <c r="F327" s="256"/>
      <c r="G327" s="256"/>
      <c r="H327" s="256"/>
      <c r="I327" s="256"/>
      <c r="J327" s="256"/>
      <c r="K327" s="257"/>
    </row>
    <row r="328" spans="1:76" x14ac:dyDescent="0.25">
      <c r="A328" s="160"/>
      <c r="B328" s="161"/>
      <c r="C328" s="162" t="s">
        <v>548</v>
      </c>
      <c r="D328" s="163" t="s">
        <v>549</v>
      </c>
      <c r="E328" s="161"/>
      <c r="F328" s="164">
        <v>165.47</v>
      </c>
      <c r="G328" s="161"/>
      <c r="H328" s="161"/>
      <c r="I328" s="161"/>
      <c r="J328" s="161"/>
      <c r="K328" s="165"/>
    </row>
    <row r="329" spans="1:76" x14ac:dyDescent="0.25">
      <c r="A329" s="146" t="s">
        <v>550</v>
      </c>
      <c r="B329" s="147" t="s">
        <v>333</v>
      </c>
      <c r="C329" s="286" t="s">
        <v>334</v>
      </c>
      <c r="D329" s="287"/>
      <c r="E329" s="147" t="s">
        <v>205</v>
      </c>
      <c r="F329" s="148">
        <v>44</v>
      </c>
      <c r="G329" s="148">
        <v>0</v>
      </c>
      <c r="H329" s="148">
        <f>ROUND(F329*AO329,2)</f>
        <v>0</v>
      </c>
      <c r="I329" s="148">
        <f>ROUND(F329*AP329,2)</f>
        <v>0</v>
      </c>
      <c r="J329" s="148">
        <f>ROUND(F329*G329,2)</f>
        <v>0</v>
      </c>
      <c r="K329" s="149" t="s">
        <v>70</v>
      </c>
      <c r="Z329" s="28">
        <f>ROUND(IF(AQ329="5",BJ329,0),2)</f>
        <v>0</v>
      </c>
      <c r="AB329" s="28">
        <f>ROUND(IF(AQ329="1",BH329,0),2)</f>
        <v>0</v>
      </c>
      <c r="AC329" s="28">
        <f>ROUND(IF(AQ329="1",BI329,0),2)</f>
        <v>0</v>
      </c>
      <c r="AD329" s="28">
        <f>ROUND(IF(AQ329="7",BH329,0),2)</f>
        <v>0</v>
      </c>
      <c r="AE329" s="28">
        <f>ROUND(IF(AQ329="7",BI329,0),2)</f>
        <v>0</v>
      </c>
      <c r="AF329" s="28">
        <f>ROUND(IF(AQ329="2",BH329,0),2)</f>
        <v>0</v>
      </c>
      <c r="AG329" s="28">
        <f>ROUND(IF(AQ329="2",BI329,0),2)</f>
        <v>0</v>
      </c>
      <c r="AH329" s="28">
        <f>ROUND(IF(AQ329="0",BJ329,0),2)</f>
        <v>0</v>
      </c>
      <c r="AI329" s="10" t="s">
        <v>409</v>
      </c>
      <c r="AJ329" s="28">
        <f>IF(AN329=0,J329,0)</f>
        <v>0</v>
      </c>
      <c r="AK329" s="28">
        <f>IF(AN329=12,J329,0)</f>
        <v>0</v>
      </c>
      <c r="AL329" s="28">
        <f>IF(AN329=21,J329,0)</f>
        <v>0</v>
      </c>
      <c r="AN329" s="28">
        <v>21</v>
      </c>
      <c r="AO329" s="28">
        <f>G329*0.688877709</f>
        <v>0</v>
      </c>
      <c r="AP329" s="28">
        <f>G329*(1-0.688877709)</f>
        <v>0</v>
      </c>
      <c r="AQ329" s="30" t="s">
        <v>111</v>
      </c>
      <c r="AV329" s="28">
        <f>ROUND(AW329+AX329,2)</f>
        <v>0</v>
      </c>
      <c r="AW329" s="28">
        <f>ROUND(F329*AO329,2)</f>
        <v>0</v>
      </c>
      <c r="AX329" s="28">
        <f>ROUND(F329*AP329,2)</f>
        <v>0</v>
      </c>
      <c r="AY329" s="30" t="s">
        <v>250</v>
      </c>
      <c r="AZ329" s="30" t="s">
        <v>451</v>
      </c>
      <c r="BA329" s="10" t="s">
        <v>415</v>
      </c>
      <c r="BC329" s="28">
        <f>AW329+AX329</f>
        <v>0</v>
      </c>
      <c r="BD329" s="28">
        <f>G329/(100-BE329)*100</f>
        <v>0</v>
      </c>
      <c r="BE329" s="28">
        <v>0</v>
      </c>
      <c r="BF329" s="28">
        <f>329</f>
        <v>329</v>
      </c>
      <c r="BH329" s="28">
        <f>F329*AO329</f>
        <v>0</v>
      </c>
      <c r="BI329" s="28">
        <f>F329*AP329</f>
        <v>0</v>
      </c>
      <c r="BJ329" s="28">
        <f>F329*G329</f>
        <v>0</v>
      </c>
      <c r="BK329" s="28"/>
      <c r="BL329" s="28">
        <v>764</v>
      </c>
      <c r="BW329" s="28">
        <v>21</v>
      </c>
      <c r="BX329" s="4" t="s">
        <v>334</v>
      </c>
    </row>
    <row r="330" spans="1:76" ht="27" customHeight="1" x14ac:dyDescent="0.25">
      <c r="A330" s="60"/>
      <c r="C330" s="255" t="s">
        <v>335</v>
      </c>
      <c r="D330" s="256"/>
      <c r="E330" s="256"/>
      <c r="F330" s="256"/>
      <c r="G330" s="256"/>
      <c r="H330" s="256"/>
      <c r="I330" s="256"/>
      <c r="J330" s="256"/>
      <c r="K330" s="257"/>
    </row>
    <row r="331" spans="1:76" x14ac:dyDescent="0.25">
      <c r="A331" s="160"/>
      <c r="B331" s="161"/>
      <c r="C331" s="162" t="s">
        <v>551</v>
      </c>
      <c r="D331" s="163" t="s">
        <v>552</v>
      </c>
      <c r="E331" s="161"/>
      <c r="F331" s="164">
        <v>22.4</v>
      </c>
      <c r="G331" s="161"/>
      <c r="H331" s="161"/>
      <c r="I331" s="161"/>
      <c r="J331" s="161"/>
      <c r="K331" s="165"/>
    </row>
    <row r="332" spans="1:76" x14ac:dyDescent="0.25">
      <c r="A332" s="150"/>
      <c r="B332" s="151"/>
      <c r="C332" s="152" t="s">
        <v>553</v>
      </c>
      <c r="D332" s="153" t="s">
        <v>554</v>
      </c>
      <c r="E332" s="151"/>
      <c r="F332" s="154">
        <v>21.6</v>
      </c>
      <c r="G332" s="151"/>
      <c r="H332" s="151"/>
      <c r="I332" s="151"/>
      <c r="J332" s="151"/>
      <c r="K332" s="155"/>
    </row>
    <row r="333" spans="1:76" x14ac:dyDescent="0.25">
      <c r="A333" s="146" t="s">
        <v>555</v>
      </c>
      <c r="B333" s="147" t="s">
        <v>341</v>
      </c>
      <c r="C333" s="286" t="s">
        <v>342</v>
      </c>
      <c r="D333" s="287"/>
      <c r="E333" s="147" t="s">
        <v>205</v>
      </c>
      <c r="F333" s="148">
        <v>42.09</v>
      </c>
      <c r="G333" s="148">
        <v>0</v>
      </c>
      <c r="H333" s="148">
        <f>ROUND(F333*AO333,2)</f>
        <v>0</v>
      </c>
      <c r="I333" s="148">
        <f>ROUND(F333*AP333,2)</f>
        <v>0</v>
      </c>
      <c r="J333" s="148">
        <f>ROUND(F333*G333,2)</f>
        <v>0</v>
      </c>
      <c r="K333" s="149" t="s">
        <v>70</v>
      </c>
      <c r="Z333" s="28">
        <f>ROUND(IF(AQ333="5",BJ333,0),2)</f>
        <v>0</v>
      </c>
      <c r="AB333" s="28">
        <f>ROUND(IF(AQ333="1",BH333,0),2)</f>
        <v>0</v>
      </c>
      <c r="AC333" s="28">
        <f>ROUND(IF(AQ333="1",BI333,0),2)</f>
        <v>0</v>
      </c>
      <c r="AD333" s="28">
        <f>ROUND(IF(AQ333="7",BH333,0),2)</f>
        <v>0</v>
      </c>
      <c r="AE333" s="28">
        <f>ROUND(IF(AQ333="7",BI333,0),2)</f>
        <v>0</v>
      </c>
      <c r="AF333" s="28">
        <f>ROUND(IF(AQ333="2",BH333,0),2)</f>
        <v>0</v>
      </c>
      <c r="AG333" s="28">
        <f>ROUND(IF(AQ333="2",BI333,0),2)</f>
        <v>0</v>
      </c>
      <c r="AH333" s="28">
        <f>ROUND(IF(AQ333="0",BJ333,0),2)</f>
        <v>0</v>
      </c>
      <c r="AI333" s="10" t="s">
        <v>409</v>
      </c>
      <c r="AJ333" s="28">
        <f>IF(AN333=0,J333,0)</f>
        <v>0</v>
      </c>
      <c r="AK333" s="28">
        <f>IF(AN333=12,J333,0)</f>
        <v>0</v>
      </c>
      <c r="AL333" s="28">
        <f>IF(AN333=21,J333,0)</f>
        <v>0</v>
      </c>
      <c r="AN333" s="28">
        <v>21</v>
      </c>
      <c r="AO333" s="28">
        <f>G333*0.683253655</f>
        <v>0</v>
      </c>
      <c r="AP333" s="28">
        <f>G333*(1-0.683253655)</f>
        <v>0</v>
      </c>
      <c r="AQ333" s="30" t="s">
        <v>111</v>
      </c>
      <c r="AV333" s="28">
        <f>ROUND(AW333+AX333,2)</f>
        <v>0</v>
      </c>
      <c r="AW333" s="28">
        <f>ROUND(F333*AO333,2)</f>
        <v>0</v>
      </c>
      <c r="AX333" s="28">
        <f>ROUND(F333*AP333,2)</f>
        <v>0</v>
      </c>
      <c r="AY333" s="30" t="s">
        <v>250</v>
      </c>
      <c r="AZ333" s="30" t="s">
        <v>451</v>
      </c>
      <c r="BA333" s="10" t="s">
        <v>415</v>
      </c>
      <c r="BC333" s="28">
        <f>AW333+AX333</f>
        <v>0</v>
      </c>
      <c r="BD333" s="28">
        <f>G333/(100-BE333)*100</f>
        <v>0</v>
      </c>
      <c r="BE333" s="28">
        <v>0</v>
      </c>
      <c r="BF333" s="28">
        <f>333</f>
        <v>333</v>
      </c>
      <c r="BH333" s="28">
        <f>F333*AO333</f>
        <v>0</v>
      </c>
      <c r="BI333" s="28">
        <f>F333*AP333</f>
        <v>0</v>
      </c>
      <c r="BJ333" s="28">
        <f>F333*G333</f>
        <v>0</v>
      </c>
      <c r="BK333" s="28"/>
      <c r="BL333" s="28">
        <v>764</v>
      </c>
      <c r="BW333" s="28">
        <v>21</v>
      </c>
      <c r="BX333" s="4" t="s">
        <v>342</v>
      </c>
    </row>
    <row r="334" spans="1:76" ht="13.5" customHeight="1" x14ac:dyDescent="0.25">
      <c r="A334" s="60"/>
      <c r="C334" s="255" t="s">
        <v>343</v>
      </c>
      <c r="D334" s="256"/>
      <c r="E334" s="256"/>
      <c r="F334" s="256"/>
      <c r="G334" s="256"/>
      <c r="H334" s="256"/>
      <c r="I334" s="256"/>
      <c r="J334" s="256"/>
      <c r="K334" s="257"/>
    </row>
    <row r="335" spans="1:76" x14ac:dyDescent="0.25">
      <c r="A335" s="160"/>
      <c r="B335" s="161"/>
      <c r="C335" s="162" t="s">
        <v>556</v>
      </c>
      <c r="D335" s="163" t="s">
        <v>557</v>
      </c>
      <c r="E335" s="161"/>
      <c r="F335" s="164">
        <v>42.09</v>
      </c>
      <c r="G335" s="161"/>
      <c r="H335" s="161"/>
      <c r="I335" s="161"/>
      <c r="J335" s="161"/>
      <c r="K335" s="165"/>
    </row>
    <row r="336" spans="1:76" x14ac:dyDescent="0.25">
      <c r="A336" s="146" t="s">
        <v>558</v>
      </c>
      <c r="B336" s="147" t="s">
        <v>347</v>
      </c>
      <c r="C336" s="286" t="s">
        <v>348</v>
      </c>
      <c r="D336" s="287"/>
      <c r="E336" s="147" t="s">
        <v>205</v>
      </c>
      <c r="F336" s="148">
        <v>36.6</v>
      </c>
      <c r="G336" s="148">
        <v>0</v>
      </c>
      <c r="H336" s="148">
        <f>ROUND(F336*AO336,2)</f>
        <v>0</v>
      </c>
      <c r="I336" s="148">
        <f>ROUND(F336*AP336,2)</f>
        <v>0</v>
      </c>
      <c r="J336" s="148">
        <f>ROUND(F336*G336,2)</f>
        <v>0</v>
      </c>
      <c r="K336" s="149" t="s">
        <v>70</v>
      </c>
      <c r="Z336" s="28">
        <f>ROUND(IF(AQ336="5",BJ336,0),2)</f>
        <v>0</v>
      </c>
      <c r="AB336" s="28">
        <f>ROUND(IF(AQ336="1",BH336,0),2)</f>
        <v>0</v>
      </c>
      <c r="AC336" s="28">
        <f>ROUND(IF(AQ336="1",BI336,0),2)</f>
        <v>0</v>
      </c>
      <c r="AD336" s="28">
        <f>ROUND(IF(AQ336="7",BH336,0),2)</f>
        <v>0</v>
      </c>
      <c r="AE336" s="28">
        <f>ROUND(IF(AQ336="7",BI336,0),2)</f>
        <v>0</v>
      </c>
      <c r="AF336" s="28">
        <f>ROUND(IF(AQ336="2",BH336,0),2)</f>
        <v>0</v>
      </c>
      <c r="AG336" s="28">
        <f>ROUND(IF(AQ336="2",BI336,0),2)</f>
        <v>0</v>
      </c>
      <c r="AH336" s="28">
        <f>ROUND(IF(AQ336="0",BJ336,0),2)</f>
        <v>0</v>
      </c>
      <c r="AI336" s="10" t="s">
        <v>409</v>
      </c>
      <c r="AJ336" s="28">
        <f>IF(AN336=0,J336,0)</f>
        <v>0</v>
      </c>
      <c r="AK336" s="28">
        <f>IF(AN336=12,J336,0)</f>
        <v>0</v>
      </c>
      <c r="AL336" s="28">
        <f>IF(AN336=21,J336,0)</f>
        <v>0</v>
      </c>
      <c r="AN336" s="28">
        <v>21</v>
      </c>
      <c r="AO336" s="28">
        <f>G336*0.101511578</f>
        <v>0</v>
      </c>
      <c r="AP336" s="28">
        <f>G336*(1-0.101511578)</f>
        <v>0</v>
      </c>
      <c r="AQ336" s="30" t="s">
        <v>111</v>
      </c>
      <c r="AV336" s="28">
        <f>ROUND(AW336+AX336,2)</f>
        <v>0</v>
      </c>
      <c r="AW336" s="28">
        <f>ROUND(F336*AO336,2)</f>
        <v>0</v>
      </c>
      <c r="AX336" s="28">
        <f>ROUND(F336*AP336,2)</f>
        <v>0</v>
      </c>
      <c r="AY336" s="30" t="s">
        <v>250</v>
      </c>
      <c r="AZ336" s="30" t="s">
        <v>451</v>
      </c>
      <c r="BA336" s="10" t="s">
        <v>415</v>
      </c>
      <c r="BC336" s="28">
        <f>AW336+AX336</f>
        <v>0</v>
      </c>
      <c r="BD336" s="28">
        <f>G336/(100-BE336)*100</f>
        <v>0</v>
      </c>
      <c r="BE336" s="28">
        <v>0</v>
      </c>
      <c r="BF336" s="28">
        <f>336</f>
        <v>336</v>
      </c>
      <c r="BH336" s="28">
        <f>F336*AO336</f>
        <v>0</v>
      </c>
      <c r="BI336" s="28">
        <f>F336*AP336</f>
        <v>0</v>
      </c>
      <c r="BJ336" s="28">
        <f>F336*G336</f>
        <v>0</v>
      </c>
      <c r="BK336" s="28"/>
      <c r="BL336" s="28">
        <v>764</v>
      </c>
      <c r="BW336" s="28">
        <v>21</v>
      </c>
      <c r="BX336" s="4" t="s">
        <v>348</v>
      </c>
    </row>
    <row r="337" spans="1:76" x14ac:dyDescent="0.25">
      <c r="A337" s="150"/>
      <c r="B337" s="151"/>
      <c r="C337" s="152" t="s">
        <v>559</v>
      </c>
      <c r="D337" s="153" t="s">
        <v>560</v>
      </c>
      <c r="E337" s="151"/>
      <c r="F337" s="154">
        <v>36.6</v>
      </c>
      <c r="G337" s="151"/>
      <c r="H337" s="151"/>
      <c r="I337" s="151"/>
      <c r="J337" s="151"/>
      <c r="K337" s="155"/>
    </row>
    <row r="338" spans="1:76" x14ac:dyDescent="0.25">
      <c r="A338" s="156" t="s">
        <v>561</v>
      </c>
      <c r="B338" s="157" t="s">
        <v>289</v>
      </c>
      <c r="C338" s="288" t="s">
        <v>351</v>
      </c>
      <c r="D338" s="289"/>
      <c r="E338" s="157" t="s">
        <v>205</v>
      </c>
      <c r="F338" s="158">
        <v>42.09</v>
      </c>
      <c r="G338" s="158">
        <v>0</v>
      </c>
      <c r="H338" s="158">
        <f>ROUND(F338*AO338,2)</f>
        <v>0</v>
      </c>
      <c r="I338" s="158">
        <f>ROUND(F338*AP338,2)</f>
        <v>0</v>
      </c>
      <c r="J338" s="158">
        <f>ROUND(F338*G338,2)</f>
        <v>0</v>
      </c>
      <c r="K338" s="159" t="s">
        <v>70</v>
      </c>
      <c r="Z338" s="28">
        <f>ROUND(IF(AQ338="5",BJ338,0),2)</f>
        <v>0</v>
      </c>
      <c r="AB338" s="28">
        <f>ROUND(IF(AQ338="1",BH338,0),2)</f>
        <v>0</v>
      </c>
      <c r="AC338" s="28">
        <f>ROUND(IF(AQ338="1",BI338,0),2)</f>
        <v>0</v>
      </c>
      <c r="AD338" s="28">
        <f>ROUND(IF(AQ338="7",BH338,0),2)</f>
        <v>0</v>
      </c>
      <c r="AE338" s="28">
        <f>ROUND(IF(AQ338="7",BI338,0),2)</f>
        <v>0</v>
      </c>
      <c r="AF338" s="28">
        <f>ROUND(IF(AQ338="2",BH338,0),2)</f>
        <v>0</v>
      </c>
      <c r="AG338" s="28">
        <f>ROUND(IF(AQ338="2",BI338,0),2)</f>
        <v>0</v>
      </c>
      <c r="AH338" s="28">
        <f>ROUND(IF(AQ338="0",BJ338,0),2)</f>
        <v>0</v>
      </c>
      <c r="AI338" s="10" t="s">
        <v>409</v>
      </c>
      <c r="AJ338" s="41">
        <f>IF(AN338=0,J338,0)</f>
        <v>0</v>
      </c>
      <c r="AK338" s="41">
        <f>IF(AN338=12,J338,0)</f>
        <v>0</v>
      </c>
      <c r="AL338" s="41">
        <f>IF(AN338=21,J338,0)</f>
        <v>0</v>
      </c>
      <c r="AN338" s="28">
        <v>21</v>
      </c>
      <c r="AO338" s="28">
        <f>G338*1</f>
        <v>0</v>
      </c>
      <c r="AP338" s="28">
        <f>G338*(1-1)</f>
        <v>0</v>
      </c>
      <c r="AQ338" s="43" t="s">
        <v>111</v>
      </c>
      <c r="AV338" s="28">
        <f>ROUND(AW338+AX338,2)</f>
        <v>0</v>
      </c>
      <c r="AW338" s="28">
        <f>ROUND(F338*AO338,2)</f>
        <v>0</v>
      </c>
      <c r="AX338" s="28">
        <f>ROUND(F338*AP338,2)</f>
        <v>0</v>
      </c>
      <c r="AY338" s="30" t="s">
        <v>250</v>
      </c>
      <c r="AZ338" s="30" t="s">
        <v>451</v>
      </c>
      <c r="BA338" s="10" t="s">
        <v>415</v>
      </c>
      <c r="BC338" s="28">
        <f>AW338+AX338</f>
        <v>0</v>
      </c>
      <c r="BD338" s="28">
        <f>G338/(100-BE338)*100</f>
        <v>0</v>
      </c>
      <c r="BE338" s="28">
        <v>0</v>
      </c>
      <c r="BF338" s="28">
        <f>338</f>
        <v>338</v>
      </c>
      <c r="BH338" s="41">
        <f>F338*AO338</f>
        <v>0</v>
      </c>
      <c r="BI338" s="41">
        <f>F338*AP338</f>
        <v>0</v>
      </c>
      <c r="BJ338" s="41">
        <f>F338*G338</f>
        <v>0</v>
      </c>
      <c r="BK338" s="41"/>
      <c r="BL338" s="28">
        <v>764</v>
      </c>
      <c r="BW338" s="28">
        <v>21</v>
      </c>
      <c r="BX338" s="40" t="s">
        <v>351</v>
      </c>
    </row>
    <row r="339" spans="1:76" x14ac:dyDescent="0.25">
      <c r="A339" s="150"/>
      <c r="B339" s="151"/>
      <c r="C339" s="152" t="s">
        <v>559</v>
      </c>
      <c r="D339" s="153" t="s">
        <v>560</v>
      </c>
      <c r="E339" s="151"/>
      <c r="F339" s="154">
        <v>36.6</v>
      </c>
      <c r="G339" s="151"/>
      <c r="H339" s="151"/>
      <c r="I339" s="151"/>
      <c r="J339" s="151"/>
      <c r="K339" s="155"/>
    </row>
    <row r="340" spans="1:76" x14ac:dyDescent="0.25">
      <c r="A340" s="150"/>
      <c r="B340" s="151"/>
      <c r="C340" s="152" t="s">
        <v>562</v>
      </c>
      <c r="D340" s="153" t="s">
        <v>52</v>
      </c>
      <c r="E340" s="151"/>
      <c r="F340" s="154">
        <v>5.49</v>
      </c>
      <c r="G340" s="151"/>
      <c r="H340" s="151"/>
      <c r="I340" s="151"/>
      <c r="J340" s="151"/>
      <c r="K340" s="155"/>
    </row>
    <row r="341" spans="1:76" x14ac:dyDescent="0.25">
      <c r="A341" s="146" t="s">
        <v>563</v>
      </c>
      <c r="B341" s="147" t="s">
        <v>353</v>
      </c>
      <c r="C341" s="286" t="s">
        <v>354</v>
      </c>
      <c r="D341" s="287"/>
      <c r="E341" s="147" t="s">
        <v>205</v>
      </c>
      <c r="F341" s="148">
        <v>83.2</v>
      </c>
      <c r="G341" s="148">
        <v>0</v>
      </c>
      <c r="H341" s="148">
        <f>ROUND(F341*AO341,2)</f>
        <v>0</v>
      </c>
      <c r="I341" s="148">
        <f>ROUND(F341*AP341,2)</f>
        <v>0</v>
      </c>
      <c r="J341" s="148">
        <f>ROUND(F341*G341,2)</f>
        <v>0</v>
      </c>
      <c r="K341" s="149" t="s">
        <v>70</v>
      </c>
      <c r="Z341" s="28">
        <f>ROUND(IF(AQ341="5",BJ341,0),2)</f>
        <v>0</v>
      </c>
      <c r="AB341" s="28">
        <f>ROUND(IF(AQ341="1",BH341,0),2)</f>
        <v>0</v>
      </c>
      <c r="AC341" s="28">
        <f>ROUND(IF(AQ341="1",BI341,0),2)</f>
        <v>0</v>
      </c>
      <c r="AD341" s="28">
        <f>ROUND(IF(AQ341="7",BH341,0),2)</f>
        <v>0</v>
      </c>
      <c r="AE341" s="28">
        <f>ROUND(IF(AQ341="7",BI341,0),2)</f>
        <v>0</v>
      </c>
      <c r="AF341" s="28">
        <f>ROUND(IF(AQ341="2",BH341,0),2)</f>
        <v>0</v>
      </c>
      <c r="AG341" s="28">
        <f>ROUND(IF(AQ341="2",BI341,0),2)</f>
        <v>0</v>
      </c>
      <c r="AH341" s="28">
        <f>ROUND(IF(AQ341="0",BJ341,0),2)</f>
        <v>0</v>
      </c>
      <c r="AI341" s="10" t="s">
        <v>409</v>
      </c>
      <c r="AJ341" s="28">
        <f>IF(AN341=0,J341,0)</f>
        <v>0</v>
      </c>
      <c r="AK341" s="28">
        <f>IF(AN341=12,J341,0)</f>
        <v>0</v>
      </c>
      <c r="AL341" s="28">
        <f>IF(AN341=21,J341,0)</f>
        <v>0</v>
      </c>
      <c r="AN341" s="28">
        <v>21</v>
      </c>
      <c r="AO341" s="28">
        <f>G341*0.619883752</f>
        <v>0</v>
      </c>
      <c r="AP341" s="28">
        <f>G341*(1-0.619883752)</f>
        <v>0</v>
      </c>
      <c r="AQ341" s="30" t="s">
        <v>111</v>
      </c>
      <c r="AV341" s="28">
        <f>ROUND(AW341+AX341,2)</f>
        <v>0</v>
      </c>
      <c r="AW341" s="28">
        <f>ROUND(F341*AO341,2)</f>
        <v>0</v>
      </c>
      <c r="AX341" s="28">
        <f>ROUND(F341*AP341,2)</f>
        <v>0</v>
      </c>
      <c r="AY341" s="30" t="s">
        <v>250</v>
      </c>
      <c r="AZ341" s="30" t="s">
        <v>451</v>
      </c>
      <c r="BA341" s="10" t="s">
        <v>415</v>
      </c>
      <c r="BC341" s="28">
        <f>AW341+AX341</f>
        <v>0</v>
      </c>
      <c r="BD341" s="28">
        <f>G341/(100-BE341)*100</f>
        <v>0</v>
      </c>
      <c r="BE341" s="28">
        <v>0</v>
      </c>
      <c r="BF341" s="28">
        <f>341</f>
        <v>341</v>
      </c>
      <c r="BH341" s="28">
        <f>F341*AO341</f>
        <v>0</v>
      </c>
      <c r="BI341" s="28">
        <f>F341*AP341</f>
        <v>0</v>
      </c>
      <c r="BJ341" s="28">
        <f>F341*G341</f>
        <v>0</v>
      </c>
      <c r="BK341" s="28"/>
      <c r="BL341" s="28">
        <v>764</v>
      </c>
      <c r="BW341" s="28">
        <v>21</v>
      </c>
      <c r="BX341" s="4" t="s">
        <v>354</v>
      </c>
    </row>
    <row r="342" spans="1:76" ht="27" customHeight="1" x14ac:dyDescent="0.25">
      <c r="A342" s="60"/>
      <c r="C342" s="255" t="s">
        <v>355</v>
      </c>
      <c r="D342" s="256"/>
      <c r="E342" s="256"/>
      <c r="F342" s="256"/>
      <c r="G342" s="256"/>
      <c r="H342" s="256"/>
      <c r="I342" s="256"/>
      <c r="J342" s="256"/>
      <c r="K342" s="257"/>
    </row>
    <row r="343" spans="1:76" x14ac:dyDescent="0.25">
      <c r="A343" s="160"/>
      <c r="B343" s="161"/>
      <c r="C343" s="162" t="s">
        <v>564</v>
      </c>
      <c r="D343" s="163" t="s">
        <v>461</v>
      </c>
      <c r="E343" s="161"/>
      <c r="F343" s="164">
        <v>83.2</v>
      </c>
      <c r="G343" s="161"/>
      <c r="H343" s="161"/>
      <c r="I343" s="161"/>
      <c r="J343" s="161"/>
      <c r="K343" s="165"/>
    </row>
    <row r="344" spans="1:76" x14ac:dyDescent="0.25">
      <c r="A344" s="146" t="s">
        <v>565</v>
      </c>
      <c r="B344" s="147" t="s">
        <v>293</v>
      </c>
      <c r="C344" s="286" t="s">
        <v>361</v>
      </c>
      <c r="D344" s="287"/>
      <c r="E344" s="147" t="s">
        <v>205</v>
      </c>
      <c r="F344" s="148">
        <v>166.4</v>
      </c>
      <c r="G344" s="148">
        <v>0</v>
      </c>
      <c r="H344" s="148">
        <f>ROUND(F344*AO344,2)</f>
        <v>0</v>
      </c>
      <c r="I344" s="148">
        <f>ROUND(F344*AP344,2)</f>
        <v>0</v>
      </c>
      <c r="J344" s="148">
        <f>ROUND(F344*G344,2)</f>
        <v>0</v>
      </c>
      <c r="K344" s="149" t="s">
        <v>70</v>
      </c>
      <c r="Z344" s="28">
        <f>ROUND(IF(AQ344="5",BJ344,0),2)</f>
        <v>0</v>
      </c>
      <c r="AB344" s="28">
        <f>ROUND(IF(AQ344="1",BH344,0),2)</f>
        <v>0</v>
      </c>
      <c r="AC344" s="28">
        <f>ROUND(IF(AQ344="1",BI344,0),2)</f>
        <v>0</v>
      </c>
      <c r="AD344" s="28">
        <f>ROUND(IF(AQ344="7",BH344,0),2)</f>
        <v>0</v>
      </c>
      <c r="AE344" s="28">
        <f>ROUND(IF(AQ344="7",BI344,0),2)</f>
        <v>0</v>
      </c>
      <c r="AF344" s="28">
        <f>ROUND(IF(AQ344="2",BH344,0),2)</f>
        <v>0</v>
      </c>
      <c r="AG344" s="28">
        <f>ROUND(IF(AQ344="2",BI344,0),2)</f>
        <v>0</v>
      </c>
      <c r="AH344" s="28">
        <f>ROUND(IF(AQ344="0",BJ344,0),2)</f>
        <v>0</v>
      </c>
      <c r="AI344" s="10" t="s">
        <v>409</v>
      </c>
      <c r="AJ344" s="28">
        <f>IF(AN344=0,J344,0)</f>
        <v>0</v>
      </c>
      <c r="AK344" s="28">
        <f>IF(AN344=12,J344,0)</f>
        <v>0</v>
      </c>
      <c r="AL344" s="28">
        <f>IF(AN344=21,J344,0)</f>
        <v>0</v>
      </c>
      <c r="AN344" s="28">
        <v>21</v>
      </c>
      <c r="AO344" s="28">
        <f>G344*0.666381067</f>
        <v>0</v>
      </c>
      <c r="AP344" s="28">
        <f>G344*(1-0.666381067)</f>
        <v>0</v>
      </c>
      <c r="AQ344" s="30" t="s">
        <v>111</v>
      </c>
      <c r="AV344" s="28">
        <f>ROUND(AW344+AX344,2)</f>
        <v>0</v>
      </c>
      <c r="AW344" s="28">
        <f>ROUND(F344*AO344,2)</f>
        <v>0</v>
      </c>
      <c r="AX344" s="28">
        <f>ROUND(F344*AP344,2)</f>
        <v>0</v>
      </c>
      <c r="AY344" s="30" t="s">
        <v>250</v>
      </c>
      <c r="AZ344" s="30" t="s">
        <v>451</v>
      </c>
      <c r="BA344" s="10" t="s">
        <v>415</v>
      </c>
      <c r="BC344" s="28">
        <f>AW344+AX344</f>
        <v>0</v>
      </c>
      <c r="BD344" s="28">
        <f>G344/(100-BE344)*100</f>
        <v>0</v>
      </c>
      <c r="BE344" s="28">
        <v>0</v>
      </c>
      <c r="BF344" s="28">
        <f>344</f>
        <v>344</v>
      </c>
      <c r="BH344" s="28">
        <f>F344*AO344</f>
        <v>0</v>
      </c>
      <c r="BI344" s="28">
        <f>F344*AP344</f>
        <v>0</v>
      </c>
      <c r="BJ344" s="28">
        <f>F344*G344</f>
        <v>0</v>
      </c>
      <c r="BK344" s="28"/>
      <c r="BL344" s="28">
        <v>764</v>
      </c>
      <c r="BW344" s="28">
        <v>21</v>
      </c>
      <c r="BX344" s="4" t="s">
        <v>361</v>
      </c>
    </row>
    <row r="345" spans="1:76" ht="13.5" customHeight="1" x14ac:dyDescent="0.25">
      <c r="A345" s="60"/>
      <c r="C345" s="255" t="s">
        <v>362</v>
      </c>
      <c r="D345" s="256"/>
      <c r="E345" s="256"/>
      <c r="F345" s="256"/>
      <c r="G345" s="256"/>
      <c r="H345" s="256"/>
      <c r="I345" s="256"/>
      <c r="J345" s="256"/>
      <c r="K345" s="257"/>
    </row>
    <row r="346" spans="1:76" x14ac:dyDescent="0.25">
      <c r="A346" s="160"/>
      <c r="B346" s="161"/>
      <c r="C346" s="162" t="s">
        <v>566</v>
      </c>
      <c r="D346" s="163" t="s">
        <v>567</v>
      </c>
      <c r="E346" s="161"/>
      <c r="F346" s="164">
        <v>166.4</v>
      </c>
      <c r="G346" s="161"/>
      <c r="H346" s="161"/>
      <c r="I346" s="161"/>
      <c r="J346" s="161"/>
      <c r="K346" s="165"/>
    </row>
    <row r="347" spans="1:76" x14ac:dyDescent="0.25">
      <c r="A347" s="146" t="s">
        <v>65</v>
      </c>
      <c r="B347" s="147" t="s">
        <v>370</v>
      </c>
      <c r="C347" s="286" t="s">
        <v>371</v>
      </c>
      <c r="D347" s="287"/>
      <c r="E347" s="147" t="s">
        <v>308</v>
      </c>
      <c r="F347" s="148">
        <v>2</v>
      </c>
      <c r="G347" s="148">
        <v>0</v>
      </c>
      <c r="H347" s="148">
        <f>ROUND(F347*AO347,2)</f>
        <v>0</v>
      </c>
      <c r="I347" s="148">
        <f>ROUND(F347*AP347,2)</f>
        <v>0</v>
      </c>
      <c r="J347" s="148">
        <f>ROUND(F347*G347,2)</f>
        <v>0</v>
      </c>
      <c r="K347" s="149" t="s">
        <v>223</v>
      </c>
      <c r="Z347" s="28">
        <f>ROUND(IF(AQ347="5",BJ347,0),2)</f>
        <v>0</v>
      </c>
      <c r="AB347" s="28">
        <f>ROUND(IF(AQ347="1",BH347,0),2)</f>
        <v>0</v>
      </c>
      <c r="AC347" s="28">
        <f>ROUND(IF(AQ347="1",BI347,0),2)</f>
        <v>0</v>
      </c>
      <c r="AD347" s="28">
        <f>ROUND(IF(AQ347="7",BH347,0),2)</f>
        <v>0</v>
      </c>
      <c r="AE347" s="28">
        <f>ROUND(IF(AQ347="7",BI347,0),2)</f>
        <v>0</v>
      </c>
      <c r="AF347" s="28">
        <f>ROUND(IF(AQ347="2",BH347,0),2)</f>
        <v>0</v>
      </c>
      <c r="AG347" s="28">
        <f>ROUND(IF(AQ347="2",BI347,0),2)</f>
        <v>0</v>
      </c>
      <c r="AH347" s="28">
        <f>ROUND(IF(AQ347="0",BJ347,0),2)</f>
        <v>0</v>
      </c>
      <c r="AI347" s="10" t="s">
        <v>409</v>
      </c>
      <c r="AJ347" s="28">
        <f>IF(AN347=0,J347,0)</f>
        <v>0</v>
      </c>
      <c r="AK347" s="28">
        <f>IF(AN347=12,J347,0)</f>
        <v>0</v>
      </c>
      <c r="AL347" s="28">
        <f>IF(AN347=21,J347,0)</f>
        <v>0</v>
      </c>
      <c r="AN347" s="28">
        <v>21</v>
      </c>
      <c r="AO347" s="28">
        <f>G347*0.048454259</f>
        <v>0</v>
      </c>
      <c r="AP347" s="28">
        <f>G347*(1-0.048454259)</f>
        <v>0</v>
      </c>
      <c r="AQ347" s="30" t="s">
        <v>111</v>
      </c>
      <c r="AV347" s="28">
        <f>ROUND(AW347+AX347,2)</f>
        <v>0</v>
      </c>
      <c r="AW347" s="28">
        <f>ROUND(F347*AO347,2)</f>
        <v>0</v>
      </c>
      <c r="AX347" s="28">
        <f>ROUND(F347*AP347,2)</f>
        <v>0</v>
      </c>
      <c r="AY347" s="30" t="s">
        <v>250</v>
      </c>
      <c r="AZ347" s="30" t="s">
        <v>451</v>
      </c>
      <c r="BA347" s="10" t="s">
        <v>415</v>
      </c>
      <c r="BC347" s="28">
        <f>AW347+AX347</f>
        <v>0</v>
      </c>
      <c r="BD347" s="28">
        <f>G347/(100-BE347)*100</f>
        <v>0</v>
      </c>
      <c r="BE347" s="28">
        <v>0</v>
      </c>
      <c r="BF347" s="28">
        <f>347</f>
        <v>347</v>
      </c>
      <c r="BH347" s="28">
        <f>F347*AO347</f>
        <v>0</v>
      </c>
      <c r="BI347" s="28">
        <f>F347*AP347</f>
        <v>0</v>
      </c>
      <c r="BJ347" s="28">
        <f>F347*G347</f>
        <v>0</v>
      </c>
      <c r="BK347" s="28"/>
      <c r="BL347" s="28">
        <v>764</v>
      </c>
      <c r="BW347" s="28">
        <v>21</v>
      </c>
      <c r="BX347" s="4" t="s">
        <v>371</v>
      </c>
    </row>
    <row r="348" spans="1:76" x14ac:dyDescent="0.25">
      <c r="A348" s="150"/>
      <c r="B348" s="151"/>
      <c r="C348" s="152" t="s">
        <v>60</v>
      </c>
      <c r="D348" s="153" t="s">
        <v>372</v>
      </c>
      <c r="E348" s="151"/>
      <c r="F348" s="154">
        <v>2</v>
      </c>
      <c r="G348" s="151"/>
      <c r="H348" s="151"/>
      <c r="I348" s="151"/>
      <c r="J348" s="151"/>
      <c r="K348" s="155"/>
    </row>
    <row r="349" spans="1:76" x14ac:dyDescent="0.25">
      <c r="A349" s="156" t="s">
        <v>568</v>
      </c>
      <c r="B349" s="157" t="s">
        <v>374</v>
      </c>
      <c r="C349" s="288" t="s">
        <v>375</v>
      </c>
      <c r="D349" s="289"/>
      <c r="E349" s="157" t="s">
        <v>205</v>
      </c>
      <c r="F349" s="158">
        <v>1</v>
      </c>
      <c r="G349" s="158">
        <v>0</v>
      </c>
      <c r="H349" s="158">
        <f>ROUND(F349*AO349,2)</f>
        <v>0</v>
      </c>
      <c r="I349" s="158">
        <f>ROUND(F349*AP349,2)</f>
        <v>0</v>
      </c>
      <c r="J349" s="158">
        <f>ROUND(F349*G349,2)</f>
        <v>0</v>
      </c>
      <c r="K349" s="159" t="s">
        <v>223</v>
      </c>
      <c r="Z349" s="28">
        <f>ROUND(IF(AQ349="5",BJ349,0),2)</f>
        <v>0</v>
      </c>
      <c r="AB349" s="28">
        <f>ROUND(IF(AQ349="1",BH349,0),2)</f>
        <v>0</v>
      </c>
      <c r="AC349" s="28">
        <f>ROUND(IF(AQ349="1",BI349,0),2)</f>
        <v>0</v>
      </c>
      <c r="AD349" s="28">
        <f>ROUND(IF(AQ349="7",BH349,0),2)</f>
        <v>0</v>
      </c>
      <c r="AE349" s="28">
        <f>ROUND(IF(AQ349="7",BI349,0),2)</f>
        <v>0</v>
      </c>
      <c r="AF349" s="28">
        <f>ROUND(IF(AQ349="2",BH349,0),2)</f>
        <v>0</v>
      </c>
      <c r="AG349" s="28">
        <f>ROUND(IF(AQ349="2",BI349,0),2)</f>
        <v>0</v>
      </c>
      <c r="AH349" s="28">
        <f>ROUND(IF(AQ349="0",BJ349,0),2)</f>
        <v>0</v>
      </c>
      <c r="AI349" s="10" t="s">
        <v>409</v>
      </c>
      <c r="AJ349" s="41">
        <f>IF(AN349=0,J349,0)</f>
        <v>0</v>
      </c>
      <c r="AK349" s="41">
        <f>IF(AN349=12,J349,0)</f>
        <v>0</v>
      </c>
      <c r="AL349" s="41">
        <f>IF(AN349=21,J349,0)</f>
        <v>0</v>
      </c>
      <c r="AN349" s="28">
        <v>21</v>
      </c>
      <c r="AO349" s="28">
        <f>G349*1</f>
        <v>0</v>
      </c>
      <c r="AP349" s="28">
        <f>G349*(1-1)</f>
        <v>0</v>
      </c>
      <c r="AQ349" s="43" t="s">
        <v>111</v>
      </c>
      <c r="AV349" s="28">
        <f>ROUND(AW349+AX349,2)</f>
        <v>0</v>
      </c>
      <c r="AW349" s="28">
        <f>ROUND(F349*AO349,2)</f>
        <v>0</v>
      </c>
      <c r="AX349" s="28">
        <f>ROUND(F349*AP349,2)</f>
        <v>0</v>
      </c>
      <c r="AY349" s="30" t="s">
        <v>250</v>
      </c>
      <c r="AZ349" s="30" t="s">
        <v>451</v>
      </c>
      <c r="BA349" s="10" t="s">
        <v>415</v>
      </c>
      <c r="BC349" s="28">
        <f>AW349+AX349</f>
        <v>0</v>
      </c>
      <c r="BD349" s="28">
        <f>G349/(100-BE349)*100</f>
        <v>0</v>
      </c>
      <c r="BE349" s="28">
        <v>0</v>
      </c>
      <c r="BF349" s="28">
        <f>349</f>
        <v>349</v>
      </c>
      <c r="BH349" s="41">
        <f>F349*AO349</f>
        <v>0</v>
      </c>
      <c r="BI349" s="41">
        <f>F349*AP349</f>
        <v>0</v>
      </c>
      <c r="BJ349" s="41">
        <f>F349*G349</f>
        <v>0</v>
      </c>
      <c r="BK349" s="41"/>
      <c r="BL349" s="28">
        <v>764</v>
      </c>
      <c r="BW349" s="28">
        <v>21</v>
      </c>
      <c r="BX349" s="40" t="s">
        <v>375</v>
      </c>
    </row>
    <row r="350" spans="1:76" x14ac:dyDescent="0.25">
      <c r="A350" s="150"/>
      <c r="B350" s="151"/>
      <c r="C350" s="152" t="s">
        <v>569</v>
      </c>
      <c r="D350" s="153" t="s">
        <v>372</v>
      </c>
      <c r="E350" s="151"/>
      <c r="F350" s="154">
        <v>1</v>
      </c>
      <c r="G350" s="151"/>
      <c r="H350" s="151"/>
      <c r="I350" s="151"/>
      <c r="J350" s="151"/>
      <c r="K350" s="155"/>
    </row>
    <row r="351" spans="1:76" x14ac:dyDescent="0.25">
      <c r="A351" s="146" t="s">
        <v>570</v>
      </c>
      <c r="B351" s="147" t="s">
        <v>302</v>
      </c>
      <c r="C351" s="286" t="s">
        <v>303</v>
      </c>
      <c r="D351" s="287"/>
      <c r="E351" s="147" t="s">
        <v>205</v>
      </c>
      <c r="F351" s="148">
        <v>164.2</v>
      </c>
      <c r="G351" s="148">
        <v>0</v>
      </c>
      <c r="H351" s="148">
        <f>ROUND(F351*AO351,2)</f>
        <v>0</v>
      </c>
      <c r="I351" s="148">
        <f>ROUND(F351*AP351,2)</f>
        <v>0</v>
      </c>
      <c r="J351" s="148">
        <f>ROUND(F351*G351,2)</f>
        <v>0</v>
      </c>
      <c r="K351" s="149" t="s">
        <v>223</v>
      </c>
      <c r="Z351" s="28">
        <f>ROUND(IF(AQ351="5",BJ351,0),2)</f>
        <v>0</v>
      </c>
      <c r="AB351" s="28">
        <f>ROUND(IF(AQ351="1",BH351,0),2)</f>
        <v>0</v>
      </c>
      <c r="AC351" s="28">
        <f>ROUND(IF(AQ351="1",BI351,0),2)</f>
        <v>0</v>
      </c>
      <c r="AD351" s="28">
        <f>ROUND(IF(AQ351="7",BH351,0),2)</f>
        <v>0</v>
      </c>
      <c r="AE351" s="28">
        <f>ROUND(IF(AQ351="7",BI351,0),2)</f>
        <v>0</v>
      </c>
      <c r="AF351" s="28">
        <f>ROUND(IF(AQ351="2",BH351,0),2)</f>
        <v>0</v>
      </c>
      <c r="AG351" s="28">
        <f>ROUND(IF(AQ351="2",BI351,0),2)</f>
        <v>0</v>
      </c>
      <c r="AH351" s="28">
        <f>ROUND(IF(AQ351="0",BJ351,0),2)</f>
        <v>0</v>
      </c>
      <c r="AI351" s="10" t="s">
        <v>409</v>
      </c>
      <c r="AJ351" s="28">
        <f>IF(AN351=0,J351,0)</f>
        <v>0</v>
      </c>
      <c r="AK351" s="28">
        <f>IF(AN351=12,J351,0)</f>
        <v>0</v>
      </c>
      <c r="AL351" s="28">
        <f>IF(AN351=21,J351,0)</f>
        <v>0</v>
      </c>
      <c r="AN351" s="28">
        <v>21</v>
      </c>
      <c r="AO351" s="28">
        <f>G351*0.027366898</f>
        <v>0</v>
      </c>
      <c r="AP351" s="28">
        <f>G351*(1-0.027366898)</f>
        <v>0</v>
      </c>
      <c r="AQ351" s="30" t="s">
        <v>111</v>
      </c>
      <c r="AV351" s="28">
        <f>ROUND(AW351+AX351,2)</f>
        <v>0</v>
      </c>
      <c r="AW351" s="28">
        <f>ROUND(F351*AO351,2)</f>
        <v>0</v>
      </c>
      <c r="AX351" s="28">
        <f>ROUND(F351*AP351,2)</f>
        <v>0</v>
      </c>
      <c r="AY351" s="30" t="s">
        <v>250</v>
      </c>
      <c r="AZ351" s="30" t="s">
        <v>451</v>
      </c>
      <c r="BA351" s="10" t="s">
        <v>415</v>
      </c>
      <c r="BC351" s="28">
        <f>AW351+AX351</f>
        <v>0</v>
      </c>
      <c r="BD351" s="28">
        <f>G351/(100-BE351)*100</f>
        <v>0</v>
      </c>
      <c r="BE351" s="28">
        <v>0</v>
      </c>
      <c r="BF351" s="28">
        <f>351</f>
        <v>351</v>
      </c>
      <c r="BH351" s="28">
        <f>F351*AO351</f>
        <v>0</v>
      </c>
      <c r="BI351" s="28">
        <f>F351*AP351</f>
        <v>0</v>
      </c>
      <c r="BJ351" s="28">
        <f>F351*G351</f>
        <v>0</v>
      </c>
      <c r="BK351" s="28"/>
      <c r="BL351" s="28">
        <v>764</v>
      </c>
      <c r="BW351" s="28">
        <v>21</v>
      </c>
      <c r="BX351" s="4" t="s">
        <v>303</v>
      </c>
    </row>
    <row r="352" spans="1:76" x14ac:dyDescent="0.25">
      <c r="A352" s="150"/>
      <c r="B352" s="151"/>
      <c r="C352" s="152" t="s">
        <v>571</v>
      </c>
      <c r="D352" s="153" t="s">
        <v>572</v>
      </c>
      <c r="E352" s="151"/>
      <c r="F352" s="154">
        <v>164.2</v>
      </c>
      <c r="G352" s="151"/>
      <c r="H352" s="151"/>
      <c r="I352" s="151"/>
      <c r="J352" s="151"/>
      <c r="K352" s="155"/>
    </row>
    <row r="353" spans="1:76" x14ac:dyDescent="0.25">
      <c r="A353" s="156" t="s">
        <v>573</v>
      </c>
      <c r="B353" s="157" t="s">
        <v>306</v>
      </c>
      <c r="C353" s="288" t="s">
        <v>307</v>
      </c>
      <c r="D353" s="289"/>
      <c r="E353" s="157" t="s">
        <v>308</v>
      </c>
      <c r="F353" s="158">
        <v>273.66667000000001</v>
      </c>
      <c r="G353" s="158">
        <v>0</v>
      </c>
      <c r="H353" s="158">
        <f>ROUND(F353*AO353,2)</f>
        <v>0</v>
      </c>
      <c r="I353" s="158">
        <f>ROUND(F353*AP353,2)</f>
        <v>0</v>
      </c>
      <c r="J353" s="158">
        <f>ROUND(F353*G353,2)</f>
        <v>0</v>
      </c>
      <c r="K353" s="159" t="s">
        <v>223</v>
      </c>
      <c r="Z353" s="28">
        <f>ROUND(IF(AQ353="5",BJ353,0),2)</f>
        <v>0</v>
      </c>
      <c r="AB353" s="28">
        <f>ROUND(IF(AQ353="1",BH353,0),2)</f>
        <v>0</v>
      </c>
      <c r="AC353" s="28">
        <f>ROUND(IF(AQ353="1",BI353,0),2)</f>
        <v>0</v>
      </c>
      <c r="AD353" s="28">
        <f>ROUND(IF(AQ353="7",BH353,0),2)</f>
        <v>0</v>
      </c>
      <c r="AE353" s="28">
        <f>ROUND(IF(AQ353="7",BI353,0),2)</f>
        <v>0</v>
      </c>
      <c r="AF353" s="28">
        <f>ROUND(IF(AQ353="2",BH353,0),2)</f>
        <v>0</v>
      </c>
      <c r="AG353" s="28">
        <f>ROUND(IF(AQ353="2",BI353,0),2)</f>
        <v>0</v>
      </c>
      <c r="AH353" s="28">
        <f>ROUND(IF(AQ353="0",BJ353,0),2)</f>
        <v>0</v>
      </c>
      <c r="AI353" s="10" t="s">
        <v>409</v>
      </c>
      <c r="AJ353" s="41">
        <f>IF(AN353=0,J353,0)</f>
        <v>0</v>
      </c>
      <c r="AK353" s="41">
        <f>IF(AN353=12,J353,0)</f>
        <v>0</v>
      </c>
      <c r="AL353" s="41">
        <f>IF(AN353=21,J353,0)</f>
        <v>0</v>
      </c>
      <c r="AN353" s="28">
        <v>21</v>
      </c>
      <c r="AO353" s="28">
        <f>G353*1</f>
        <v>0</v>
      </c>
      <c r="AP353" s="28">
        <f>G353*(1-1)</f>
        <v>0</v>
      </c>
      <c r="AQ353" s="43" t="s">
        <v>111</v>
      </c>
      <c r="AV353" s="28">
        <f>ROUND(AW353+AX353,2)</f>
        <v>0</v>
      </c>
      <c r="AW353" s="28">
        <f>ROUND(F353*AO353,2)</f>
        <v>0</v>
      </c>
      <c r="AX353" s="28">
        <f>ROUND(F353*AP353,2)</f>
        <v>0</v>
      </c>
      <c r="AY353" s="30" t="s">
        <v>250</v>
      </c>
      <c r="AZ353" s="30" t="s">
        <v>451</v>
      </c>
      <c r="BA353" s="10" t="s">
        <v>415</v>
      </c>
      <c r="BC353" s="28">
        <f>AW353+AX353</f>
        <v>0</v>
      </c>
      <c r="BD353" s="28">
        <f>G353/(100-BE353)*100</f>
        <v>0</v>
      </c>
      <c r="BE353" s="28">
        <v>0</v>
      </c>
      <c r="BF353" s="28">
        <f>353</f>
        <v>353</v>
      </c>
      <c r="BH353" s="41">
        <f>F353*AO353</f>
        <v>0</v>
      </c>
      <c r="BI353" s="41">
        <f>F353*AP353</f>
        <v>0</v>
      </c>
      <c r="BJ353" s="41">
        <f>F353*G353</f>
        <v>0</v>
      </c>
      <c r="BK353" s="41"/>
      <c r="BL353" s="28">
        <v>764</v>
      </c>
      <c r="BW353" s="28">
        <v>21</v>
      </c>
      <c r="BX353" s="40" t="s">
        <v>307</v>
      </c>
    </row>
    <row r="354" spans="1:76" x14ac:dyDescent="0.25">
      <c r="A354" s="150"/>
      <c r="B354" s="151"/>
      <c r="C354" s="152" t="s">
        <v>574</v>
      </c>
      <c r="D354" s="153" t="s">
        <v>52</v>
      </c>
      <c r="E354" s="151"/>
      <c r="F354" s="154">
        <v>273.66667000000001</v>
      </c>
      <c r="G354" s="151"/>
      <c r="H354" s="151"/>
      <c r="I354" s="151"/>
      <c r="J354" s="151"/>
      <c r="K354" s="155"/>
    </row>
    <row r="355" spans="1:76" x14ac:dyDescent="0.25">
      <c r="A355" s="156" t="s">
        <v>575</v>
      </c>
      <c r="B355" s="157" t="s">
        <v>312</v>
      </c>
      <c r="C355" s="288" t="s">
        <v>313</v>
      </c>
      <c r="D355" s="289"/>
      <c r="E355" s="157" t="s">
        <v>205</v>
      </c>
      <c r="F355" s="158">
        <v>164.2</v>
      </c>
      <c r="G355" s="158">
        <v>0</v>
      </c>
      <c r="H355" s="158">
        <f>ROUND(F355*AO355,2)</f>
        <v>0</v>
      </c>
      <c r="I355" s="158">
        <f>ROUND(F355*AP355,2)</f>
        <v>0</v>
      </c>
      <c r="J355" s="158">
        <f>ROUND(F355*G355,2)</f>
        <v>0</v>
      </c>
      <c r="K355" s="159" t="s">
        <v>223</v>
      </c>
      <c r="Z355" s="28">
        <f>ROUND(IF(AQ355="5",BJ355,0),2)</f>
        <v>0</v>
      </c>
      <c r="AB355" s="28">
        <f>ROUND(IF(AQ355="1",BH355,0),2)</f>
        <v>0</v>
      </c>
      <c r="AC355" s="28">
        <f>ROUND(IF(AQ355="1",BI355,0),2)</f>
        <v>0</v>
      </c>
      <c r="AD355" s="28">
        <f>ROUND(IF(AQ355="7",BH355,0),2)</f>
        <v>0</v>
      </c>
      <c r="AE355" s="28">
        <f>ROUND(IF(AQ355="7",BI355,0),2)</f>
        <v>0</v>
      </c>
      <c r="AF355" s="28">
        <f>ROUND(IF(AQ355="2",BH355,0),2)</f>
        <v>0</v>
      </c>
      <c r="AG355" s="28">
        <f>ROUND(IF(AQ355="2",BI355,0),2)</f>
        <v>0</v>
      </c>
      <c r="AH355" s="28">
        <f>ROUND(IF(AQ355="0",BJ355,0),2)</f>
        <v>0</v>
      </c>
      <c r="AI355" s="10" t="s">
        <v>409</v>
      </c>
      <c r="AJ355" s="41">
        <f>IF(AN355=0,J355,0)</f>
        <v>0</v>
      </c>
      <c r="AK355" s="41">
        <f>IF(AN355=12,J355,0)</f>
        <v>0</v>
      </c>
      <c r="AL355" s="41">
        <f>IF(AN355=21,J355,0)</f>
        <v>0</v>
      </c>
      <c r="AN355" s="28">
        <v>21</v>
      </c>
      <c r="AO355" s="28">
        <f>G355*1</f>
        <v>0</v>
      </c>
      <c r="AP355" s="28">
        <f>G355*(1-1)</f>
        <v>0</v>
      </c>
      <c r="AQ355" s="43" t="s">
        <v>111</v>
      </c>
      <c r="AV355" s="28">
        <f>ROUND(AW355+AX355,2)</f>
        <v>0</v>
      </c>
      <c r="AW355" s="28">
        <f>ROUND(F355*AO355,2)</f>
        <v>0</v>
      </c>
      <c r="AX355" s="28">
        <f>ROUND(F355*AP355,2)</f>
        <v>0</v>
      </c>
      <c r="AY355" s="30" t="s">
        <v>250</v>
      </c>
      <c r="AZ355" s="30" t="s">
        <v>451</v>
      </c>
      <c r="BA355" s="10" t="s">
        <v>415</v>
      </c>
      <c r="BC355" s="28">
        <f>AW355+AX355</f>
        <v>0</v>
      </c>
      <c r="BD355" s="28">
        <f>G355/(100-BE355)*100</f>
        <v>0</v>
      </c>
      <c r="BE355" s="28">
        <v>0</v>
      </c>
      <c r="BF355" s="28">
        <f>355</f>
        <v>355</v>
      </c>
      <c r="BH355" s="41">
        <f>F355*AO355</f>
        <v>0</v>
      </c>
      <c r="BI355" s="41">
        <f>F355*AP355</f>
        <v>0</v>
      </c>
      <c r="BJ355" s="41">
        <f>F355*G355</f>
        <v>0</v>
      </c>
      <c r="BK355" s="41"/>
      <c r="BL355" s="28">
        <v>764</v>
      </c>
      <c r="BW355" s="28">
        <v>21</v>
      </c>
      <c r="BX355" s="40" t="s">
        <v>313</v>
      </c>
    </row>
    <row r="356" spans="1:76" x14ac:dyDescent="0.25">
      <c r="A356" s="150"/>
      <c r="B356" s="151"/>
      <c r="C356" s="152" t="s">
        <v>576</v>
      </c>
      <c r="D356" s="153" t="s">
        <v>52</v>
      </c>
      <c r="E356" s="151"/>
      <c r="F356" s="154">
        <v>164.2</v>
      </c>
      <c r="G356" s="151"/>
      <c r="H356" s="151"/>
      <c r="I356" s="151"/>
      <c r="J356" s="151"/>
      <c r="K356" s="155"/>
    </row>
    <row r="357" spans="1:76" x14ac:dyDescent="0.25">
      <c r="A357" s="156" t="s">
        <v>577</v>
      </c>
      <c r="B357" s="157" t="s">
        <v>317</v>
      </c>
      <c r="C357" s="288" t="s">
        <v>318</v>
      </c>
      <c r="D357" s="289"/>
      <c r="E357" s="157" t="s">
        <v>308</v>
      </c>
      <c r="F357" s="158">
        <v>164.2</v>
      </c>
      <c r="G357" s="158">
        <v>0</v>
      </c>
      <c r="H357" s="158">
        <f>ROUND(F357*AO357,2)</f>
        <v>0</v>
      </c>
      <c r="I357" s="158">
        <f>ROUND(F357*AP357,2)</f>
        <v>0</v>
      </c>
      <c r="J357" s="158">
        <f>ROUND(F357*G357,2)</f>
        <v>0</v>
      </c>
      <c r="K357" s="159" t="s">
        <v>223</v>
      </c>
      <c r="Z357" s="28">
        <f>ROUND(IF(AQ357="5",BJ357,0),2)</f>
        <v>0</v>
      </c>
      <c r="AB357" s="28">
        <f>ROUND(IF(AQ357="1",BH357,0),2)</f>
        <v>0</v>
      </c>
      <c r="AC357" s="28">
        <f>ROUND(IF(AQ357="1",BI357,0),2)</f>
        <v>0</v>
      </c>
      <c r="AD357" s="28">
        <f>ROUND(IF(AQ357="7",BH357,0),2)</f>
        <v>0</v>
      </c>
      <c r="AE357" s="28">
        <f>ROUND(IF(AQ357="7",BI357,0),2)</f>
        <v>0</v>
      </c>
      <c r="AF357" s="28">
        <f>ROUND(IF(AQ357="2",BH357,0),2)</f>
        <v>0</v>
      </c>
      <c r="AG357" s="28">
        <f>ROUND(IF(AQ357="2",BI357,0),2)</f>
        <v>0</v>
      </c>
      <c r="AH357" s="28">
        <f>ROUND(IF(AQ357="0",BJ357,0),2)</f>
        <v>0</v>
      </c>
      <c r="AI357" s="10" t="s">
        <v>409</v>
      </c>
      <c r="AJ357" s="41">
        <f>IF(AN357=0,J357,0)</f>
        <v>0</v>
      </c>
      <c r="AK357" s="41">
        <f>IF(AN357=12,J357,0)</f>
        <v>0</v>
      </c>
      <c r="AL357" s="41">
        <f>IF(AN357=21,J357,0)</f>
        <v>0</v>
      </c>
      <c r="AN357" s="28">
        <v>21</v>
      </c>
      <c r="AO357" s="28">
        <f>G357*1</f>
        <v>0</v>
      </c>
      <c r="AP357" s="28">
        <f>G357*(1-1)</f>
        <v>0</v>
      </c>
      <c r="AQ357" s="43" t="s">
        <v>111</v>
      </c>
      <c r="AV357" s="28">
        <f>ROUND(AW357+AX357,2)</f>
        <v>0</v>
      </c>
      <c r="AW357" s="28">
        <f>ROUND(F357*AO357,2)</f>
        <v>0</v>
      </c>
      <c r="AX357" s="28">
        <f>ROUND(F357*AP357,2)</f>
        <v>0</v>
      </c>
      <c r="AY357" s="30" t="s">
        <v>250</v>
      </c>
      <c r="AZ357" s="30" t="s">
        <v>451</v>
      </c>
      <c r="BA357" s="10" t="s">
        <v>415</v>
      </c>
      <c r="BC357" s="28">
        <f>AW357+AX357</f>
        <v>0</v>
      </c>
      <c r="BD357" s="28">
        <f>G357/(100-BE357)*100</f>
        <v>0</v>
      </c>
      <c r="BE357" s="28">
        <v>0</v>
      </c>
      <c r="BF357" s="28">
        <f>357</f>
        <v>357</v>
      </c>
      <c r="BH357" s="41">
        <f>F357*AO357</f>
        <v>0</v>
      </c>
      <c r="BI357" s="41">
        <f>F357*AP357</f>
        <v>0</v>
      </c>
      <c r="BJ357" s="41">
        <f>F357*G357</f>
        <v>0</v>
      </c>
      <c r="BK357" s="41"/>
      <c r="BL357" s="28">
        <v>764</v>
      </c>
      <c r="BW357" s="28">
        <v>21</v>
      </c>
      <c r="BX357" s="40" t="s">
        <v>318</v>
      </c>
    </row>
    <row r="358" spans="1:76" x14ac:dyDescent="0.25">
      <c r="A358" s="150"/>
      <c r="B358" s="151"/>
      <c r="C358" s="152" t="s">
        <v>576</v>
      </c>
      <c r="D358" s="153" t="s">
        <v>52</v>
      </c>
      <c r="E358" s="151"/>
      <c r="F358" s="154">
        <v>164.2</v>
      </c>
      <c r="G358" s="151"/>
      <c r="H358" s="151"/>
      <c r="I358" s="151"/>
      <c r="J358" s="151"/>
      <c r="K358" s="155"/>
    </row>
    <row r="359" spans="1:76" x14ac:dyDescent="0.25">
      <c r="A359" s="156" t="s">
        <v>578</v>
      </c>
      <c r="B359" s="157" t="s">
        <v>322</v>
      </c>
      <c r="C359" s="288" t="s">
        <v>323</v>
      </c>
      <c r="D359" s="289"/>
      <c r="E359" s="157" t="s">
        <v>308</v>
      </c>
      <c r="F359" s="158">
        <v>164.2</v>
      </c>
      <c r="G359" s="158">
        <v>0</v>
      </c>
      <c r="H359" s="158">
        <f>ROUND(F359*AO359,2)</f>
        <v>0</v>
      </c>
      <c r="I359" s="158">
        <f>ROUND(F359*AP359,2)</f>
        <v>0</v>
      </c>
      <c r="J359" s="158">
        <f>ROUND(F359*G359,2)</f>
        <v>0</v>
      </c>
      <c r="K359" s="159" t="s">
        <v>223</v>
      </c>
      <c r="Z359" s="28">
        <f>ROUND(IF(AQ359="5",BJ359,0),2)</f>
        <v>0</v>
      </c>
      <c r="AB359" s="28">
        <f>ROUND(IF(AQ359="1",BH359,0),2)</f>
        <v>0</v>
      </c>
      <c r="AC359" s="28">
        <f>ROUND(IF(AQ359="1",BI359,0),2)</f>
        <v>0</v>
      </c>
      <c r="AD359" s="28">
        <f>ROUND(IF(AQ359="7",BH359,0),2)</f>
        <v>0</v>
      </c>
      <c r="AE359" s="28">
        <f>ROUND(IF(AQ359="7",BI359,0),2)</f>
        <v>0</v>
      </c>
      <c r="AF359" s="28">
        <f>ROUND(IF(AQ359="2",BH359,0),2)</f>
        <v>0</v>
      </c>
      <c r="AG359" s="28">
        <f>ROUND(IF(AQ359="2",BI359,0),2)</f>
        <v>0</v>
      </c>
      <c r="AH359" s="28">
        <f>ROUND(IF(AQ359="0",BJ359,0),2)</f>
        <v>0</v>
      </c>
      <c r="AI359" s="10" t="s">
        <v>409</v>
      </c>
      <c r="AJ359" s="41">
        <f>IF(AN359=0,J359,0)</f>
        <v>0</v>
      </c>
      <c r="AK359" s="41">
        <f>IF(AN359=12,J359,0)</f>
        <v>0</v>
      </c>
      <c r="AL359" s="41">
        <f>IF(AN359=21,J359,0)</f>
        <v>0</v>
      </c>
      <c r="AN359" s="28">
        <v>21</v>
      </c>
      <c r="AO359" s="28">
        <f>G359*1</f>
        <v>0</v>
      </c>
      <c r="AP359" s="28">
        <f>G359*(1-1)</f>
        <v>0</v>
      </c>
      <c r="AQ359" s="43" t="s">
        <v>111</v>
      </c>
      <c r="AV359" s="28">
        <f>ROUND(AW359+AX359,2)</f>
        <v>0</v>
      </c>
      <c r="AW359" s="28">
        <f>ROUND(F359*AO359,2)</f>
        <v>0</v>
      </c>
      <c r="AX359" s="28">
        <f>ROUND(F359*AP359,2)</f>
        <v>0</v>
      </c>
      <c r="AY359" s="30" t="s">
        <v>250</v>
      </c>
      <c r="AZ359" s="30" t="s">
        <v>451</v>
      </c>
      <c r="BA359" s="10" t="s">
        <v>415</v>
      </c>
      <c r="BC359" s="28">
        <f>AW359+AX359</f>
        <v>0</v>
      </c>
      <c r="BD359" s="28">
        <f>G359/(100-BE359)*100</f>
        <v>0</v>
      </c>
      <c r="BE359" s="28">
        <v>0</v>
      </c>
      <c r="BF359" s="28">
        <f>359</f>
        <v>359</v>
      </c>
      <c r="BH359" s="41">
        <f>F359*AO359</f>
        <v>0</v>
      </c>
      <c r="BI359" s="41">
        <f>F359*AP359</f>
        <v>0</v>
      </c>
      <c r="BJ359" s="41">
        <f>F359*G359</f>
        <v>0</v>
      </c>
      <c r="BK359" s="41"/>
      <c r="BL359" s="28">
        <v>764</v>
      </c>
      <c r="BW359" s="28">
        <v>21</v>
      </c>
      <c r="BX359" s="40" t="s">
        <v>323</v>
      </c>
    </row>
    <row r="360" spans="1:76" x14ac:dyDescent="0.25">
      <c r="A360" s="150"/>
      <c r="B360" s="151"/>
      <c r="C360" s="152" t="s">
        <v>576</v>
      </c>
      <c r="D360" s="153" t="s">
        <v>52</v>
      </c>
      <c r="E360" s="151"/>
      <c r="F360" s="154">
        <v>164.2</v>
      </c>
      <c r="G360" s="151"/>
      <c r="H360" s="151"/>
      <c r="I360" s="151"/>
      <c r="J360" s="151"/>
      <c r="K360" s="155"/>
    </row>
    <row r="361" spans="1:76" x14ac:dyDescent="0.25">
      <c r="A361" s="174" t="s">
        <v>579</v>
      </c>
      <c r="B361" s="175" t="s">
        <v>580</v>
      </c>
      <c r="C361" s="294" t="s">
        <v>581</v>
      </c>
      <c r="D361" s="295"/>
      <c r="E361" s="175" t="s">
        <v>205</v>
      </c>
      <c r="F361" s="176">
        <v>10.55</v>
      </c>
      <c r="G361" s="176">
        <v>0</v>
      </c>
      <c r="H361" s="176">
        <f>ROUND(F361*AO361,2)</f>
        <v>0</v>
      </c>
      <c r="I361" s="176">
        <f>ROUND(F361*AP361,2)</f>
        <v>0</v>
      </c>
      <c r="J361" s="176">
        <f>ROUND(F361*G361,2)</f>
        <v>0</v>
      </c>
      <c r="K361" s="177" t="s">
        <v>70</v>
      </c>
      <c r="Z361" s="28">
        <f>ROUND(IF(AQ361="5",BJ361,0),2)</f>
        <v>0</v>
      </c>
      <c r="AB361" s="28">
        <f>ROUND(IF(AQ361="1",BH361,0),2)</f>
        <v>0</v>
      </c>
      <c r="AC361" s="28">
        <f>ROUND(IF(AQ361="1",BI361,0),2)</f>
        <v>0</v>
      </c>
      <c r="AD361" s="28">
        <f>ROUND(IF(AQ361="7",BH361,0),2)</f>
        <v>0</v>
      </c>
      <c r="AE361" s="28">
        <f>ROUND(IF(AQ361="7",BI361,0),2)</f>
        <v>0</v>
      </c>
      <c r="AF361" s="28">
        <f>ROUND(IF(AQ361="2",BH361,0),2)</f>
        <v>0</v>
      </c>
      <c r="AG361" s="28">
        <f>ROUND(IF(AQ361="2",BI361,0),2)</f>
        <v>0</v>
      </c>
      <c r="AH361" s="28">
        <f>ROUND(IF(AQ361="0",BJ361,0),2)</f>
        <v>0</v>
      </c>
      <c r="AI361" s="10" t="s">
        <v>409</v>
      </c>
      <c r="AJ361" s="28">
        <f>IF(AN361=0,J361,0)</f>
        <v>0</v>
      </c>
      <c r="AK361" s="28">
        <f>IF(AN361=12,J361,0)</f>
        <v>0</v>
      </c>
      <c r="AL361" s="28">
        <f>IF(AN361=21,J361,0)</f>
        <v>0</v>
      </c>
      <c r="AN361" s="28">
        <v>21</v>
      </c>
      <c r="AO361" s="28">
        <f>G361*0</f>
        <v>0</v>
      </c>
      <c r="AP361" s="28">
        <f>G361*(1-0)</f>
        <v>0</v>
      </c>
      <c r="AQ361" s="30" t="s">
        <v>111</v>
      </c>
      <c r="AV361" s="28">
        <f>ROUND(AW361+AX361,2)</f>
        <v>0</v>
      </c>
      <c r="AW361" s="28">
        <f>ROUND(F361*AO361,2)</f>
        <v>0</v>
      </c>
      <c r="AX361" s="28">
        <f>ROUND(F361*AP361,2)</f>
        <v>0</v>
      </c>
      <c r="AY361" s="30" t="s">
        <v>250</v>
      </c>
      <c r="AZ361" s="30" t="s">
        <v>451</v>
      </c>
      <c r="BA361" s="10" t="s">
        <v>415</v>
      </c>
      <c r="BC361" s="28">
        <f>AW361+AX361</f>
        <v>0</v>
      </c>
      <c r="BD361" s="28">
        <f>G361/(100-BE361)*100</f>
        <v>0</v>
      </c>
      <c r="BE361" s="28">
        <v>0</v>
      </c>
      <c r="BF361" s="28">
        <f>361</f>
        <v>361</v>
      </c>
      <c r="BH361" s="28">
        <f>F361*AO361</f>
        <v>0</v>
      </c>
      <c r="BI361" s="28">
        <f>F361*AP361</f>
        <v>0</v>
      </c>
      <c r="BJ361" s="28">
        <f>F361*G361</f>
        <v>0</v>
      </c>
      <c r="BK361" s="28"/>
      <c r="BL361" s="28">
        <v>764</v>
      </c>
      <c r="BW361" s="28">
        <v>21</v>
      </c>
      <c r="BX361" s="4" t="s">
        <v>581</v>
      </c>
    </row>
    <row r="362" spans="1:76" x14ac:dyDescent="0.25">
      <c r="A362" s="112"/>
      <c r="B362" s="113"/>
      <c r="C362" s="114" t="s">
        <v>582</v>
      </c>
      <c r="D362" s="115" t="s">
        <v>583</v>
      </c>
      <c r="E362" s="113"/>
      <c r="F362" s="116">
        <v>10.55</v>
      </c>
      <c r="G362" s="113"/>
      <c r="H362" s="113"/>
      <c r="I362" s="113"/>
      <c r="J362" s="113"/>
      <c r="K362" s="117"/>
    </row>
    <row r="363" spans="1:76" x14ac:dyDescent="0.25">
      <c r="A363" s="174" t="s">
        <v>584</v>
      </c>
      <c r="B363" s="175" t="s">
        <v>585</v>
      </c>
      <c r="C363" s="294" t="s">
        <v>586</v>
      </c>
      <c r="D363" s="295"/>
      <c r="E363" s="175" t="s">
        <v>205</v>
      </c>
      <c r="F363" s="176">
        <v>8.35</v>
      </c>
      <c r="G363" s="176">
        <v>0</v>
      </c>
      <c r="H363" s="176">
        <f>ROUND(F363*AO363,2)</f>
        <v>0</v>
      </c>
      <c r="I363" s="176">
        <f>ROUND(F363*AP363,2)</f>
        <v>0</v>
      </c>
      <c r="J363" s="176">
        <f>ROUND(F363*G363,2)</f>
        <v>0</v>
      </c>
      <c r="K363" s="177" t="s">
        <v>70</v>
      </c>
      <c r="Z363" s="28">
        <f>ROUND(IF(AQ363="5",BJ363,0),2)</f>
        <v>0</v>
      </c>
      <c r="AB363" s="28">
        <f>ROUND(IF(AQ363="1",BH363,0),2)</f>
        <v>0</v>
      </c>
      <c r="AC363" s="28">
        <f>ROUND(IF(AQ363="1",BI363,0),2)</f>
        <v>0</v>
      </c>
      <c r="AD363" s="28">
        <f>ROUND(IF(AQ363="7",BH363,0),2)</f>
        <v>0</v>
      </c>
      <c r="AE363" s="28">
        <f>ROUND(IF(AQ363="7",BI363,0),2)</f>
        <v>0</v>
      </c>
      <c r="AF363" s="28">
        <f>ROUND(IF(AQ363="2",BH363,0),2)</f>
        <v>0</v>
      </c>
      <c r="AG363" s="28">
        <f>ROUND(IF(AQ363="2",BI363,0),2)</f>
        <v>0</v>
      </c>
      <c r="AH363" s="28">
        <f>ROUND(IF(AQ363="0",BJ363,0),2)</f>
        <v>0</v>
      </c>
      <c r="AI363" s="10" t="s">
        <v>409</v>
      </c>
      <c r="AJ363" s="28">
        <f>IF(AN363=0,J363,0)</f>
        <v>0</v>
      </c>
      <c r="AK363" s="28">
        <f>IF(AN363=12,J363,0)</f>
        <v>0</v>
      </c>
      <c r="AL363" s="28">
        <f>IF(AN363=21,J363,0)</f>
        <v>0</v>
      </c>
      <c r="AN363" s="28">
        <v>21</v>
      </c>
      <c r="AO363" s="28">
        <f>G363*0</f>
        <v>0</v>
      </c>
      <c r="AP363" s="28">
        <f>G363*(1-0)</f>
        <v>0</v>
      </c>
      <c r="AQ363" s="30" t="s">
        <v>111</v>
      </c>
      <c r="AV363" s="28">
        <f>ROUND(AW363+AX363,2)</f>
        <v>0</v>
      </c>
      <c r="AW363" s="28">
        <f>ROUND(F363*AO363,2)</f>
        <v>0</v>
      </c>
      <c r="AX363" s="28">
        <f>ROUND(F363*AP363,2)</f>
        <v>0</v>
      </c>
      <c r="AY363" s="30" t="s">
        <v>250</v>
      </c>
      <c r="AZ363" s="30" t="s">
        <v>451</v>
      </c>
      <c r="BA363" s="10" t="s">
        <v>415</v>
      </c>
      <c r="BC363" s="28">
        <f>AW363+AX363</f>
        <v>0</v>
      </c>
      <c r="BD363" s="28">
        <f>G363/(100-BE363)*100</f>
        <v>0</v>
      </c>
      <c r="BE363" s="28">
        <v>0</v>
      </c>
      <c r="BF363" s="28">
        <f>363</f>
        <v>363</v>
      </c>
      <c r="BH363" s="28">
        <f>F363*AO363</f>
        <v>0</v>
      </c>
      <c r="BI363" s="28">
        <f>F363*AP363</f>
        <v>0</v>
      </c>
      <c r="BJ363" s="28">
        <f>F363*G363</f>
        <v>0</v>
      </c>
      <c r="BK363" s="28"/>
      <c r="BL363" s="28">
        <v>764</v>
      </c>
      <c r="BW363" s="28">
        <v>21</v>
      </c>
      <c r="BX363" s="4" t="s">
        <v>586</v>
      </c>
    </row>
    <row r="364" spans="1:76" x14ac:dyDescent="0.25">
      <c r="A364" s="112"/>
      <c r="B364" s="113"/>
      <c r="C364" s="114" t="s">
        <v>587</v>
      </c>
      <c r="D364" s="115" t="s">
        <v>588</v>
      </c>
      <c r="E364" s="113"/>
      <c r="F364" s="116">
        <v>8.35</v>
      </c>
      <c r="G364" s="113"/>
      <c r="H364" s="113"/>
      <c r="I364" s="113"/>
      <c r="J364" s="113"/>
      <c r="K364" s="117"/>
    </row>
    <row r="365" spans="1:76" ht="38.25" x14ac:dyDescent="0.25">
      <c r="A365" s="60"/>
      <c r="B365" s="61" t="s">
        <v>85</v>
      </c>
      <c r="C365" s="255" t="s">
        <v>589</v>
      </c>
      <c r="D365" s="256"/>
      <c r="E365" s="256"/>
      <c r="F365" s="256"/>
      <c r="G365" s="256"/>
      <c r="H365" s="256"/>
      <c r="I365" s="256"/>
      <c r="J365" s="256"/>
      <c r="K365" s="257"/>
      <c r="BX365" s="32" t="s">
        <v>589</v>
      </c>
    </row>
    <row r="366" spans="1:76" x14ac:dyDescent="0.25">
      <c r="A366" s="108" t="s">
        <v>590</v>
      </c>
      <c r="B366" s="109" t="s">
        <v>591</v>
      </c>
      <c r="C366" s="276" t="s">
        <v>592</v>
      </c>
      <c r="D366" s="277"/>
      <c r="E366" s="109" t="s">
        <v>205</v>
      </c>
      <c r="F366" s="110">
        <v>8.4149999999999991</v>
      </c>
      <c r="G366" s="110">
        <v>0</v>
      </c>
      <c r="H366" s="110">
        <f>ROUND(F366*AO366,2)</f>
        <v>0</v>
      </c>
      <c r="I366" s="110">
        <f>ROUND(F366*AP366,2)</f>
        <v>0</v>
      </c>
      <c r="J366" s="110">
        <f>ROUND(F366*G366,2)</f>
        <v>0</v>
      </c>
      <c r="K366" s="111" t="s">
        <v>70</v>
      </c>
      <c r="Z366" s="28">
        <f>ROUND(IF(AQ366="5",BJ366,0),2)</f>
        <v>0</v>
      </c>
      <c r="AB366" s="28">
        <f>ROUND(IF(AQ366="1",BH366,0),2)</f>
        <v>0</v>
      </c>
      <c r="AC366" s="28">
        <f>ROUND(IF(AQ366="1",BI366,0),2)</f>
        <v>0</v>
      </c>
      <c r="AD366" s="28">
        <f>ROUND(IF(AQ366="7",BH366,0),2)</f>
        <v>0</v>
      </c>
      <c r="AE366" s="28">
        <f>ROUND(IF(AQ366="7",BI366,0),2)</f>
        <v>0</v>
      </c>
      <c r="AF366" s="28">
        <f>ROUND(IF(AQ366="2",BH366,0),2)</f>
        <v>0</v>
      </c>
      <c r="AG366" s="28">
        <f>ROUND(IF(AQ366="2",BI366,0),2)</f>
        <v>0</v>
      </c>
      <c r="AH366" s="28">
        <f>ROUND(IF(AQ366="0",BJ366,0),2)</f>
        <v>0</v>
      </c>
      <c r="AI366" s="10" t="s">
        <v>409</v>
      </c>
      <c r="AJ366" s="28">
        <f>IF(AN366=0,J366,0)</f>
        <v>0</v>
      </c>
      <c r="AK366" s="28">
        <f>IF(AN366=12,J366,0)</f>
        <v>0</v>
      </c>
      <c r="AL366" s="28">
        <f>IF(AN366=21,J366,0)</f>
        <v>0</v>
      </c>
      <c r="AN366" s="28">
        <v>21</v>
      </c>
      <c r="AO366" s="28">
        <f>G366*0</f>
        <v>0</v>
      </c>
      <c r="AP366" s="28">
        <f>G366*(1-0)</f>
        <v>0</v>
      </c>
      <c r="AQ366" s="30" t="s">
        <v>111</v>
      </c>
      <c r="AV366" s="28">
        <f>ROUND(AW366+AX366,2)</f>
        <v>0</v>
      </c>
      <c r="AW366" s="28">
        <f>ROUND(F366*AO366,2)</f>
        <v>0</v>
      </c>
      <c r="AX366" s="28">
        <f>ROUND(F366*AP366,2)</f>
        <v>0</v>
      </c>
      <c r="AY366" s="30" t="s">
        <v>250</v>
      </c>
      <c r="AZ366" s="30" t="s">
        <v>451</v>
      </c>
      <c r="BA366" s="10" t="s">
        <v>415</v>
      </c>
      <c r="BC366" s="28">
        <f>AW366+AX366</f>
        <v>0</v>
      </c>
      <c r="BD366" s="28">
        <f>G366/(100-BE366)*100</f>
        <v>0</v>
      </c>
      <c r="BE366" s="28">
        <v>0</v>
      </c>
      <c r="BF366" s="28">
        <f>366</f>
        <v>366</v>
      </c>
      <c r="BH366" s="28">
        <f>F366*AO366</f>
        <v>0</v>
      </c>
      <c r="BI366" s="28">
        <f>F366*AP366</f>
        <v>0</v>
      </c>
      <c r="BJ366" s="28">
        <f>F366*G366</f>
        <v>0</v>
      </c>
      <c r="BK366" s="28"/>
      <c r="BL366" s="28">
        <v>764</v>
      </c>
      <c r="BW366" s="28">
        <v>21</v>
      </c>
      <c r="BX366" s="4" t="s">
        <v>592</v>
      </c>
    </row>
    <row r="367" spans="1:76" x14ac:dyDescent="0.25">
      <c r="A367" s="112"/>
      <c r="B367" s="113"/>
      <c r="C367" s="114" t="s">
        <v>593</v>
      </c>
      <c r="D367" s="115" t="s">
        <v>594</v>
      </c>
      <c r="E367" s="113"/>
      <c r="F367" s="116">
        <v>8.4149999999999991</v>
      </c>
      <c r="G367" s="113"/>
      <c r="H367" s="113"/>
      <c r="I367" s="113"/>
      <c r="J367" s="113"/>
      <c r="K367" s="117"/>
    </row>
    <row r="368" spans="1:76" ht="38.25" x14ac:dyDescent="0.25">
      <c r="A368" s="60"/>
      <c r="B368" s="61" t="s">
        <v>85</v>
      </c>
      <c r="C368" s="255" t="s">
        <v>589</v>
      </c>
      <c r="D368" s="256"/>
      <c r="E368" s="256"/>
      <c r="F368" s="256"/>
      <c r="G368" s="256"/>
      <c r="H368" s="256"/>
      <c r="I368" s="256"/>
      <c r="J368" s="256"/>
      <c r="K368" s="257"/>
      <c r="BX368" s="32" t="s">
        <v>589</v>
      </c>
    </row>
    <row r="369" spans="1:76" x14ac:dyDescent="0.25">
      <c r="A369" s="108" t="s">
        <v>595</v>
      </c>
      <c r="B369" s="109" t="s">
        <v>591</v>
      </c>
      <c r="C369" s="276" t="s">
        <v>596</v>
      </c>
      <c r="D369" s="277"/>
      <c r="E369" s="109" t="s">
        <v>205</v>
      </c>
      <c r="F369" s="110">
        <v>17.2</v>
      </c>
      <c r="G369" s="110">
        <v>0</v>
      </c>
      <c r="H369" s="110">
        <f>ROUND(F369*AO369,2)</f>
        <v>0</v>
      </c>
      <c r="I369" s="110">
        <f>ROUND(F369*AP369,2)</f>
        <v>0</v>
      </c>
      <c r="J369" s="110">
        <f>ROUND(F369*G369,2)</f>
        <v>0</v>
      </c>
      <c r="K369" s="111" t="s">
        <v>70</v>
      </c>
      <c r="Z369" s="28">
        <f>ROUND(IF(AQ369="5",BJ369,0),2)</f>
        <v>0</v>
      </c>
      <c r="AB369" s="28">
        <f>ROUND(IF(AQ369="1",BH369,0),2)</f>
        <v>0</v>
      </c>
      <c r="AC369" s="28">
        <f>ROUND(IF(AQ369="1",BI369,0),2)</f>
        <v>0</v>
      </c>
      <c r="AD369" s="28">
        <f>ROUND(IF(AQ369="7",BH369,0),2)</f>
        <v>0</v>
      </c>
      <c r="AE369" s="28">
        <f>ROUND(IF(AQ369="7",BI369,0),2)</f>
        <v>0</v>
      </c>
      <c r="AF369" s="28">
        <f>ROUND(IF(AQ369="2",BH369,0),2)</f>
        <v>0</v>
      </c>
      <c r="AG369" s="28">
        <f>ROUND(IF(AQ369="2",BI369,0),2)</f>
        <v>0</v>
      </c>
      <c r="AH369" s="28">
        <f>ROUND(IF(AQ369="0",BJ369,0),2)</f>
        <v>0</v>
      </c>
      <c r="AI369" s="10" t="s">
        <v>409</v>
      </c>
      <c r="AJ369" s="28">
        <f>IF(AN369=0,J369,0)</f>
        <v>0</v>
      </c>
      <c r="AK369" s="28">
        <f>IF(AN369=12,J369,0)</f>
        <v>0</v>
      </c>
      <c r="AL369" s="28">
        <f>IF(AN369=21,J369,0)</f>
        <v>0</v>
      </c>
      <c r="AN369" s="28">
        <v>21</v>
      </c>
      <c r="AO369" s="28">
        <f>G369*0</f>
        <v>0</v>
      </c>
      <c r="AP369" s="28">
        <f>G369*(1-0)</f>
        <v>0</v>
      </c>
      <c r="AQ369" s="30" t="s">
        <v>111</v>
      </c>
      <c r="AV369" s="28">
        <f>ROUND(AW369+AX369,2)</f>
        <v>0</v>
      </c>
      <c r="AW369" s="28">
        <f>ROUND(F369*AO369,2)</f>
        <v>0</v>
      </c>
      <c r="AX369" s="28">
        <f>ROUND(F369*AP369,2)</f>
        <v>0</v>
      </c>
      <c r="AY369" s="30" t="s">
        <v>250</v>
      </c>
      <c r="AZ369" s="30" t="s">
        <v>451</v>
      </c>
      <c r="BA369" s="10" t="s">
        <v>415</v>
      </c>
      <c r="BC369" s="28">
        <f>AW369+AX369</f>
        <v>0</v>
      </c>
      <c r="BD369" s="28">
        <f>G369/(100-BE369)*100</f>
        <v>0</v>
      </c>
      <c r="BE369" s="28">
        <v>0</v>
      </c>
      <c r="BF369" s="28">
        <f>369</f>
        <v>369</v>
      </c>
      <c r="BH369" s="28">
        <f>F369*AO369</f>
        <v>0</v>
      </c>
      <c r="BI369" s="28">
        <f>F369*AP369</f>
        <v>0</v>
      </c>
      <c r="BJ369" s="28">
        <f>F369*G369</f>
        <v>0</v>
      </c>
      <c r="BK369" s="28"/>
      <c r="BL369" s="28">
        <v>764</v>
      </c>
      <c r="BW369" s="28">
        <v>21</v>
      </c>
      <c r="BX369" s="4" t="s">
        <v>596</v>
      </c>
    </row>
    <row r="370" spans="1:76" x14ac:dyDescent="0.25">
      <c r="A370" s="112"/>
      <c r="B370" s="113"/>
      <c r="C370" s="114" t="s">
        <v>597</v>
      </c>
      <c r="D370" s="115" t="s">
        <v>598</v>
      </c>
      <c r="E370" s="113"/>
      <c r="F370" s="116">
        <v>17.2</v>
      </c>
      <c r="G370" s="113"/>
      <c r="H370" s="113"/>
      <c r="I370" s="113"/>
      <c r="J370" s="113"/>
      <c r="K370" s="117"/>
    </row>
    <row r="371" spans="1:76" ht="38.25" x14ac:dyDescent="0.25">
      <c r="A371" s="60"/>
      <c r="B371" s="61" t="s">
        <v>85</v>
      </c>
      <c r="C371" s="255" t="s">
        <v>589</v>
      </c>
      <c r="D371" s="256"/>
      <c r="E371" s="256"/>
      <c r="F371" s="256"/>
      <c r="G371" s="256"/>
      <c r="H371" s="256"/>
      <c r="I371" s="256"/>
      <c r="J371" s="256"/>
      <c r="K371" s="257"/>
      <c r="BX371" s="32" t="s">
        <v>589</v>
      </c>
    </row>
    <row r="372" spans="1:76" x14ac:dyDescent="0.25">
      <c r="A372" s="108" t="s">
        <v>599</v>
      </c>
      <c r="B372" s="109" t="s">
        <v>600</v>
      </c>
      <c r="C372" s="276" t="s">
        <v>601</v>
      </c>
      <c r="D372" s="277"/>
      <c r="E372" s="109" t="s">
        <v>205</v>
      </c>
      <c r="F372" s="110">
        <v>46</v>
      </c>
      <c r="G372" s="110">
        <v>0</v>
      </c>
      <c r="H372" s="110">
        <f>ROUND(F372*AO372,2)</f>
        <v>0</v>
      </c>
      <c r="I372" s="110">
        <f>ROUND(F372*AP372,2)</f>
        <v>0</v>
      </c>
      <c r="J372" s="110">
        <f>ROUND(F372*G372,2)</f>
        <v>0</v>
      </c>
      <c r="K372" s="111" t="s">
        <v>70</v>
      </c>
      <c r="Z372" s="28">
        <f>ROUND(IF(AQ372="5",BJ372,0),2)</f>
        <v>0</v>
      </c>
      <c r="AB372" s="28">
        <f>ROUND(IF(AQ372="1",BH372,0),2)</f>
        <v>0</v>
      </c>
      <c r="AC372" s="28">
        <f>ROUND(IF(AQ372="1",BI372,0),2)</f>
        <v>0</v>
      </c>
      <c r="AD372" s="28">
        <f>ROUND(IF(AQ372="7",BH372,0),2)</f>
        <v>0</v>
      </c>
      <c r="AE372" s="28">
        <f>ROUND(IF(AQ372="7",BI372,0),2)</f>
        <v>0</v>
      </c>
      <c r="AF372" s="28">
        <f>ROUND(IF(AQ372="2",BH372,0),2)</f>
        <v>0</v>
      </c>
      <c r="AG372" s="28">
        <f>ROUND(IF(AQ372="2",BI372,0),2)</f>
        <v>0</v>
      </c>
      <c r="AH372" s="28">
        <f>ROUND(IF(AQ372="0",BJ372,0),2)</f>
        <v>0</v>
      </c>
      <c r="AI372" s="10" t="s">
        <v>409</v>
      </c>
      <c r="AJ372" s="28">
        <f>IF(AN372=0,J372,0)</f>
        <v>0</v>
      </c>
      <c r="AK372" s="28">
        <f>IF(AN372=12,J372,0)</f>
        <v>0</v>
      </c>
      <c r="AL372" s="28">
        <f>IF(AN372=21,J372,0)</f>
        <v>0</v>
      </c>
      <c r="AN372" s="28">
        <v>21</v>
      </c>
      <c r="AO372" s="28">
        <f>G372*0</f>
        <v>0</v>
      </c>
      <c r="AP372" s="28">
        <f>G372*(1-0)</f>
        <v>0</v>
      </c>
      <c r="AQ372" s="30" t="s">
        <v>111</v>
      </c>
      <c r="AV372" s="28">
        <f>ROUND(AW372+AX372,2)</f>
        <v>0</v>
      </c>
      <c r="AW372" s="28">
        <f>ROUND(F372*AO372,2)</f>
        <v>0</v>
      </c>
      <c r="AX372" s="28">
        <f>ROUND(F372*AP372,2)</f>
        <v>0</v>
      </c>
      <c r="AY372" s="30" t="s">
        <v>250</v>
      </c>
      <c r="AZ372" s="30" t="s">
        <v>451</v>
      </c>
      <c r="BA372" s="10" t="s">
        <v>415</v>
      </c>
      <c r="BC372" s="28">
        <f>AW372+AX372</f>
        <v>0</v>
      </c>
      <c r="BD372" s="28">
        <f>G372/(100-BE372)*100</f>
        <v>0</v>
      </c>
      <c r="BE372" s="28">
        <v>0</v>
      </c>
      <c r="BF372" s="28">
        <f>372</f>
        <v>372</v>
      </c>
      <c r="BH372" s="28">
        <f>F372*AO372</f>
        <v>0</v>
      </c>
      <c r="BI372" s="28">
        <f>F372*AP372</f>
        <v>0</v>
      </c>
      <c r="BJ372" s="28">
        <f>F372*G372</f>
        <v>0</v>
      </c>
      <c r="BK372" s="28"/>
      <c r="BL372" s="28">
        <v>764</v>
      </c>
      <c r="BW372" s="28">
        <v>21</v>
      </c>
      <c r="BX372" s="4" t="s">
        <v>601</v>
      </c>
    </row>
    <row r="373" spans="1:76" x14ac:dyDescent="0.25">
      <c r="A373" s="112"/>
      <c r="B373" s="113"/>
      <c r="C373" s="114" t="s">
        <v>602</v>
      </c>
      <c r="D373" s="115" t="s">
        <v>267</v>
      </c>
      <c r="E373" s="113"/>
      <c r="F373" s="116">
        <v>46</v>
      </c>
      <c r="G373" s="113"/>
      <c r="H373" s="113"/>
      <c r="I373" s="113"/>
      <c r="J373" s="113"/>
      <c r="K373" s="117"/>
    </row>
    <row r="374" spans="1:76" ht="25.5" x14ac:dyDescent="0.25">
      <c r="A374" s="146" t="s">
        <v>603</v>
      </c>
      <c r="B374" s="147" t="s">
        <v>604</v>
      </c>
      <c r="C374" s="286" t="s">
        <v>605</v>
      </c>
      <c r="D374" s="287"/>
      <c r="E374" s="147" t="s">
        <v>205</v>
      </c>
      <c r="F374" s="148">
        <v>10.6</v>
      </c>
      <c r="G374" s="148">
        <v>0</v>
      </c>
      <c r="H374" s="148">
        <f>ROUND(F374*AO374,2)</f>
        <v>0</v>
      </c>
      <c r="I374" s="148">
        <f>ROUND(F374*AP374,2)</f>
        <v>0</v>
      </c>
      <c r="J374" s="148">
        <f>ROUND(F374*G374,2)</f>
        <v>0</v>
      </c>
      <c r="K374" s="149" t="s">
        <v>70</v>
      </c>
      <c r="Z374" s="28">
        <f>ROUND(IF(AQ374="5",BJ374,0),2)</f>
        <v>0</v>
      </c>
      <c r="AB374" s="28">
        <f>ROUND(IF(AQ374="1",BH374,0),2)</f>
        <v>0</v>
      </c>
      <c r="AC374" s="28">
        <f>ROUND(IF(AQ374="1",BI374,0),2)</f>
        <v>0</v>
      </c>
      <c r="AD374" s="28">
        <f>ROUND(IF(AQ374="7",BH374,0),2)</f>
        <v>0</v>
      </c>
      <c r="AE374" s="28">
        <f>ROUND(IF(AQ374="7",BI374,0),2)</f>
        <v>0</v>
      </c>
      <c r="AF374" s="28">
        <f>ROUND(IF(AQ374="2",BH374,0),2)</f>
        <v>0</v>
      </c>
      <c r="AG374" s="28">
        <f>ROUND(IF(AQ374="2",BI374,0),2)</f>
        <v>0</v>
      </c>
      <c r="AH374" s="28">
        <f>ROUND(IF(AQ374="0",BJ374,0),2)</f>
        <v>0</v>
      </c>
      <c r="AI374" s="10" t="s">
        <v>409</v>
      </c>
      <c r="AJ374" s="28">
        <f>IF(AN374=0,J374,0)</f>
        <v>0</v>
      </c>
      <c r="AK374" s="28">
        <f>IF(AN374=12,J374,0)</f>
        <v>0</v>
      </c>
      <c r="AL374" s="28">
        <f>IF(AN374=21,J374,0)</f>
        <v>0</v>
      </c>
      <c r="AN374" s="28">
        <v>21</v>
      </c>
      <c r="AO374" s="28">
        <f>G374*0.624118256</f>
        <v>0</v>
      </c>
      <c r="AP374" s="28">
        <f>G374*(1-0.624118256)</f>
        <v>0</v>
      </c>
      <c r="AQ374" s="30" t="s">
        <v>111</v>
      </c>
      <c r="AV374" s="28">
        <f>ROUND(AW374+AX374,2)</f>
        <v>0</v>
      </c>
      <c r="AW374" s="28">
        <f>ROUND(F374*AO374,2)</f>
        <v>0</v>
      </c>
      <c r="AX374" s="28">
        <f>ROUND(F374*AP374,2)</f>
        <v>0</v>
      </c>
      <c r="AY374" s="30" t="s">
        <v>250</v>
      </c>
      <c r="AZ374" s="30" t="s">
        <v>451</v>
      </c>
      <c r="BA374" s="10" t="s">
        <v>415</v>
      </c>
      <c r="BC374" s="28">
        <f>AW374+AX374</f>
        <v>0</v>
      </c>
      <c r="BD374" s="28">
        <f>G374/(100-BE374)*100</f>
        <v>0</v>
      </c>
      <c r="BE374" s="28">
        <v>0</v>
      </c>
      <c r="BF374" s="28">
        <f>374</f>
        <v>374</v>
      </c>
      <c r="BH374" s="28">
        <f>F374*AO374</f>
        <v>0</v>
      </c>
      <c r="BI374" s="28">
        <f>F374*AP374</f>
        <v>0</v>
      </c>
      <c r="BJ374" s="28">
        <f>F374*G374</f>
        <v>0</v>
      </c>
      <c r="BK374" s="28"/>
      <c r="BL374" s="28">
        <v>764</v>
      </c>
      <c r="BW374" s="28">
        <v>21</v>
      </c>
      <c r="BX374" s="4" t="s">
        <v>605</v>
      </c>
    </row>
    <row r="375" spans="1:76" ht="13.5" customHeight="1" x14ac:dyDescent="0.25">
      <c r="A375" s="60"/>
      <c r="C375" s="255" t="s">
        <v>606</v>
      </c>
      <c r="D375" s="256"/>
      <c r="E375" s="256"/>
      <c r="F375" s="256"/>
      <c r="G375" s="256"/>
      <c r="H375" s="256"/>
      <c r="I375" s="256"/>
      <c r="J375" s="256"/>
      <c r="K375" s="257"/>
    </row>
    <row r="376" spans="1:76" x14ac:dyDescent="0.25">
      <c r="A376" s="160"/>
      <c r="B376" s="161"/>
      <c r="C376" s="162" t="s">
        <v>607</v>
      </c>
      <c r="D376" s="163" t="s">
        <v>499</v>
      </c>
      <c r="E376" s="161"/>
      <c r="F376" s="164">
        <v>10.6</v>
      </c>
      <c r="G376" s="161"/>
      <c r="H376" s="161"/>
      <c r="I376" s="161"/>
      <c r="J376" s="161"/>
      <c r="K376" s="165"/>
    </row>
    <row r="377" spans="1:76" ht="25.5" x14ac:dyDescent="0.25">
      <c r="A377" s="60"/>
      <c r="B377" s="61" t="s">
        <v>85</v>
      </c>
      <c r="C377" s="255" t="s">
        <v>608</v>
      </c>
      <c r="D377" s="256"/>
      <c r="E377" s="256"/>
      <c r="F377" s="256"/>
      <c r="G377" s="256"/>
      <c r="H377" s="256"/>
      <c r="I377" s="256"/>
      <c r="J377" s="256"/>
      <c r="K377" s="257"/>
      <c r="BX377" s="32" t="s">
        <v>608</v>
      </c>
    </row>
    <row r="378" spans="1:76" x14ac:dyDescent="0.25">
      <c r="A378" s="170" t="s">
        <v>609</v>
      </c>
      <c r="B378" s="171" t="s">
        <v>610</v>
      </c>
      <c r="C378" s="292" t="s">
        <v>611</v>
      </c>
      <c r="D378" s="293"/>
      <c r="E378" s="171" t="s">
        <v>205</v>
      </c>
      <c r="F378" s="172">
        <v>8.07</v>
      </c>
      <c r="G378" s="172">
        <v>0</v>
      </c>
      <c r="H378" s="172">
        <f>ROUND(F378*AO378,2)</f>
        <v>0</v>
      </c>
      <c r="I378" s="172">
        <f>ROUND(F378*AP378,2)</f>
        <v>0</v>
      </c>
      <c r="J378" s="172">
        <f>ROUND(F378*G378,2)</f>
        <v>0</v>
      </c>
      <c r="K378" s="173" t="s">
        <v>70</v>
      </c>
      <c r="Z378" s="28">
        <f>ROUND(IF(AQ378="5",BJ378,0),2)</f>
        <v>0</v>
      </c>
      <c r="AB378" s="28">
        <f>ROUND(IF(AQ378="1",BH378,0),2)</f>
        <v>0</v>
      </c>
      <c r="AC378" s="28">
        <f>ROUND(IF(AQ378="1",BI378,0),2)</f>
        <v>0</v>
      </c>
      <c r="AD378" s="28">
        <f>ROUND(IF(AQ378="7",BH378,0),2)</f>
        <v>0</v>
      </c>
      <c r="AE378" s="28">
        <f>ROUND(IF(AQ378="7",BI378,0),2)</f>
        <v>0</v>
      </c>
      <c r="AF378" s="28">
        <f>ROUND(IF(AQ378="2",BH378,0),2)</f>
        <v>0</v>
      </c>
      <c r="AG378" s="28">
        <f>ROUND(IF(AQ378="2",BI378,0),2)</f>
        <v>0</v>
      </c>
      <c r="AH378" s="28">
        <f>ROUND(IF(AQ378="0",BJ378,0),2)</f>
        <v>0</v>
      </c>
      <c r="AI378" s="10" t="s">
        <v>409</v>
      </c>
      <c r="AJ378" s="28">
        <f>IF(AN378=0,J378,0)</f>
        <v>0</v>
      </c>
      <c r="AK378" s="28">
        <f>IF(AN378=12,J378,0)</f>
        <v>0</v>
      </c>
      <c r="AL378" s="28">
        <f>IF(AN378=21,J378,0)</f>
        <v>0</v>
      </c>
      <c r="AN378" s="28">
        <v>21</v>
      </c>
      <c r="AO378" s="28">
        <f>G378*0.587875559</f>
        <v>0</v>
      </c>
      <c r="AP378" s="28">
        <f>G378*(1-0.587875559)</f>
        <v>0</v>
      </c>
      <c r="AQ378" s="30" t="s">
        <v>111</v>
      </c>
      <c r="AV378" s="28">
        <f>ROUND(AW378+AX378,2)</f>
        <v>0</v>
      </c>
      <c r="AW378" s="28">
        <f>ROUND(F378*AO378,2)</f>
        <v>0</v>
      </c>
      <c r="AX378" s="28">
        <f>ROUND(F378*AP378,2)</f>
        <v>0</v>
      </c>
      <c r="AY378" s="30" t="s">
        <v>250</v>
      </c>
      <c r="AZ378" s="30" t="s">
        <v>451</v>
      </c>
      <c r="BA378" s="10" t="s">
        <v>415</v>
      </c>
      <c r="BC378" s="28">
        <f>AW378+AX378</f>
        <v>0</v>
      </c>
      <c r="BD378" s="28">
        <f>G378/(100-BE378)*100</f>
        <v>0</v>
      </c>
      <c r="BE378" s="28">
        <v>0</v>
      </c>
      <c r="BF378" s="28">
        <f>378</f>
        <v>378</v>
      </c>
      <c r="BH378" s="28">
        <f>F378*AO378</f>
        <v>0</v>
      </c>
      <c r="BI378" s="28">
        <f>F378*AP378</f>
        <v>0</v>
      </c>
      <c r="BJ378" s="28">
        <f>F378*G378</f>
        <v>0</v>
      </c>
      <c r="BK378" s="28"/>
      <c r="BL378" s="28">
        <v>764</v>
      </c>
      <c r="BW378" s="28">
        <v>21</v>
      </c>
      <c r="BX378" s="4" t="s">
        <v>611</v>
      </c>
    </row>
    <row r="379" spans="1:76" ht="27" customHeight="1" x14ac:dyDescent="0.25">
      <c r="A379" s="60"/>
      <c r="C379" s="255" t="s">
        <v>612</v>
      </c>
      <c r="D379" s="256"/>
      <c r="E379" s="256"/>
      <c r="F379" s="256"/>
      <c r="G379" s="256"/>
      <c r="H379" s="256"/>
      <c r="I379" s="256"/>
      <c r="J379" s="256"/>
      <c r="K379" s="257"/>
    </row>
    <row r="380" spans="1:76" x14ac:dyDescent="0.25">
      <c r="A380" s="160"/>
      <c r="B380" s="161"/>
      <c r="C380" s="162" t="s">
        <v>613</v>
      </c>
      <c r="D380" s="163" t="s">
        <v>501</v>
      </c>
      <c r="E380" s="161"/>
      <c r="F380" s="164">
        <v>8.07</v>
      </c>
      <c r="G380" s="161"/>
      <c r="H380" s="161"/>
      <c r="I380" s="161"/>
      <c r="J380" s="161"/>
      <c r="K380" s="165"/>
    </row>
    <row r="381" spans="1:76" x14ac:dyDescent="0.25">
      <c r="A381" s="60"/>
      <c r="B381" s="61" t="s">
        <v>85</v>
      </c>
      <c r="C381" s="255" t="s">
        <v>614</v>
      </c>
      <c r="D381" s="256"/>
      <c r="E381" s="256"/>
      <c r="F381" s="256"/>
      <c r="G381" s="256"/>
      <c r="H381" s="256"/>
      <c r="I381" s="256"/>
      <c r="J381" s="256"/>
      <c r="K381" s="257"/>
      <c r="BX381" s="32" t="s">
        <v>614</v>
      </c>
    </row>
    <row r="382" spans="1:76" x14ac:dyDescent="0.25">
      <c r="A382" s="170" t="s">
        <v>615</v>
      </c>
      <c r="B382" s="171" t="s">
        <v>616</v>
      </c>
      <c r="C382" s="292" t="s">
        <v>617</v>
      </c>
      <c r="D382" s="293"/>
      <c r="E382" s="171" t="s">
        <v>205</v>
      </c>
      <c r="F382" s="172">
        <v>28</v>
      </c>
      <c r="G382" s="172">
        <v>0</v>
      </c>
      <c r="H382" s="172">
        <f>ROUND(F382*AO382,2)</f>
        <v>0</v>
      </c>
      <c r="I382" s="172">
        <f>ROUND(F382*AP382,2)</f>
        <v>0</v>
      </c>
      <c r="J382" s="172">
        <f>ROUND(F382*G382,2)</f>
        <v>0</v>
      </c>
      <c r="K382" s="173" t="s">
        <v>70</v>
      </c>
      <c r="Z382" s="28">
        <f>ROUND(IF(AQ382="5",BJ382,0),2)</f>
        <v>0</v>
      </c>
      <c r="AB382" s="28">
        <f>ROUND(IF(AQ382="1",BH382,0),2)</f>
        <v>0</v>
      </c>
      <c r="AC382" s="28">
        <f>ROUND(IF(AQ382="1",BI382,0),2)</f>
        <v>0</v>
      </c>
      <c r="AD382" s="28">
        <f>ROUND(IF(AQ382="7",BH382,0),2)</f>
        <v>0</v>
      </c>
      <c r="AE382" s="28">
        <f>ROUND(IF(AQ382="7",BI382,0),2)</f>
        <v>0</v>
      </c>
      <c r="AF382" s="28">
        <f>ROUND(IF(AQ382="2",BH382,0),2)</f>
        <v>0</v>
      </c>
      <c r="AG382" s="28">
        <f>ROUND(IF(AQ382="2",BI382,0),2)</f>
        <v>0</v>
      </c>
      <c r="AH382" s="28">
        <f>ROUND(IF(AQ382="0",BJ382,0),2)</f>
        <v>0</v>
      </c>
      <c r="AI382" s="10" t="s">
        <v>409</v>
      </c>
      <c r="AJ382" s="28">
        <f>IF(AN382=0,J382,0)</f>
        <v>0</v>
      </c>
      <c r="AK382" s="28">
        <f>IF(AN382=12,J382,0)</f>
        <v>0</v>
      </c>
      <c r="AL382" s="28">
        <f>IF(AN382=21,J382,0)</f>
        <v>0</v>
      </c>
      <c r="AN382" s="28">
        <v>21</v>
      </c>
      <c r="AO382" s="28">
        <f>G382*0.764465379</f>
        <v>0</v>
      </c>
      <c r="AP382" s="28">
        <f>G382*(1-0.764465379)</f>
        <v>0</v>
      </c>
      <c r="AQ382" s="30" t="s">
        <v>111</v>
      </c>
      <c r="AV382" s="28">
        <f>ROUND(AW382+AX382,2)</f>
        <v>0</v>
      </c>
      <c r="AW382" s="28">
        <f>ROUND(F382*AO382,2)</f>
        <v>0</v>
      </c>
      <c r="AX382" s="28">
        <f>ROUND(F382*AP382,2)</f>
        <v>0</v>
      </c>
      <c r="AY382" s="30" t="s">
        <v>250</v>
      </c>
      <c r="AZ382" s="30" t="s">
        <v>451</v>
      </c>
      <c r="BA382" s="10" t="s">
        <v>415</v>
      </c>
      <c r="BC382" s="28">
        <f>AW382+AX382</f>
        <v>0</v>
      </c>
      <c r="BD382" s="28">
        <f>G382/(100-BE382)*100</f>
        <v>0</v>
      </c>
      <c r="BE382" s="28">
        <v>0</v>
      </c>
      <c r="BF382" s="28">
        <f>382</f>
        <v>382</v>
      </c>
      <c r="BH382" s="28">
        <f>F382*AO382</f>
        <v>0</v>
      </c>
      <c r="BI382" s="28">
        <f>F382*AP382</f>
        <v>0</v>
      </c>
      <c r="BJ382" s="28">
        <f>F382*G382</f>
        <v>0</v>
      </c>
      <c r="BK382" s="28"/>
      <c r="BL382" s="28">
        <v>764</v>
      </c>
      <c r="BW382" s="28">
        <v>21</v>
      </c>
      <c r="BX382" s="4" t="s">
        <v>617</v>
      </c>
    </row>
    <row r="383" spans="1:76" ht="27" customHeight="1" x14ac:dyDescent="0.25">
      <c r="A383" s="60"/>
      <c r="C383" s="255" t="s">
        <v>618</v>
      </c>
      <c r="D383" s="256"/>
      <c r="E383" s="256"/>
      <c r="F383" s="256"/>
      <c r="G383" s="256"/>
      <c r="H383" s="256"/>
      <c r="I383" s="256"/>
      <c r="J383" s="256"/>
      <c r="K383" s="257"/>
    </row>
    <row r="384" spans="1:76" x14ac:dyDescent="0.25">
      <c r="A384" s="160"/>
      <c r="B384" s="161"/>
      <c r="C384" s="162" t="s">
        <v>619</v>
      </c>
      <c r="D384" s="163" t="s">
        <v>620</v>
      </c>
      <c r="E384" s="161"/>
      <c r="F384" s="164">
        <v>28</v>
      </c>
      <c r="G384" s="161"/>
      <c r="H384" s="161"/>
      <c r="I384" s="161"/>
      <c r="J384" s="161"/>
      <c r="K384" s="165"/>
    </row>
    <row r="385" spans="1:76" x14ac:dyDescent="0.25">
      <c r="A385" s="146" t="s">
        <v>621</v>
      </c>
      <c r="B385" s="147" t="s">
        <v>622</v>
      </c>
      <c r="C385" s="286" t="s">
        <v>623</v>
      </c>
      <c r="D385" s="287"/>
      <c r="E385" s="147" t="s">
        <v>205</v>
      </c>
      <c r="F385" s="148">
        <v>17.8</v>
      </c>
      <c r="G385" s="148">
        <v>0</v>
      </c>
      <c r="H385" s="148">
        <f>ROUND(F385*AO385,2)</f>
        <v>0</v>
      </c>
      <c r="I385" s="148">
        <f>ROUND(F385*AP385,2)</f>
        <v>0</v>
      </c>
      <c r="J385" s="148">
        <f>ROUND(F385*G385,2)</f>
        <v>0</v>
      </c>
      <c r="K385" s="149" t="s">
        <v>70</v>
      </c>
      <c r="Z385" s="28">
        <f>ROUND(IF(AQ385="5",BJ385,0),2)</f>
        <v>0</v>
      </c>
      <c r="AB385" s="28">
        <f>ROUND(IF(AQ385="1",BH385,0),2)</f>
        <v>0</v>
      </c>
      <c r="AC385" s="28">
        <f>ROUND(IF(AQ385="1",BI385,0),2)</f>
        <v>0</v>
      </c>
      <c r="AD385" s="28">
        <f>ROUND(IF(AQ385="7",BH385,0),2)</f>
        <v>0</v>
      </c>
      <c r="AE385" s="28">
        <f>ROUND(IF(AQ385="7",BI385,0),2)</f>
        <v>0</v>
      </c>
      <c r="AF385" s="28">
        <f>ROUND(IF(AQ385="2",BH385,0),2)</f>
        <v>0</v>
      </c>
      <c r="AG385" s="28">
        <f>ROUND(IF(AQ385="2",BI385,0),2)</f>
        <v>0</v>
      </c>
      <c r="AH385" s="28">
        <f>ROUND(IF(AQ385="0",BJ385,0),2)</f>
        <v>0</v>
      </c>
      <c r="AI385" s="10" t="s">
        <v>409</v>
      </c>
      <c r="AJ385" s="28">
        <f>IF(AN385=0,J385,0)</f>
        <v>0</v>
      </c>
      <c r="AK385" s="28">
        <f>IF(AN385=12,J385,0)</f>
        <v>0</v>
      </c>
      <c r="AL385" s="28">
        <f>IF(AN385=21,J385,0)</f>
        <v>0</v>
      </c>
      <c r="AN385" s="28">
        <v>21</v>
      </c>
      <c r="AO385" s="28">
        <f>G385*0.500945946</f>
        <v>0</v>
      </c>
      <c r="AP385" s="28">
        <f>G385*(1-0.500945946)</f>
        <v>0</v>
      </c>
      <c r="AQ385" s="30" t="s">
        <v>111</v>
      </c>
      <c r="AV385" s="28">
        <f>ROUND(AW385+AX385,2)</f>
        <v>0</v>
      </c>
      <c r="AW385" s="28">
        <f>ROUND(F385*AO385,2)</f>
        <v>0</v>
      </c>
      <c r="AX385" s="28">
        <f>ROUND(F385*AP385,2)</f>
        <v>0</v>
      </c>
      <c r="AY385" s="30" t="s">
        <v>250</v>
      </c>
      <c r="AZ385" s="30" t="s">
        <v>451</v>
      </c>
      <c r="BA385" s="10" t="s">
        <v>415</v>
      </c>
      <c r="BC385" s="28">
        <f>AW385+AX385</f>
        <v>0</v>
      </c>
      <c r="BD385" s="28">
        <f>G385/(100-BE385)*100</f>
        <v>0</v>
      </c>
      <c r="BE385" s="28">
        <v>0</v>
      </c>
      <c r="BF385" s="28">
        <f>385</f>
        <v>385</v>
      </c>
      <c r="BH385" s="28">
        <f>F385*AO385</f>
        <v>0</v>
      </c>
      <c r="BI385" s="28">
        <f>F385*AP385</f>
        <v>0</v>
      </c>
      <c r="BJ385" s="28">
        <f>F385*G385</f>
        <v>0</v>
      </c>
      <c r="BK385" s="28"/>
      <c r="BL385" s="28">
        <v>764</v>
      </c>
      <c r="BW385" s="28">
        <v>21</v>
      </c>
      <c r="BX385" s="4" t="s">
        <v>623</v>
      </c>
    </row>
    <row r="386" spans="1:76" ht="13.5" customHeight="1" x14ac:dyDescent="0.25">
      <c r="A386" s="60"/>
      <c r="C386" s="255" t="s">
        <v>624</v>
      </c>
      <c r="D386" s="256"/>
      <c r="E386" s="256"/>
      <c r="F386" s="256"/>
      <c r="G386" s="256"/>
      <c r="H386" s="256"/>
      <c r="I386" s="256"/>
      <c r="J386" s="256"/>
      <c r="K386" s="257"/>
    </row>
    <row r="387" spans="1:76" x14ac:dyDescent="0.25">
      <c r="A387" s="160"/>
      <c r="B387" s="161"/>
      <c r="C387" s="162" t="s">
        <v>625</v>
      </c>
      <c r="D387" s="163" t="s">
        <v>626</v>
      </c>
      <c r="E387" s="161"/>
      <c r="F387" s="164">
        <v>17.8</v>
      </c>
      <c r="G387" s="161"/>
      <c r="H387" s="161"/>
      <c r="I387" s="161"/>
      <c r="J387" s="161"/>
      <c r="K387" s="165"/>
    </row>
    <row r="388" spans="1:76" ht="25.5" x14ac:dyDescent="0.25">
      <c r="A388" s="146" t="s">
        <v>627</v>
      </c>
      <c r="B388" s="147" t="s">
        <v>628</v>
      </c>
      <c r="C388" s="286" t="s">
        <v>629</v>
      </c>
      <c r="D388" s="287"/>
      <c r="E388" s="147" t="s">
        <v>205</v>
      </c>
      <c r="F388" s="148">
        <v>17.8</v>
      </c>
      <c r="G388" s="148">
        <v>0</v>
      </c>
      <c r="H388" s="148">
        <f>ROUND(F388*AO388,2)</f>
        <v>0</v>
      </c>
      <c r="I388" s="148">
        <f>ROUND(F388*AP388,2)</f>
        <v>0</v>
      </c>
      <c r="J388" s="148">
        <f>ROUND(F388*G388,2)</f>
        <v>0</v>
      </c>
      <c r="K388" s="149" t="s">
        <v>70</v>
      </c>
      <c r="Z388" s="28">
        <f>ROUND(IF(AQ388="5",BJ388,0),2)</f>
        <v>0</v>
      </c>
      <c r="AB388" s="28">
        <f>ROUND(IF(AQ388="1",BH388,0),2)</f>
        <v>0</v>
      </c>
      <c r="AC388" s="28">
        <f>ROUND(IF(AQ388="1",BI388,0),2)</f>
        <v>0</v>
      </c>
      <c r="AD388" s="28">
        <f>ROUND(IF(AQ388="7",BH388,0),2)</f>
        <v>0</v>
      </c>
      <c r="AE388" s="28">
        <f>ROUND(IF(AQ388="7",BI388,0),2)</f>
        <v>0</v>
      </c>
      <c r="AF388" s="28">
        <f>ROUND(IF(AQ388="2",BH388,0),2)</f>
        <v>0</v>
      </c>
      <c r="AG388" s="28">
        <f>ROUND(IF(AQ388="2",BI388,0),2)</f>
        <v>0</v>
      </c>
      <c r="AH388" s="28">
        <f>ROUND(IF(AQ388="0",BJ388,0),2)</f>
        <v>0</v>
      </c>
      <c r="AI388" s="10" t="s">
        <v>409</v>
      </c>
      <c r="AJ388" s="28">
        <f>IF(AN388=0,J388,0)</f>
        <v>0</v>
      </c>
      <c r="AK388" s="28">
        <f>IF(AN388=12,J388,0)</f>
        <v>0</v>
      </c>
      <c r="AL388" s="28">
        <f>IF(AN388=21,J388,0)</f>
        <v>0</v>
      </c>
      <c r="AN388" s="28">
        <v>21</v>
      </c>
      <c r="AO388" s="28">
        <f>G388*0.649651198</f>
        <v>0</v>
      </c>
      <c r="AP388" s="28">
        <f>G388*(1-0.649651198)</f>
        <v>0</v>
      </c>
      <c r="AQ388" s="30" t="s">
        <v>111</v>
      </c>
      <c r="AV388" s="28">
        <f>ROUND(AW388+AX388,2)</f>
        <v>0</v>
      </c>
      <c r="AW388" s="28">
        <f>ROUND(F388*AO388,2)</f>
        <v>0</v>
      </c>
      <c r="AX388" s="28">
        <f>ROUND(F388*AP388,2)</f>
        <v>0</v>
      </c>
      <c r="AY388" s="30" t="s">
        <v>250</v>
      </c>
      <c r="AZ388" s="30" t="s">
        <v>451</v>
      </c>
      <c r="BA388" s="10" t="s">
        <v>415</v>
      </c>
      <c r="BC388" s="28">
        <f>AW388+AX388</f>
        <v>0</v>
      </c>
      <c r="BD388" s="28">
        <f>G388/(100-BE388)*100</f>
        <v>0</v>
      </c>
      <c r="BE388" s="28">
        <v>0</v>
      </c>
      <c r="BF388" s="28">
        <f>388</f>
        <v>388</v>
      </c>
      <c r="BH388" s="28">
        <f>F388*AO388</f>
        <v>0</v>
      </c>
      <c r="BI388" s="28">
        <f>F388*AP388</f>
        <v>0</v>
      </c>
      <c r="BJ388" s="28">
        <f>F388*G388</f>
        <v>0</v>
      </c>
      <c r="BK388" s="28"/>
      <c r="BL388" s="28">
        <v>764</v>
      </c>
      <c r="BW388" s="28">
        <v>21</v>
      </c>
      <c r="BX388" s="4" t="s">
        <v>629</v>
      </c>
    </row>
    <row r="389" spans="1:76" x14ac:dyDescent="0.25">
      <c r="A389" s="150"/>
      <c r="B389" s="151"/>
      <c r="C389" s="152" t="s">
        <v>630</v>
      </c>
      <c r="D389" s="153" t="s">
        <v>631</v>
      </c>
      <c r="E389" s="151"/>
      <c r="F389" s="154">
        <v>17.8</v>
      </c>
      <c r="G389" s="151"/>
      <c r="H389" s="151"/>
      <c r="I389" s="151"/>
      <c r="J389" s="151"/>
      <c r="K389" s="155"/>
    </row>
    <row r="390" spans="1:76" ht="25.5" x14ac:dyDescent="0.25">
      <c r="A390" s="146" t="s">
        <v>632</v>
      </c>
      <c r="B390" s="147" t="s">
        <v>633</v>
      </c>
      <c r="C390" s="286" t="s">
        <v>634</v>
      </c>
      <c r="D390" s="287"/>
      <c r="E390" s="147" t="s">
        <v>205</v>
      </c>
      <c r="F390" s="148">
        <v>164.08</v>
      </c>
      <c r="G390" s="148">
        <v>0</v>
      </c>
      <c r="H390" s="148">
        <f>ROUND(F390*AO390,2)</f>
        <v>0</v>
      </c>
      <c r="I390" s="148">
        <f>ROUND(F390*AP390,2)</f>
        <v>0</v>
      </c>
      <c r="J390" s="148">
        <f>ROUND(F390*G390,2)</f>
        <v>0</v>
      </c>
      <c r="K390" s="149" t="s">
        <v>70</v>
      </c>
      <c r="Z390" s="28">
        <f>ROUND(IF(AQ390="5",BJ390,0),2)</f>
        <v>0</v>
      </c>
      <c r="AB390" s="28">
        <f>ROUND(IF(AQ390="1",BH390,0),2)</f>
        <v>0</v>
      </c>
      <c r="AC390" s="28">
        <f>ROUND(IF(AQ390="1",BI390,0),2)</f>
        <v>0</v>
      </c>
      <c r="AD390" s="28">
        <f>ROUND(IF(AQ390="7",BH390,0),2)</f>
        <v>0</v>
      </c>
      <c r="AE390" s="28">
        <f>ROUND(IF(AQ390="7",BI390,0),2)</f>
        <v>0</v>
      </c>
      <c r="AF390" s="28">
        <f>ROUND(IF(AQ390="2",BH390,0),2)</f>
        <v>0</v>
      </c>
      <c r="AG390" s="28">
        <f>ROUND(IF(AQ390="2",BI390,0),2)</f>
        <v>0</v>
      </c>
      <c r="AH390" s="28">
        <f>ROUND(IF(AQ390="0",BJ390,0),2)</f>
        <v>0</v>
      </c>
      <c r="AI390" s="10" t="s">
        <v>409</v>
      </c>
      <c r="AJ390" s="28">
        <f>IF(AN390=0,J390,0)</f>
        <v>0</v>
      </c>
      <c r="AK390" s="28">
        <f>IF(AN390=12,J390,0)</f>
        <v>0</v>
      </c>
      <c r="AL390" s="28">
        <f>IF(AN390=21,J390,0)</f>
        <v>0</v>
      </c>
      <c r="AN390" s="28">
        <v>21</v>
      </c>
      <c r="AO390" s="28">
        <f>G390*0.483878319</f>
        <v>0</v>
      </c>
      <c r="AP390" s="28">
        <f>G390*(1-0.483878319)</f>
        <v>0</v>
      </c>
      <c r="AQ390" s="30" t="s">
        <v>111</v>
      </c>
      <c r="AV390" s="28">
        <f>ROUND(AW390+AX390,2)</f>
        <v>0</v>
      </c>
      <c r="AW390" s="28">
        <f>ROUND(F390*AO390,2)</f>
        <v>0</v>
      </c>
      <c r="AX390" s="28">
        <f>ROUND(F390*AP390,2)</f>
        <v>0</v>
      </c>
      <c r="AY390" s="30" t="s">
        <v>250</v>
      </c>
      <c r="AZ390" s="30" t="s">
        <v>451</v>
      </c>
      <c r="BA390" s="10" t="s">
        <v>415</v>
      </c>
      <c r="BC390" s="28">
        <f>AW390+AX390</f>
        <v>0</v>
      </c>
      <c r="BD390" s="28">
        <f>G390/(100-BE390)*100</f>
        <v>0</v>
      </c>
      <c r="BE390" s="28">
        <v>0</v>
      </c>
      <c r="BF390" s="28">
        <f>390</f>
        <v>390</v>
      </c>
      <c r="BH390" s="28">
        <f>F390*AO390</f>
        <v>0</v>
      </c>
      <c r="BI390" s="28">
        <f>F390*AP390</f>
        <v>0</v>
      </c>
      <c r="BJ390" s="28">
        <f>F390*G390</f>
        <v>0</v>
      </c>
      <c r="BK390" s="28"/>
      <c r="BL390" s="28">
        <v>764</v>
      </c>
      <c r="BW390" s="28">
        <v>21</v>
      </c>
      <c r="BX390" s="4" t="s">
        <v>634</v>
      </c>
    </row>
    <row r="391" spans="1:76" ht="27" customHeight="1" x14ac:dyDescent="0.25">
      <c r="A391" s="60"/>
      <c r="C391" s="255" t="s">
        <v>635</v>
      </c>
      <c r="D391" s="256"/>
      <c r="E391" s="256"/>
      <c r="F391" s="256"/>
      <c r="G391" s="256"/>
      <c r="H391" s="256"/>
      <c r="I391" s="256"/>
      <c r="J391" s="256"/>
      <c r="K391" s="257"/>
    </row>
    <row r="392" spans="1:76" x14ac:dyDescent="0.25">
      <c r="A392" s="160"/>
      <c r="B392" s="161"/>
      <c r="C392" s="162" t="s">
        <v>636</v>
      </c>
      <c r="D392" s="163" t="s">
        <v>637</v>
      </c>
      <c r="E392" s="161"/>
      <c r="F392" s="164">
        <v>164.08</v>
      </c>
      <c r="G392" s="161"/>
      <c r="H392" s="161"/>
      <c r="I392" s="161"/>
      <c r="J392" s="161"/>
      <c r="K392" s="165"/>
    </row>
    <row r="393" spans="1:76" x14ac:dyDescent="0.25">
      <c r="A393" s="72"/>
      <c r="B393" s="73" t="s">
        <v>85</v>
      </c>
      <c r="C393" s="260" t="s">
        <v>638</v>
      </c>
      <c r="D393" s="261"/>
      <c r="E393" s="261"/>
      <c r="F393" s="261"/>
      <c r="G393" s="261"/>
      <c r="H393" s="261"/>
      <c r="I393" s="261"/>
      <c r="J393" s="261"/>
      <c r="K393" s="262"/>
      <c r="BX393" s="32" t="s">
        <v>638</v>
      </c>
    </row>
    <row r="394" spans="1:76" x14ac:dyDescent="0.25">
      <c r="A394" s="2" t="s">
        <v>639</v>
      </c>
      <c r="B394" s="3" t="s">
        <v>640</v>
      </c>
      <c r="C394" s="230" t="s">
        <v>641</v>
      </c>
      <c r="D394" s="225"/>
      <c r="E394" s="3" t="s">
        <v>380</v>
      </c>
      <c r="F394" s="28">
        <v>43110</v>
      </c>
      <c r="G394" s="28">
        <v>0</v>
      </c>
      <c r="H394" s="28">
        <f>ROUND(F394*AO394,2)</f>
        <v>0</v>
      </c>
      <c r="I394" s="28">
        <f>ROUND(F394*AP394,2)</f>
        <v>0</v>
      </c>
      <c r="J394" s="28">
        <f>ROUND(F394*G394,2)</f>
        <v>0</v>
      </c>
      <c r="K394" s="29" t="s">
        <v>70</v>
      </c>
      <c r="Z394" s="28">
        <f>ROUND(IF(AQ394="5",BJ394,0),2)</f>
        <v>0</v>
      </c>
      <c r="AB394" s="28">
        <f>ROUND(IF(AQ394="1",BH394,0),2)</f>
        <v>0</v>
      </c>
      <c r="AC394" s="28">
        <f>ROUND(IF(AQ394="1",BI394,0),2)</f>
        <v>0</v>
      </c>
      <c r="AD394" s="28">
        <f>ROUND(IF(AQ394="7",BH394,0),2)</f>
        <v>0</v>
      </c>
      <c r="AE394" s="28">
        <f>ROUND(IF(AQ394="7",BI394,0),2)</f>
        <v>0</v>
      </c>
      <c r="AF394" s="28">
        <f>ROUND(IF(AQ394="2",BH394,0),2)</f>
        <v>0</v>
      </c>
      <c r="AG394" s="28">
        <f>ROUND(IF(AQ394="2",BI394,0),2)</f>
        <v>0</v>
      </c>
      <c r="AH394" s="28">
        <f>ROUND(IF(AQ394="0",BJ394,0),2)</f>
        <v>0</v>
      </c>
      <c r="AI394" s="10" t="s">
        <v>409</v>
      </c>
      <c r="AJ394" s="28">
        <f>IF(AN394=0,J394,0)</f>
        <v>0</v>
      </c>
      <c r="AK394" s="28">
        <f>IF(AN394=12,J394,0)</f>
        <v>0</v>
      </c>
      <c r="AL394" s="28">
        <f>IF(AN394=21,J394,0)</f>
        <v>0</v>
      </c>
      <c r="AN394" s="28">
        <v>21</v>
      </c>
      <c r="AO394" s="28">
        <f>G394*0</f>
        <v>0</v>
      </c>
      <c r="AP394" s="28">
        <f>G394*(1-0)</f>
        <v>0</v>
      </c>
      <c r="AQ394" s="30" t="s">
        <v>91</v>
      </c>
      <c r="AV394" s="28">
        <f>ROUND(AW394+AX394,2)</f>
        <v>0</v>
      </c>
      <c r="AW394" s="28">
        <f>ROUND(F394*AO394,2)</f>
        <v>0</v>
      </c>
      <c r="AX394" s="28">
        <f>ROUND(F394*AP394,2)</f>
        <v>0</v>
      </c>
      <c r="AY394" s="30" t="s">
        <v>250</v>
      </c>
      <c r="AZ394" s="30" t="s">
        <v>451</v>
      </c>
      <c r="BA394" s="10" t="s">
        <v>415</v>
      </c>
      <c r="BC394" s="28">
        <f>AW394+AX394</f>
        <v>0</v>
      </c>
      <c r="BD394" s="28">
        <f>G394/(100-BE394)*100</f>
        <v>0</v>
      </c>
      <c r="BE394" s="28">
        <v>0</v>
      </c>
      <c r="BF394" s="28">
        <f>394</f>
        <v>394</v>
      </c>
      <c r="BH394" s="28">
        <f>F394*AO394</f>
        <v>0</v>
      </c>
      <c r="BI394" s="28">
        <f>F394*AP394</f>
        <v>0</v>
      </c>
      <c r="BJ394" s="28">
        <f>F394*G394</f>
        <v>0</v>
      </c>
      <c r="BK394" s="28"/>
      <c r="BL394" s="28">
        <v>764</v>
      </c>
      <c r="BW394" s="28">
        <v>21</v>
      </c>
      <c r="BX394" s="4" t="s">
        <v>641</v>
      </c>
    </row>
    <row r="395" spans="1:76" x14ac:dyDescent="0.25">
      <c r="A395" s="31"/>
      <c r="C395" s="34" t="s">
        <v>642</v>
      </c>
      <c r="D395" s="33" t="s">
        <v>52</v>
      </c>
      <c r="F395" s="35">
        <v>43110</v>
      </c>
      <c r="K395" s="36"/>
    </row>
    <row r="396" spans="1:76" x14ac:dyDescent="0.25">
      <c r="A396" s="24" t="s">
        <v>52</v>
      </c>
      <c r="B396" s="25" t="s">
        <v>382</v>
      </c>
      <c r="C396" s="246" t="s">
        <v>383</v>
      </c>
      <c r="D396" s="247"/>
      <c r="E396" s="26" t="s">
        <v>33</v>
      </c>
      <c r="F396" s="26" t="s">
        <v>33</v>
      </c>
      <c r="G396" s="26" t="s">
        <v>33</v>
      </c>
      <c r="H396" s="1">
        <f>SUM(H397:H422)</f>
        <v>0</v>
      </c>
      <c r="I396" s="1">
        <f>SUM(I397:I422)</f>
        <v>0</v>
      </c>
      <c r="J396" s="1">
        <f>SUM(J397:J422)</f>
        <v>0</v>
      </c>
      <c r="K396" s="27" t="s">
        <v>52</v>
      </c>
      <c r="AI396" s="10" t="s">
        <v>409</v>
      </c>
      <c r="AS396" s="1">
        <f>SUM(AJ397:AJ422)</f>
        <v>0</v>
      </c>
      <c r="AT396" s="1">
        <f>SUM(AK397:AK422)</f>
        <v>0</v>
      </c>
      <c r="AU396" s="1">
        <f>SUM(AL397:AL422)</f>
        <v>0</v>
      </c>
    </row>
    <row r="397" spans="1:76" x14ac:dyDescent="0.25">
      <c r="A397" s="2" t="s">
        <v>643</v>
      </c>
      <c r="B397" s="3" t="s">
        <v>385</v>
      </c>
      <c r="C397" s="230" t="s">
        <v>386</v>
      </c>
      <c r="D397" s="225"/>
      <c r="E397" s="3" t="s">
        <v>69</v>
      </c>
      <c r="F397" s="28">
        <v>1423.54</v>
      </c>
      <c r="G397" s="28">
        <v>0</v>
      </c>
      <c r="H397" s="28">
        <f>ROUND(F397*AO397,2)</f>
        <v>0</v>
      </c>
      <c r="I397" s="28">
        <f>ROUND(F397*AP397,2)</f>
        <v>0</v>
      </c>
      <c r="J397" s="28">
        <f>ROUND(F397*G397,2)</f>
        <v>0</v>
      </c>
      <c r="K397" s="29" t="s">
        <v>70</v>
      </c>
      <c r="Z397" s="28">
        <f>ROUND(IF(AQ397="5",BJ397,0),2)</f>
        <v>0</v>
      </c>
      <c r="AB397" s="28">
        <f>ROUND(IF(AQ397="1",BH397,0),2)</f>
        <v>0</v>
      </c>
      <c r="AC397" s="28">
        <f>ROUND(IF(AQ397="1",BI397,0),2)</f>
        <v>0</v>
      </c>
      <c r="AD397" s="28">
        <f>ROUND(IF(AQ397="7",BH397,0),2)</f>
        <v>0</v>
      </c>
      <c r="AE397" s="28">
        <f>ROUND(IF(AQ397="7",BI397,0),2)</f>
        <v>0</v>
      </c>
      <c r="AF397" s="28">
        <f>ROUND(IF(AQ397="2",BH397,0),2)</f>
        <v>0</v>
      </c>
      <c r="AG397" s="28">
        <f>ROUND(IF(AQ397="2",BI397,0),2)</f>
        <v>0</v>
      </c>
      <c r="AH397" s="28">
        <f>ROUND(IF(AQ397="0",BJ397,0),2)</f>
        <v>0</v>
      </c>
      <c r="AI397" s="10" t="s">
        <v>409</v>
      </c>
      <c r="AJ397" s="28">
        <f>IF(AN397=0,J397,0)</f>
        <v>0</v>
      </c>
      <c r="AK397" s="28">
        <f>IF(AN397=12,J397,0)</f>
        <v>0</v>
      </c>
      <c r="AL397" s="28">
        <f>IF(AN397=21,J397,0)</f>
        <v>0</v>
      </c>
      <c r="AN397" s="28">
        <v>21</v>
      </c>
      <c r="AO397" s="28">
        <f>G397*0</f>
        <v>0</v>
      </c>
      <c r="AP397" s="28">
        <f>G397*(1-0)</f>
        <v>0</v>
      </c>
      <c r="AQ397" s="30" t="s">
        <v>111</v>
      </c>
      <c r="AV397" s="28">
        <f>ROUND(AW397+AX397,2)</f>
        <v>0</v>
      </c>
      <c r="AW397" s="28">
        <f>ROUND(F397*AO397,2)</f>
        <v>0</v>
      </c>
      <c r="AX397" s="28">
        <f>ROUND(F397*AP397,2)</f>
        <v>0</v>
      </c>
      <c r="AY397" s="30" t="s">
        <v>387</v>
      </c>
      <c r="AZ397" s="30" t="s">
        <v>451</v>
      </c>
      <c r="BA397" s="10" t="s">
        <v>415</v>
      </c>
      <c r="BC397" s="28">
        <f>AW397+AX397</f>
        <v>0</v>
      </c>
      <c r="BD397" s="28">
        <f>G397/(100-BE397)*100</f>
        <v>0</v>
      </c>
      <c r="BE397" s="28">
        <v>0</v>
      </c>
      <c r="BF397" s="28">
        <f>397</f>
        <v>397</v>
      </c>
      <c r="BH397" s="28">
        <f>F397*AO397</f>
        <v>0</v>
      </c>
      <c r="BI397" s="28">
        <f>F397*AP397</f>
        <v>0</v>
      </c>
      <c r="BJ397" s="28">
        <f>F397*G397</f>
        <v>0</v>
      </c>
      <c r="BK397" s="28"/>
      <c r="BL397" s="28">
        <v>765</v>
      </c>
      <c r="BW397" s="28">
        <v>21</v>
      </c>
      <c r="BX397" s="4" t="s">
        <v>386</v>
      </c>
    </row>
    <row r="398" spans="1:76" ht="13.5" customHeight="1" x14ac:dyDescent="0.25">
      <c r="A398" s="31"/>
      <c r="C398" s="248" t="s">
        <v>388</v>
      </c>
      <c r="D398" s="249"/>
      <c r="E398" s="249"/>
      <c r="F398" s="249"/>
      <c r="G398" s="249"/>
      <c r="H398" s="249"/>
      <c r="I398" s="249"/>
      <c r="J398" s="249"/>
      <c r="K398" s="250"/>
    </row>
    <row r="399" spans="1:76" x14ac:dyDescent="0.25">
      <c r="A399" s="45"/>
      <c r="C399" s="46" t="s">
        <v>433</v>
      </c>
      <c r="D399" s="47" t="s">
        <v>417</v>
      </c>
      <c r="F399" s="48">
        <v>1423.54</v>
      </c>
      <c r="K399" s="49"/>
    </row>
    <row r="400" spans="1:76" x14ac:dyDescent="0.25">
      <c r="A400" s="170" t="s">
        <v>644</v>
      </c>
      <c r="B400" s="171" t="s">
        <v>391</v>
      </c>
      <c r="C400" s="292" t="s">
        <v>392</v>
      </c>
      <c r="D400" s="293"/>
      <c r="E400" s="171" t="s">
        <v>205</v>
      </c>
      <c r="F400" s="172">
        <v>331.03</v>
      </c>
      <c r="G400" s="172">
        <v>0</v>
      </c>
      <c r="H400" s="172">
        <f>ROUND(F400*AO400,2)</f>
        <v>0</v>
      </c>
      <c r="I400" s="172">
        <f>ROUND(F400*AP400,2)</f>
        <v>0</v>
      </c>
      <c r="J400" s="172">
        <f>ROUND(F400*G400,2)</f>
        <v>0</v>
      </c>
      <c r="K400" s="173" t="s">
        <v>70</v>
      </c>
      <c r="Z400" s="28">
        <f>ROUND(IF(AQ400="5",BJ400,0),2)</f>
        <v>0</v>
      </c>
      <c r="AB400" s="28">
        <f>ROUND(IF(AQ400="1",BH400,0),2)</f>
        <v>0</v>
      </c>
      <c r="AC400" s="28">
        <f>ROUND(IF(AQ400="1",BI400,0),2)</f>
        <v>0</v>
      </c>
      <c r="AD400" s="28">
        <f>ROUND(IF(AQ400="7",BH400,0),2)</f>
        <v>0</v>
      </c>
      <c r="AE400" s="28">
        <f>ROUND(IF(AQ400="7",BI400,0),2)</f>
        <v>0</v>
      </c>
      <c r="AF400" s="28">
        <f>ROUND(IF(AQ400="2",BH400,0),2)</f>
        <v>0</v>
      </c>
      <c r="AG400" s="28">
        <f>ROUND(IF(AQ400="2",BI400,0),2)</f>
        <v>0</v>
      </c>
      <c r="AH400" s="28">
        <f>ROUND(IF(AQ400="0",BJ400,0),2)</f>
        <v>0</v>
      </c>
      <c r="AI400" s="10" t="s">
        <v>409</v>
      </c>
      <c r="AJ400" s="28">
        <f>IF(AN400=0,J400,0)</f>
        <v>0</v>
      </c>
      <c r="AK400" s="28">
        <f>IF(AN400=12,J400,0)</f>
        <v>0</v>
      </c>
      <c r="AL400" s="28">
        <f>IF(AN400=21,J400,0)</f>
        <v>0</v>
      </c>
      <c r="AN400" s="28">
        <v>21</v>
      </c>
      <c r="AO400" s="28">
        <f>G400*0.306990332</f>
        <v>0</v>
      </c>
      <c r="AP400" s="28">
        <f>G400*(1-0.306990332)</f>
        <v>0</v>
      </c>
      <c r="AQ400" s="30" t="s">
        <v>111</v>
      </c>
      <c r="AV400" s="28">
        <f>ROUND(AW400+AX400,2)</f>
        <v>0</v>
      </c>
      <c r="AW400" s="28">
        <f>ROUND(F400*AO400,2)</f>
        <v>0</v>
      </c>
      <c r="AX400" s="28">
        <f>ROUND(F400*AP400,2)</f>
        <v>0</v>
      </c>
      <c r="AY400" s="30" t="s">
        <v>387</v>
      </c>
      <c r="AZ400" s="30" t="s">
        <v>451</v>
      </c>
      <c r="BA400" s="10" t="s">
        <v>415</v>
      </c>
      <c r="BC400" s="28">
        <f>AW400+AX400</f>
        <v>0</v>
      </c>
      <c r="BD400" s="28">
        <f>G400/(100-BE400)*100</f>
        <v>0</v>
      </c>
      <c r="BE400" s="28">
        <v>0</v>
      </c>
      <c r="BF400" s="28">
        <f>400</f>
        <v>400</v>
      </c>
      <c r="BH400" s="28">
        <f>F400*AO400</f>
        <v>0</v>
      </c>
      <c r="BI400" s="28">
        <f>F400*AP400</f>
        <v>0</v>
      </c>
      <c r="BJ400" s="28">
        <f>F400*G400</f>
        <v>0</v>
      </c>
      <c r="BK400" s="28"/>
      <c r="BL400" s="28">
        <v>765</v>
      </c>
      <c r="BW400" s="28">
        <v>21</v>
      </c>
      <c r="BX400" s="4" t="s">
        <v>392</v>
      </c>
    </row>
    <row r="401" spans="1:76" x14ac:dyDescent="0.25">
      <c r="A401" s="150"/>
      <c r="B401" s="151"/>
      <c r="C401" s="152" t="s">
        <v>645</v>
      </c>
      <c r="D401" s="153" t="s">
        <v>646</v>
      </c>
      <c r="E401" s="151"/>
      <c r="F401" s="154">
        <v>164.77</v>
      </c>
      <c r="G401" s="151"/>
      <c r="H401" s="151"/>
      <c r="I401" s="151"/>
      <c r="J401" s="151"/>
      <c r="K401" s="155"/>
    </row>
    <row r="402" spans="1:76" x14ac:dyDescent="0.25">
      <c r="A402" s="150"/>
      <c r="B402" s="151"/>
      <c r="C402" s="152" t="s">
        <v>647</v>
      </c>
      <c r="D402" s="153" t="s">
        <v>648</v>
      </c>
      <c r="E402" s="151"/>
      <c r="F402" s="154">
        <v>166.26</v>
      </c>
      <c r="G402" s="151"/>
      <c r="H402" s="151"/>
      <c r="I402" s="151"/>
      <c r="J402" s="151"/>
      <c r="K402" s="155"/>
    </row>
    <row r="403" spans="1:76" x14ac:dyDescent="0.25">
      <c r="A403" s="156" t="s">
        <v>649</v>
      </c>
      <c r="B403" s="157" t="s">
        <v>399</v>
      </c>
      <c r="C403" s="288" t="s">
        <v>400</v>
      </c>
      <c r="D403" s="289"/>
      <c r="E403" s="157" t="s">
        <v>205</v>
      </c>
      <c r="F403" s="158">
        <v>364.13299999999998</v>
      </c>
      <c r="G403" s="158">
        <v>0</v>
      </c>
      <c r="H403" s="158">
        <f>ROUND(F403*AO403,2)</f>
        <v>0</v>
      </c>
      <c r="I403" s="158">
        <f>ROUND(F403*AP403,2)</f>
        <v>0</v>
      </c>
      <c r="J403" s="158">
        <f>ROUND(F403*G403,2)</f>
        <v>0</v>
      </c>
      <c r="K403" s="159" t="s">
        <v>223</v>
      </c>
      <c r="Z403" s="28">
        <f>ROUND(IF(AQ403="5",BJ403,0),2)</f>
        <v>0</v>
      </c>
      <c r="AB403" s="28">
        <f>ROUND(IF(AQ403="1",BH403,0),2)</f>
        <v>0</v>
      </c>
      <c r="AC403" s="28">
        <f>ROUND(IF(AQ403="1",BI403,0),2)</f>
        <v>0</v>
      </c>
      <c r="AD403" s="28">
        <f>ROUND(IF(AQ403="7",BH403,0),2)</f>
        <v>0</v>
      </c>
      <c r="AE403" s="28">
        <f>ROUND(IF(AQ403="7",BI403,0),2)</f>
        <v>0</v>
      </c>
      <c r="AF403" s="28">
        <f>ROUND(IF(AQ403="2",BH403,0),2)</f>
        <v>0</v>
      </c>
      <c r="AG403" s="28">
        <f>ROUND(IF(AQ403="2",BI403,0),2)</f>
        <v>0</v>
      </c>
      <c r="AH403" s="28">
        <f>ROUND(IF(AQ403="0",BJ403,0),2)</f>
        <v>0</v>
      </c>
      <c r="AI403" s="10" t="s">
        <v>409</v>
      </c>
      <c r="AJ403" s="41">
        <f>IF(AN403=0,J403,0)</f>
        <v>0</v>
      </c>
      <c r="AK403" s="41">
        <f>IF(AN403=12,J403,0)</f>
        <v>0</v>
      </c>
      <c r="AL403" s="41">
        <f>IF(AN403=21,J403,0)</f>
        <v>0</v>
      </c>
      <c r="AN403" s="28">
        <v>21</v>
      </c>
      <c r="AO403" s="28">
        <f>G403*1</f>
        <v>0</v>
      </c>
      <c r="AP403" s="28">
        <f>G403*(1-1)</f>
        <v>0</v>
      </c>
      <c r="AQ403" s="43" t="s">
        <v>111</v>
      </c>
      <c r="AV403" s="28">
        <f>ROUND(AW403+AX403,2)</f>
        <v>0</v>
      </c>
      <c r="AW403" s="28">
        <f>ROUND(F403*AO403,2)</f>
        <v>0</v>
      </c>
      <c r="AX403" s="28">
        <f>ROUND(F403*AP403,2)</f>
        <v>0</v>
      </c>
      <c r="AY403" s="30" t="s">
        <v>387</v>
      </c>
      <c r="AZ403" s="30" t="s">
        <v>451</v>
      </c>
      <c r="BA403" s="10" t="s">
        <v>415</v>
      </c>
      <c r="BC403" s="28">
        <f>AW403+AX403</f>
        <v>0</v>
      </c>
      <c r="BD403" s="28">
        <f>G403/(100-BE403)*100</f>
        <v>0</v>
      </c>
      <c r="BE403" s="28">
        <v>0</v>
      </c>
      <c r="BF403" s="28">
        <f>403</f>
        <v>403</v>
      </c>
      <c r="BH403" s="41">
        <f>F403*AO403</f>
        <v>0</v>
      </c>
      <c r="BI403" s="41">
        <f>F403*AP403</f>
        <v>0</v>
      </c>
      <c r="BJ403" s="41">
        <f>F403*G403</f>
        <v>0</v>
      </c>
      <c r="BK403" s="41"/>
      <c r="BL403" s="28">
        <v>765</v>
      </c>
      <c r="BW403" s="28">
        <v>21</v>
      </c>
      <c r="BX403" s="40" t="s">
        <v>400</v>
      </c>
    </row>
    <row r="404" spans="1:76" x14ac:dyDescent="0.25">
      <c r="A404" s="150"/>
      <c r="B404" s="151"/>
      <c r="C404" s="152" t="s">
        <v>645</v>
      </c>
      <c r="D404" s="153" t="s">
        <v>646</v>
      </c>
      <c r="E404" s="151"/>
      <c r="F404" s="154">
        <v>164.77</v>
      </c>
      <c r="G404" s="151"/>
      <c r="H404" s="151"/>
      <c r="I404" s="151"/>
      <c r="J404" s="151"/>
      <c r="K404" s="155"/>
    </row>
    <row r="405" spans="1:76" x14ac:dyDescent="0.25">
      <c r="A405" s="150"/>
      <c r="B405" s="151"/>
      <c r="C405" s="152" t="s">
        <v>647</v>
      </c>
      <c r="D405" s="153" t="s">
        <v>648</v>
      </c>
      <c r="E405" s="151"/>
      <c r="F405" s="154">
        <v>166.26</v>
      </c>
      <c r="G405" s="151"/>
      <c r="H405" s="151"/>
      <c r="I405" s="151"/>
      <c r="J405" s="151"/>
      <c r="K405" s="155"/>
    </row>
    <row r="406" spans="1:76" x14ac:dyDescent="0.25">
      <c r="A406" s="150"/>
      <c r="B406" s="151"/>
      <c r="C406" s="152" t="s">
        <v>650</v>
      </c>
      <c r="D406" s="153" t="s">
        <v>52</v>
      </c>
      <c r="E406" s="151"/>
      <c r="F406" s="154">
        <v>33.103000000000002</v>
      </c>
      <c r="G406" s="151"/>
      <c r="H406" s="151"/>
      <c r="I406" s="151"/>
      <c r="J406" s="151"/>
      <c r="K406" s="155"/>
    </row>
    <row r="407" spans="1:76" x14ac:dyDescent="0.25">
      <c r="A407" s="118" t="s">
        <v>651</v>
      </c>
      <c r="B407" s="119" t="s">
        <v>652</v>
      </c>
      <c r="C407" s="278" t="s">
        <v>653</v>
      </c>
      <c r="D407" s="279"/>
      <c r="E407" s="119" t="s">
        <v>69</v>
      </c>
      <c r="F407" s="120">
        <v>1192.347</v>
      </c>
      <c r="G407" s="120">
        <v>0</v>
      </c>
      <c r="H407" s="120">
        <f>ROUND(F407*AO407,2)</f>
        <v>0</v>
      </c>
      <c r="I407" s="120">
        <f>ROUND(F407*AP407,2)</f>
        <v>0</v>
      </c>
      <c r="J407" s="120">
        <f>ROUND(F407*G407,2)</f>
        <v>0</v>
      </c>
      <c r="K407" s="121" t="s">
        <v>70</v>
      </c>
      <c r="Z407" s="28">
        <f>ROUND(IF(AQ407="5",BJ407,0),2)</f>
        <v>0</v>
      </c>
      <c r="AB407" s="28">
        <f>ROUND(IF(AQ407="1",BH407,0),2)</f>
        <v>0</v>
      </c>
      <c r="AC407" s="28">
        <f>ROUND(IF(AQ407="1",BI407,0),2)</f>
        <v>0</v>
      </c>
      <c r="AD407" s="28">
        <f>ROUND(IF(AQ407="7",BH407,0),2)</f>
        <v>0</v>
      </c>
      <c r="AE407" s="28">
        <f>ROUND(IF(AQ407="7",BI407,0),2)</f>
        <v>0</v>
      </c>
      <c r="AF407" s="28">
        <f>ROUND(IF(AQ407="2",BH407,0),2)</f>
        <v>0</v>
      </c>
      <c r="AG407" s="28">
        <f>ROUND(IF(AQ407="2",BI407,0),2)</f>
        <v>0</v>
      </c>
      <c r="AH407" s="28">
        <f>ROUND(IF(AQ407="0",BJ407,0),2)</f>
        <v>0</v>
      </c>
      <c r="AI407" s="10" t="s">
        <v>409</v>
      </c>
      <c r="AJ407" s="28">
        <f>IF(AN407=0,J407,0)</f>
        <v>0</v>
      </c>
      <c r="AK407" s="28">
        <f>IF(AN407=12,J407,0)</f>
        <v>0</v>
      </c>
      <c r="AL407" s="28">
        <f>IF(AN407=21,J407,0)</f>
        <v>0</v>
      </c>
      <c r="AN407" s="28">
        <v>21</v>
      </c>
      <c r="AO407" s="28">
        <f>G407*0.069333554</f>
        <v>0</v>
      </c>
      <c r="AP407" s="28">
        <f>G407*(1-0.069333554)</f>
        <v>0</v>
      </c>
      <c r="AQ407" s="30" t="s">
        <v>111</v>
      </c>
      <c r="AV407" s="28">
        <f>ROUND(AW407+AX407,2)</f>
        <v>0</v>
      </c>
      <c r="AW407" s="28">
        <f>ROUND(F407*AO407,2)</f>
        <v>0</v>
      </c>
      <c r="AX407" s="28">
        <f>ROUND(F407*AP407,2)</f>
        <v>0</v>
      </c>
      <c r="AY407" s="30" t="s">
        <v>387</v>
      </c>
      <c r="AZ407" s="30" t="s">
        <v>451</v>
      </c>
      <c r="BA407" s="10" t="s">
        <v>415</v>
      </c>
      <c r="BC407" s="28">
        <f>AW407+AX407</f>
        <v>0</v>
      </c>
      <c r="BD407" s="28">
        <f>G407/(100-BE407)*100</f>
        <v>0</v>
      </c>
      <c r="BE407" s="28">
        <v>0</v>
      </c>
      <c r="BF407" s="28">
        <f>407</f>
        <v>407</v>
      </c>
      <c r="BH407" s="28">
        <f>F407*AO407</f>
        <v>0</v>
      </c>
      <c r="BI407" s="28">
        <f>F407*AP407</f>
        <v>0</v>
      </c>
      <c r="BJ407" s="28">
        <f>F407*G407</f>
        <v>0</v>
      </c>
      <c r="BK407" s="28"/>
      <c r="BL407" s="28">
        <v>765</v>
      </c>
      <c r="BW407" s="28">
        <v>21</v>
      </c>
      <c r="BX407" s="4" t="s">
        <v>653</v>
      </c>
    </row>
    <row r="408" spans="1:76" ht="13.5" customHeight="1" x14ac:dyDescent="0.25">
      <c r="A408" s="60"/>
      <c r="C408" s="255" t="s">
        <v>654</v>
      </c>
      <c r="D408" s="256"/>
      <c r="E408" s="256"/>
      <c r="F408" s="256"/>
      <c r="G408" s="256"/>
      <c r="H408" s="256"/>
      <c r="I408" s="256"/>
      <c r="J408" s="256"/>
      <c r="K408" s="257"/>
    </row>
    <row r="409" spans="1:76" x14ac:dyDescent="0.25">
      <c r="A409" s="136"/>
      <c r="B409" s="137"/>
      <c r="C409" s="138" t="s">
        <v>655</v>
      </c>
      <c r="D409" s="139" t="s">
        <v>423</v>
      </c>
      <c r="E409" s="137"/>
      <c r="F409" s="140">
        <v>1192.347</v>
      </c>
      <c r="G409" s="137"/>
      <c r="H409" s="137"/>
      <c r="I409" s="137"/>
      <c r="J409" s="137"/>
      <c r="K409" s="141"/>
    </row>
    <row r="410" spans="1:76" ht="38.25" x14ac:dyDescent="0.25">
      <c r="A410" s="60"/>
      <c r="B410" s="61" t="s">
        <v>85</v>
      </c>
      <c r="C410" s="255" t="s">
        <v>656</v>
      </c>
      <c r="D410" s="256"/>
      <c r="E410" s="256"/>
      <c r="F410" s="256"/>
      <c r="G410" s="256"/>
      <c r="H410" s="256"/>
      <c r="I410" s="256"/>
      <c r="J410" s="256"/>
      <c r="K410" s="257"/>
      <c r="BX410" s="32" t="s">
        <v>656</v>
      </c>
    </row>
    <row r="411" spans="1:76" x14ac:dyDescent="0.25">
      <c r="A411" s="142" t="s">
        <v>657</v>
      </c>
      <c r="B411" s="143" t="s">
        <v>658</v>
      </c>
      <c r="C411" s="284" t="s">
        <v>659</v>
      </c>
      <c r="D411" s="285"/>
      <c r="E411" s="143" t="s">
        <v>69</v>
      </c>
      <c r="F411" s="144">
        <v>1347.35211</v>
      </c>
      <c r="G411" s="144">
        <v>0</v>
      </c>
      <c r="H411" s="144">
        <f>ROUND(F411*AO411,2)</f>
        <v>0</v>
      </c>
      <c r="I411" s="144">
        <f>ROUND(F411*AP411,2)</f>
        <v>0</v>
      </c>
      <c r="J411" s="144">
        <f>ROUND(F411*G411,2)</f>
        <v>0</v>
      </c>
      <c r="K411" s="145" t="s">
        <v>70</v>
      </c>
      <c r="Z411" s="28">
        <f>ROUND(IF(AQ411="5",BJ411,0),2)</f>
        <v>0</v>
      </c>
      <c r="AB411" s="28">
        <f>ROUND(IF(AQ411="1",BH411,0),2)</f>
        <v>0</v>
      </c>
      <c r="AC411" s="28">
        <f>ROUND(IF(AQ411="1",BI411,0),2)</f>
        <v>0</v>
      </c>
      <c r="AD411" s="28">
        <f>ROUND(IF(AQ411="7",BH411,0),2)</f>
        <v>0</v>
      </c>
      <c r="AE411" s="28">
        <f>ROUND(IF(AQ411="7",BI411,0),2)</f>
        <v>0</v>
      </c>
      <c r="AF411" s="28">
        <f>ROUND(IF(AQ411="2",BH411,0),2)</f>
        <v>0</v>
      </c>
      <c r="AG411" s="28">
        <f>ROUND(IF(AQ411="2",BI411,0),2)</f>
        <v>0</v>
      </c>
      <c r="AH411" s="28">
        <f>ROUND(IF(AQ411="0",BJ411,0),2)</f>
        <v>0</v>
      </c>
      <c r="AI411" s="10" t="s">
        <v>409</v>
      </c>
      <c r="AJ411" s="41">
        <f>IF(AN411=0,J411,0)</f>
        <v>0</v>
      </c>
      <c r="AK411" s="41">
        <f>IF(AN411=12,J411,0)</f>
        <v>0</v>
      </c>
      <c r="AL411" s="41">
        <f>IF(AN411=21,J411,0)</f>
        <v>0</v>
      </c>
      <c r="AN411" s="28">
        <v>21</v>
      </c>
      <c r="AO411" s="28">
        <f>G411*1</f>
        <v>0</v>
      </c>
      <c r="AP411" s="28">
        <f>G411*(1-1)</f>
        <v>0</v>
      </c>
      <c r="AQ411" s="43" t="s">
        <v>111</v>
      </c>
      <c r="AV411" s="28">
        <f>ROUND(AW411+AX411,2)</f>
        <v>0</v>
      </c>
      <c r="AW411" s="28">
        <f>ROUND(F411*AO411,2)</f>
        <v>0</v>
      </c>
      <c r="AX411" s="28">
        <f>ROUND(F411*AP411,2)</f>
        <v>0</v>
      </c>
      <c r="AY411" s="30" t="s">
        <v>387</v>
      </c>
      <c r="AZ411" s="30" t="s">
        <v>451</v>
      </c>
      <c r="BA411" s="10" t="s">
        <v>415</v>
      </c>
      <c r="BC411" s="28">
        <f>AW411+AX411</f>
        <v>0</v>
      </c>
      <c r="BD411" s="28">
        <f>G411/(100-BE411)*100</f>
        <v>0</v>
      </c>
      <c r="BE411" s="28">
        <v>0</v>
      </c>
      <c r="BF411" s="28">
        <f>411</f>
        <v>411</v>
      </c>
      <c r="BH411" s="41">
        <f>F411*AO411</f>
        <v>0</v>
      </c>
      <c r="BI411" s="41">
        <f>F411*AP411</f>
        <v>0</v>
      </c>
      <c r="BJ411" s="41">
        <f>F411*G411</f>
        <v>0</v>
      </c>
      <c r="BK411" s="41"/>
      <c r="BL411" s="28">
        <v>765</v>
      </c>
      <c r="BW411" s="28">
        <v>21</v>
      </c>
      <c r="BX411" s="40" t="s">
        <v>659</v>
      </c>
    </row>
    <row r="412" spans="1:76" x14ac:dyDescent="0.25">
      <c r="A412" s="122"/>
      <c r="B412" s="123"/>
      <c r="C412" s="124" t="s">
        <v>655</v>
      </c>
      <c r="D412" s="125" t="s">
        <v>423</v>
      </c>
      <c r="E412" s="123"/>
      <c r="F412" s="126">
        <v>1192.347</v>
      </c>
      <c r="G412" s="123"/>
      <c r="H412" s="123"/>
      <c r="I412" s="123"/>
      <c r="J412" s="123"/>
      <c r="K412" s="127"/>
    </row>
    <row r="413" spans="1:76" x14ac:dyDescent="0.25">
      <c r="A413" s="122"/>
      <c r="B413" s="123"/>
      <c r="C413" s="124" t="s">
        <v>660</v>
      </c>
      <c r="D413" s="125" t="s">
        <v>52</v>
      </c>
      <c r="E413" s="123"/>
      <c r="F413" s="126">
        <v>155.00511</v>
      </c>
      <c r="G413" s="123"/>
      <c r="H413" s="123"/>
      <c r="I413" s="123"/>
      <c r="J413" s="123"/>
      <c r="K413" s="127"/>
    </row>
    <row r="414" spans="1:76" ht="25.5" x14ac:dyDescent="0.25">
      <c r="A414" s="60"/>
      <c r="B414" s="61" t="s">
        <v>85</v>
      </c>
      <c r="C414" s="255" t="s">
        <v>661</v>
      </c>
      <c r="D414" s="256"/>
      <c r="E414" s="256"/>
      <c r="F414" s="256"/>
      <c r="G414" s="256"/>
      <c r="H414" s="256"/>
      <c r="I414" s="256"/>
      <c r="J414" s="256"/>
      <c r="K414" s="257"/>
      <c r="BX414" s="44" t="s">
        <v>661</v>
      </c>
    </row>
    <row r="415" spans="1:76" x14ac:dyDescent="0.25">
      <c r="A415" s="142" t="s">
        <v>662</v>
      </c>
      <c r="B415" s="143" t="s">
        <v>663</v>
      </c>
      <c r="C415" s="284" t="s">
        <v>664</v>
      </c>
      <c r="D415" s="285"/>
      <c r="E415" s="143" t="s">
        <v>205</v>
      </c>
      <c r="F415" s="144">
        <v>874.38779999999997</v>
      </c>
      <c r="G415" s="144">
        <v>0</v>
      </c>
      <c r="H415" s="144">
        <f>ROUND(F415*AO415,2)</f>
        <v>0</v>
      </c>
      <c r="I415" s="144">
        <f>ROUND(F415*AP415,2)</f>
        <v>0</v>
      </c>
      <c r="J415" s="144">
        <f>ROUND(F415*G415,2)</f>
        <v>0</v>
      </c>
      <c r="K415" s="145" t="s">
        <v>70</v>
      </c>
      <c r="Z415" s="28">
        <f>ROUND(IF(AQ415="5",BJ415,0),2)</f>
        <v>0</v>
      </c>
      <c r="AB415" s="28">
        <f>ROUND(IF(AQ415="1",BH415,0),2)</f>
        <v>0</v>
      </c>
      <c r="AC415" s="28">
        <f>ROUND(IF(AQ415="1",BI415,0),2)</f>
        <v>0</v>
      </c>
      <c r="AD415" s="28">
        <f>ROUND(IF(AQ415="7",BH415,0),2)</f>
        <v>0</v>
      </c>
      <c r="AE415" s="28">
        <f>ROUND(IF(AQ415="7",BI415,0),2)</f>
        <v>0</v>
      </c>
      <c r="AF415" s="28">
        <f>ROUND(IF(AQ415="2",BH415,0),2)</f>
        <v>0</v>
      </c>
      <c r="AG415" s="28">
        <f>ROUND(IF(AQ415="2",BI415,0),2)</f>
        <v>0</v>
      </c>
      <c r="AH415" s="28">
        <f>ROUND(IF(AQ415="0",BJ415,0),2)</f>
        <v>0</v>
      </c>
      <c r="AI415" s="10" t="s">
        <v>409</v>
      </c>
      <c r="AJ415" s="41">
        <f>IF(AN415=0,J415,0)</f>
        <v>0</v>
      </c>
      <c r="AK415" s="41">
        <f>IF(AN415=12,J415,0)</f>
        <v>0</v>
      </c>
      <c r="AL415" s="41">
        <f>IF(AN415=21,J415,0)</f>
        <v>0</v>
      </c>
      <c r="AN415" s="28">
        <v>21</v>
      </c>
      <c r="AO415" s="28">
        <f>G415*1</f>
        <v>0</v>
      </c>
      <c r="AP415" s="28">
        <f>G415*(1-1)</f>
        <v>0</v>
      </c>
      <c r="AQ415" s="43" t="s">
        <v>111</v>
      </c>
      <c r="AV415" s="28">
        <f>ROUND(AW415+AX415,2)</f>
        <v>0</v>
      </c>
      <c r="AW415" s="28">
        <f>ROUND(F415*AO415,2)</f>
        <v>0</v>
      </c>
      <c r="AX415" s="28">
        <f>ROUND(F415*AP415,2)</f>
        <v>0</v>
      </c>
      <c r="AY415" s="30" t="s">
        <v>387</v>
      </c>
      <c r="AZ415" s="30" t="s">
        <v>451</v>
      </c>
      <c r="BA415" s="10" t="s">
        <v>415</v>
      </c>
      <c r="BC415" s="28">
        <f>AW415+AX415</f>
        <v>0</v>
      </c>
      <c r="BD415" s="28">
        <f>G415/(100-BE415)*100</f>
        <v>0</v>
      </c>
      <c r="BE415" s="28">
        <v>0</v>
      </c>
      <c r="BF415" s="28">
        <f>415</f>
        <v>415</v>
      </c>
      <c r="BH415" s="41">
        <f>F415*AO415</f>
        <v>0</v>
      </c>
      <c r="BI415" s="41">
        <f>F415*AP415</f>
        <v>0</v>
      </c>
      <c r="BJ415" s="41">
        <f>F415*G415</f>
        <v>0</v>
      </c>
      <c r="BK415" s="41"/>
      <c r="BL415" s="28">
        <v>765</v>
      </c>
      <c r="BW415" s="28">
        <v>21</v>
      </c>
      <c r="BX415" s="40" t="s">
        <v>664</v>
      </c>
    </row>
    <row r="416" spans="1:76" x14ac:dyDescent="0.25">
      <c r="A416" s="122"/>
      <c r="B416" s="123"/>
      <c r="C416" s="124" t="s">
        <v>665</v>
      </c>
      <c r="D416" s="125" t="s">
        <v>423</v>
      </c>
      <c r="E416" s="123"/>
      <c r="F416" s="126">
        <v>794.89800000000002</v>
      </c>
      <c r="G416" s="123"/>
      <c r="H416" s="123"/>
      <c r="I416" s="123"/>
      <c r="J416" s="123"/>
      <c r="K416" s="127"/>
    </row>
    <row r="417" spans="1:76" x14ac:dyDescent="0.25">
      <c r="A417" s="122"/>
      <c r="B417" s="123"/>
      <c r="C417" s="124" t="s">
        <v>666</v>
      </c>
      <c r="D417" s="125" t="s">
        <v>52</v>
      </c>
      <c r="E417" s="123"/>
      <c r="F417" s="126">
        <v>79.489800000000002</v>
      </c>
      <c r="G417" s="123"/>
      <c r="H417" s="123"/>
      <c r="I417" s="123"/>
      <c r="J417" s="123"/>
      <c r="K417" s="127"/>
    </row>
    <row r="418" spans="1:76" ht="25.5" x14ac:dyDescent="0.25">
      <c r="A418" s="60"/>
      <c r="B418" s="61" t="s">
        <v>85</v>
      </c>
      <c r="C418" s="255" t="s">
        <v>667</v>
      </c>
      <c r="D418" s="256"/>
      <c r="E418" s="256"/>
      <c r="F418" s="256"/>
      <c r="G418" s="256"/>
      <c r="H418" s="256"/>
      <c r="I418" s="256"/>
      <c r="J418" s="256"/>
      <c r="K418" s="257"/>
      <c r="BX418" s="44" t="s">
        <v>667</v>
      </c>
    </row>
    <row r="419" spans="1:76" x14ac:dyDescent="0.25">
      <c r="A419" s="132" t="s">
        <v>668</v>
      </c>
      <c r="B419" s="133" t="s">
        <v>669</v>
      </c>
      <c r="C419" s="282" t="s">
        <v>670</v>
      </c>
      <c r="D419" s="283"/>
      <c r="E419" s="133" t="s">
        <v>69</v>
      </c>
      <c r="F419" s="134">
        <v>1192.347</v>
      </c>
      <c r="G419" s="134">
        <v>0</v>
      </c>
      <c r="H419" s="134">
        <f>ROUND(F419*AO419,2)</f>
        <v>0</v>
      </c>
      <c r="I419" s="134">
        <f>ROUND(F419*AP419,2)</f>
        <v>0</v>
      </c>
      <c r="J419" s="134">
        <f>ROUND(F419*G419,2)</f>
        <v>0</v>
      </c>
      <c r="K419" s="135" t="s">
        <v>70</v>
      </c>
      <c r="Z419" s="28">
        <f>ROUND(IF(AQ419="5",BJ419,0),2)</f>
        <v>0</v>
      </c>
      <c r="AB419" s="28">
        <f>ROUND(IF(AQ419="1",BH419,0),2)</f>
        <v>0</v>
      </c>
      <c r="AC419" s="28">
        <f>ROUND(IF(AQ419="1",BI419,0),2)</f>
        <v>0</v>
      </c>
      <c r="AD419" s="28">
        <f>ROUND(IF(AQ419="7",BH419,0),2)</f>
        <v>0</v>
      </c>
      <c r="AE419" s="28">
        <f>ROUND(IF(AQ419="7",BI419,0),2)</f>
        <v>0</v>
      </c>
      <c r="AF419" s="28">
        <f>ROUND(IF(AQ419="2",BH419,0),2)</f>
        <v>0</v>
      </c>
      <c r="AG419" s="28">
        <f>ROUND(IF(AQ419="2",BI419,0),2)</f>
        <v>0</v>
      </c>
      <c r="AH419" s="28">
        <f>ROUND(IF(AQ419="0",BJ419,0),2)</f>
        <v>0</v>
      </c>
      <c r="AI419" s="10" t="s">
        <v>409</v>
      </c>
      <c r="AJ419" s="28">
        <f>IF(AN419=0,J419,0)</f>
        <v>0</v>
      </c>
      <c r="AK419" s="28">
        <f>IF(AN419=12,J419,0)</f>
        <v>0</v>
      </c>
      <c r="AL419" s="28">
        <f>IF(AN419=21,J419,0)</f>
        <v>0</v>
      </c>
      <c r="AN419" s="28">
        <v>21</v>
      </c>
      <c r="AO419" s="28">
        <f>G419*0</f>
        <v>0</v>
      </c>
      <c r="AP419" s="28">
        <f>G419*(1-0)</f>
        <v>0</v>
      </c>
      <c r="AQ419" s="30" t="s">
        <v>111</v>
      </c>
      <c r="AV419" s="28">
        <f>ROUND(AW419+AX419,2)</f>
        <v>0</v>
      </c>
      <c r="AW419" s="28">
        <f>ROUND(F419*AO419,2)</f>
        <v>0</v>
      </c>
      <c r="AX419" s="28">
        <f>ROUND(F419*AP419,2)</f>
        <v>0</v>
      </c>
      <c r="AY419" s="30" t="s">
        <v>387</v>
      </c>
      <c r="AZ419" s="30" t="s">
        <v>451</v>
      </c>
      <c r="BA419" s="10" t="s">
        <v>415</v>
      </c>
      <c r="BC419" s="28">
        <f>AW419+AX419</f>
        <v>0</v>
      </c>
      <c r="BD419" s="28">
        <f>G419/(100-BE419)*100</f>
        <v>0</v>
      </c>
      <c r="BE419" s="28">
        <v>0</v>
      </c>
      <c r="BF419" s="28">
        <f>419</f>
        <v>419</v>
      </c>
      <c r="BH419" s="28">
        <f>F419*AO419</f>
        <v>0</v>
      </c>
      <c r="BI419" s="28">
        <f>F419*AP419</f>
        <v>0</v>
      </c>
      <c r="BJ419" s="28">
        <f>F419*G419</f>
        <v>0</v>
      </c>
      <c r="BK419" s="28"/>
      <c r="BL419" s="28">
        <v>765</v>
      </c>
      <c r="BW419" s="28">
        <v>21</v>
      </c>
      <c r="BX419" s="4" t="s">
        <v>670</v>
      </c>
    </row>
    <row r="420" spans="1:76" x14ac:dyDescent="0.25">
      <c r="A420" s="122"/>
      <c r="B420" s="123"/>
      <c r="C420" s="124" t="s">
        <v>655</v>
      </c>
      <c r="D420" s="125" t="s">
        <v>423</v>
      </c>
      <c r="E420" s="123"/>
      <c r="F420" s="126">
        <v>1192.347</v>
      </c>
      <c r="G420" s="123"/>
      <c r="H420" s="123"/>
      <c r="I420" s="123"/>
      <c r="J420" s="123"/>
      <c r="K420" s="127"/>
    </row>
    <row r="421" spans="1:76" x14ac:dyDescent="0.25">
      <c r="A421" s="72"/>
      <c r="B421" s="73" t="s">
        <v>85</v>
      </c>
      <c r="C421" s="260" t="s">
        <v>671</v>
      </c>
      <c r="D421" s="261"/>
      <c r="E421" s="261"/>
      <c r="F421" s="261"/>
      <c r="G421" s="261"/>
      <c r="H421" s="261"/>
      <c r="I421" s="261"/>
      <c r="J421" s="261"/>
      <c r="K421" s="262"/>
      <c r="BX421" s="32" t="s">
        <v>671</v>
      </c>
    </row>
    <row r="422" spans="1:76" x14ac:dyDescent="0.25">
      <c r="A422" s="2" t="s">
        <v>672</v>
      </c>
      <c r="B422" s="3" t="s">
        <v>673</v>
      </c>
      <c r="C422" s="230" t="s">
        <v>674</v>
      </c>
      <c r="D422" s="225"/>
      <c r="E422" s="3" t="s">
        <v>380</v>
      </c>
      <c r="F422" s="28">
        <v>8250</v>
      </c>
      <c r="G422" s="28">
        <v>0</v>
      </c>
      <c r="H422" s="28">
        <f>ROUND(F422*AO422,2)</f>
        <v>0</v>
      </c>
      <c r="I422" s="28">
        <f>ROUND(F422*AP422,2)</f>
        <v>0</v>
      </c>
      <c r="J422" s="28">
        <f>ROUND(F422*G422,2)</f>
        <v>0</v>
      </c>
      <c r="K422" s="29" t="s">
        <v>70</v>
      </c>
      <c r="Z422" s="28">
        <f>ROUND(IF(AQ422="5",BJ422,0),2)</f>
        <v>0</v>
      </c>
      <c r="AB422" s="28">
        <f>ROUND(IF(AQ422="1",BH422,0),2)</f>
        <v>0</v>
      </c>
      <c r="AC422" s="28">
        <f>ROUND(IF(AQ422="1",BI422,0),2)</f>
        <v>0</v>
      </c>
      <c r="AD422" s="28">
        <f>ROUND(IF(AQ422="7",BH422,0),2)</f>
        <v>0</v>
      </c>
      <c r="AE422" s="28">
        <f>ROUND(IF(AQ422="7",BI422,0),2)</f>
        <v>0</v>
      </c>
      <c r="AF422" s="28">
        <f>ROUND(IF(AQ422="2",BH422,0),2)</f>
        <v>0</v>
      </c>
      <c r="AG422" s="28">
        <f>ROUND(IF(AQ422="2",BI422,0),2)</f>
        <v>0</v>
      </c>
      <c r="AH422" s="28">
        <f>ROUND(IF(AQ422="0",BJ422,0),2)</f>
        <v>0</v>
      </c>
      <c r="AI422" s="10" t="s">
        <v>409</v>
      </c>
      <c r="AJ422" s="28">
        <f>IF(AN422=0,J422,0)</f>
        <v>0</v>
      </c>
      <c r="AK422" s="28">
        <f>IF(AN422=12,J422,0)</f>
        <v>0</v>
      </c>
      <c r="AL422" s="28">
        <f>IF(AN422=21,J422,0)</f>
        <v>0</v>
      </c>
      <c r="AN422" s="28">
        <v>21</v>
      </c>
      <c r="AO422" s="28">
        <f>G422*0</f>
        <v>0</v>
      </c>
      <c r="AP422" s="28">
        <f>G422*(1-0)</f>
        <v>0</v>
      </c>
      <c r="AQ422" s="30" t="s">
        <v>91</v>
      </c>
      <c r="AV422" s="28">
        <f>ROUND(AW422+AX422,2)</f>
        <v>0</v>
      </c>
      <c r="AW422" s="28">
        <f>ROUND(F422*AO422,2)</f>
        <v>0</v>
      </c>
      <c r="AX422" s="28">
        <f>ROUND(F422*AP422,2)</f>
        <v>0</v>
      </c>
      <c r="AY422" s="30" t="s">
        <v>387</v>
      </c>
      <c r="AZ422" s="30" t="s">
        <v>451</v>
      </c>
      <c r="BA422" s="10" t="s">
        <v>415</v>
      </c>
      <c r="BC422" s="28">
        <f>AW422+AX422</f>
        <v>0</v>
      </c>
      <c r="BD422" s="28">
        <f>G422/(100-BE422)*100</f>
        <v>0</v>
      </c>
      <c r="BE422" s="28">
        <v>0</v>
      </c>
      <c r="BF422" s="28">
        <f>422</f>
        <v>422</v>
      </c>
      <c r="BH422" s="28">
        <f>F422*AO422</f>
        <v>0</v>
      </c>
      <c r="BI422" s="28">
        <f>F422*AP422</f>
        <v>0</v>
      </c>
      <c r="BJ422" s="28">
        <f>F422*G422</f>
        <v>0</v>
      </c>
      <c r="BK422" s="28"/>
      <c r="BL422" s="28">
        <v>765</v>
      </c>
      <c r="BW422" s="28">
        <v>21</v>
      </c>
      <c r="BX422" s="4" t="s">
        <v>674</v>
      </c>
    </row>
    <row r="423" spans="1:76" x14ac:dyDescent="0.25">
      <c r="A423" s="31"/>
      <c r="C423" s="34" t="s">
        <v>675</v>
      </c>
      <c r="D423" s="33" t="s">
        <v>52</v>
      </c>
      <c r="F423" s="35">
        <v>8250</v>
      </c>
      <c r="K423" s="36"/>
    </row>
    <row r="424" spans="1:76" x14ac:dyDescent="0.25">
      <c r="A424" s="103" t="s">
        <v>52</v>
      </c>
      <c r="B424" s="104" t="s">
        <v>676</v>
      </c>
      <c r="C424" s="274" t="s">
        <v>677</v>
      </c>
      <c r="D424" s="275"/>
      <c r="E424" s="105" t="s">
        <v>33</v>
      </c>
      <c r="F424" s="105" t="s">
        <v>33</v>
      </c>
      <c r="G424" s="105" t="s">
        <v>33</v>
      </c>
      <c r="H424" s="106">
        <f>SUM(H425:H425)</f>
        <v>0</v>
      </c>
      <c r="I424" s="106">
        <f>SUM(I425:I425)</f>
        <v>0</v>
      </c>
      <c r="J424" s="106">
        <f>SUM(J425:J425)</f>
        <v>0</v>
      </c>
      <c r="K424" s="107" t="s">
        <v>52</v>
      </c>
      <c r="AI424" s="10" t="s">
        <v>409</v>
      </c>
      <c r="AS424" s="1">
        <f>SUM(AJ425:AJ425)</f>
        <v>0</v>
      </c>
      <c r="AT424" s="1">
        <f>SUM(AK425:AK425)</f>
        <v>0</v>
      </c>
      <c r="AU424" s="1">
        <f>SUM(AL425:AL425)</f>
        <v>0</v>
      </c>
    </row>
    <row r="425" spans="1:76" x14ac:dyDescent="0.25">
      <c r="A425" s="108" t="s">
        <v>678</v>
      </c>
      <c r="B425" s="109" t="s">
        <v>679</v>
      </c>
      <c r="C425" s="276" t="s">
        <v>680</v>
      </c>
      <c r="D425" s="277"/>
      <c r="E425" s="109" t="s">
        <v>308</v>
      </c>
      <c r="F425" s="110">
        <v>131</v>
      </c>
      <c r="G425" s="110">
        <v>0</v>
      </c>
      <c r="H425" s="110">
        <f>ROUND(F425*AO425,2)</f>
        <v>0</v>
      </c>
      <c r="I425" s="110">
        <f>ROUND(F425*AP425,2)</f>
        <v>0</v>
      </c>
      <c r="J425" s="110">
        <f>ROUND(F425*G425,2)</f>
        <v>0</v>
      </c>
      <c r="K425" s="111" t="s">
        <v>70</v>
      </c>
      <c r="Z425" s="28">
        <f>ROUND(IF(AQ425="5",BJ425,0),2)</f>
        <v>0</v>
      </c>
      <c r="AB425" s="28">
        <f>ROUND(IF(AQ425="1",BH425,0),2)</f>
        <v>0</v>
      </c>
      <c r="AC425" s="28">
        <f>ROUND(IF(AQ425="1",BI425,0),2)</f>
        <v>0</v>
      </c>
      <c r="AD425" s="28">
        <f>ROUND(IF(AQ425="7",BH425,0),2)</f>
        <v>0</v>
      </c>
      <c r="AE425" s="28">
        <f>ROUND(IF(AQ425="7",BI425,0),2)</f>
        <v>0</v>
      </c>
      <c r="AF425" s="28">
        <f>ROUND(IF(AQ425="2",BH425,0),2)</f>
        <v>0</v>
      </c>
      <c r="AG425" s="28">
        <f>ROUND(IF(AQ425="2",BI425,0),2)</f>
        <v>0</v>
      </c>
      <c r="AH425" s="28">
        <f>ROUND(IF(AQ425="0",BJ425,0),2)</f>
        <v>0</v>
      </c>
      <c r="AI425" s="10" t="s">
        <v>409</v>
      </c>
      <c r="AJ425" s="28">
        <f>IF(AN425=0,J425,0)</f>
        <v>0</v>
      </c>
      <c r="AK425" s="28">
        <f>IF(AN425=12,J425,0)</f>
        <v>0</v>
      </c>
      <c r="AL425" s="28">
        <f>IF(AN425=21,J425,0)</f>
        <v>0</v>
      </c>
      <c r="AN425" s="28">
        <v>21</v>
      </c>
      <c r="AO425" s="28">
        <f>G425*0</f>
        <v>0</v>
      </c>
      <c r="AP425" s="28">
        <f>G425*(1-0)</f>
        <v>0</v>
      </c>
      <c r="AQ425" s="30" t="s">
        <v>111</v>
      </c>
      <c r="AV425" s="28">
        <f>ROUND(AW425+AX425,2)</f>
        <v>0</v>
      </c>
      <c r="AW425" s="28">
        <f>ROUND(F425*AO425,2)</f>
        <v>0</v>
      </c>
      <c r="AX425" s="28">
        <f>ROUND(F425*AP425,2)</f>
        <v>0</v>
      </c>
      <c r="AY425" s="30" t="s">
        <v>681</v>
      </c>
      <c r="AZ425" s="30" t="s">
        <v>451</v>
      </c>
      <c r="BA425" s="10" t="s">
        <v>415</v>
      </c>
      <c r="BC425" s="28">
        <f>AW425+AX425</f>
        <v>0</v>
      </c>
      <c r="BD425" s="28">
        <f>G425/(100-BE425)*100</f>
        <v>0</v>
      </c>
      <c r="BE425" s="28">
        <v>0</v>
      </c>
      <c r="BF425" s="28">
        <f>425</f>
        <v>425</v>
      </c>
      <c r="BH425" s="28">
        <f>F425*AO425</f>
        <v>0</v>
      </c>
      <c r="BI425" s="28">
        <f>F425*AP425</f>
        <v>0</v>
      </c>
      <c r="BJ425" s="28">
        <f>F425*G425</f>
        <v>0</v>
      </c>
      <c r="BK425" s="28"/>
      <c r="BL425" s="28">
        <v>766</v>
      </c>
      <c r="BW425" s="28">
        <v>21</v>
      </c>
      <c r="BX425" s="4" t="s">
        <v>680</v>
      </c>
    </row>
    <row r="426" spans="1:76" x14ac:dyDescent="0.25">
      <c r="A426" s="112"/>
      <c r="B426" s="113"/>
      <c r="C426" s="114" t="s">
        <v>682</v>
      </c>
      <c r="D426" s="115" t="s">
        <v>683</v>
      </c>
      <c r="E426" s="113"/>
      <c r="F426" s="116">
        <v>131</v>
      </c>
      <c r="G426" s="113"/>
      <c r="H426" s="113"/>
      <c r="I426" s="113"/>
      <c r="J426" s="113"/>
      <c r="K426" s="117"/>
    </row>
    <row r="427" spans="1:76" ht="25.5" x14ac:dyDescent="0.25">
      <c r="A427" s="72"/>
      <c r="B427" s="73" t="s">
        <v>85</v>
      </c>
      <c r="C427" s="260" t="s">
        <v>684</v>
      </c>
      <c r="D427" s="261"/>
      <c r="E427" s="261"/>
      <c r="F427" s="261"/>
      <c r="G427" s="261"/>
      <c r="H427" s="261"/>
      <c r="I427" s="261"/>
      <c r="J427" s="261"/>
      <c r="K427" s="262"/>
      <c r="BX427" s="32" t="s">
        <v>684</v>
      </c>
    </row>
    <row r="428" spans="1:76" x14ac:dyDescent="0.25">
      <c r="A428" s="103" t="s">
        <v>52</v>
      </c>
      <c r="B428" s="104" t="s">
        <v>685</v>
      </c>
      <c r="C428" s="274" t="s">
        <v>686</v>
      </c>
      <c r="D428" s="275"/>
      <c r="E428" s="105" t="s">
        <v>33</v>
      </c>
      <c r="F428" s="105" t="s">
        <v>33</v>
      </c>
      <c r="G428" s="105" t="s">
        <v>33</v>
      </c>
      <c r="H428" s="106">
        <f>SUM(H429:H429)</f>
        <v>0</v>
      </c>
      <c r="I428" s="106">
        <f>SUM(I429:I429)</f>
        <v>0</v>
      </c>
      <c r="J428" s="106">
        <f>SUM(J429:J429)</f>
        <v>0</v>
      </c>
      <c r="K428" s="107" t="s">
        <v>52</v>
      </c>
      <c r="AI428" s="10" t="s">
        <v>409</v>
      </c>
      <c r="AS428" s="1">
        <f>SUM(AJ429:AJ429)</f>
        <v>0</v>
      </c>
      <c r="AT428" s="1">
        <f>SUM(AK429:AK429)</f>
        <v>0</v>
      </c>
      <c r="AU428" s="1">
        <f>SUM(AL429:AL429)</f>
        <v>0</v>
      </c>
    </row>
    <row r="429" spans="1:76" x14ac:dyDescent="0.25">
      <c r="A429" s="178" t="s">
        <v>687</v>
      </c>
      <c r="B429" s="179" t="s">
        <v>688</v>
      </c>
      <c r="C429" s="296" t="s">
        <v>689</v>
      </c>
      <c r="D429" s="297"/>
      <c r="E429" s="179" t="s">
        <v>69</v>
      </c>
      <c r="F429" s="180">
        <v>2224.3856000000001</v>
      </c>
      <c r="G429" s="180">
        <v>0</v>
      </c>
      <c r="H429" s="180">
        <f>ROUND(F429*AO429,2)</f>
        <v>0</v>
      </c>
      <c r="I429" s="180">
        <f>ROUND(F429*AP429,2)</f>
        <v>0</v>
      </c>
      <c r="J429" s="180">
        <f>ROUND(F429*G429,2)</f>
        <v>0</v>
      </c>
      <c r="K429" s="181" t="s">
        <v>70</v>
      </c>
      <c r="Z429" s="28">
        <f>ROUND(IF(AQ429="5",BJ429,0),2)</f>
        <v>0</v>
      </c>
      <c r="AB429" s="28">
        <f>ROUND(IF(AQ429="1",BH429,0),2)</f>
        <v>0</v>
      </c>
      <c r="AC429" s="28">
        <f>ROUND(IF(AQ429="1",BI429,0),2)</f>
        <v>0</v>
      </c>
      <c r="AD429" s="28">
        <f>ROUND(IF(AQ429="7",BH429,0),2)</f>
        <v>0</v>
      </c>
      <c r="AE429" s="28">
        <f>ROUND(IF(AQ429="7",BI429,0),2)</f>
        <v>0</v>
      </c>
      <c r="AF429" s="28">
        <f>ROUND(IF(AQ429="2",BH429,0),2)</f>
        <v>0</v>
      </c>
      <c r="AG429" s="28">
        <f>ROUND(IF(AQ429="2",BI429,0),2)</f>
        <v>0</v>
      </c>
      <c r="AH429" s="28">
        <f>ROUND(IF(AQ429="0",BJ429,0),2)</f>
        <v>0</v>
      </c>
      <c r="AI429" s="10" t="s">
        <v>409</v>
      </c>
      <c r="AJ429" s="28">
        <f>IF(AN429=0,J429,0)</f>
        <v>0</v>
      </c>
      <c r="AK429" s="28">
        <f>IF(AN429=12,J429,0)</f>
        <v>0</v>
      </c>
      <c r="AL429" s="28">
        <f>IF(AN429=21,J429,0)</f>
        <v>0</v>
      </c>
      <c r="AN429" s="28">
        <v>21</v>
      </c>
      <c r="AO429" s="28">
        <f>G429*0.191545066</f>
        <v>0</v>
      </c>
      <c r="AP429" s="28">
        <f>G429*(1-0.191545066)</f>
        <v>0</v>
      </c>
      <c r="AQ429" s="30" t="s">
        <v>111</v>
      </c>
      <c r="AV429" s="28">
        <f>ROUND(AW429+AX429,2)</f>
        <v>0</v>
      </c>
      <c r="AW429" s="28">
        <f>ROUND(F429*AO429,2)</f>
        <v>0</v>
      </c>
      <c r="AX429" s="28">
        <f>ROUND(F429*AP429,2)</f>
        <v>0</v>
      </c>
      <c r="AY429" s="30" t="s">
        <v>690</v>
      </c>
      <c r="AZ429" s="30" t="s">
        <v>691</v>
      </c>
      <c r="BA429" s="10" t="s">
        <v>415</v>
      </c>
      <c r="BC429" s="28">
        <f>AW429+AX429</f>
        <v>0</v>
      </c>
      <c r="BD429" s="28">
        <f>G429/(100-BE429)*100</f>
        <v>0</v>
      </c>
      <c r="BE429" s="28">
        <v>0</v>
      </c>
      <c r="BF429" s="28">
        <f>429</f>
        <v>429</v>
      </c>
      <c r="BH429" s="28">
        <f>F429*AO429</f>
        <v>0</v>
      </c>
      <c r="BI429" s="28">
        <f>F429*AP429</f>
        <v>0</v>
      </c>
      <c r="BJ429" s="28">
        <f>F429*G429</f>
        <v>0</v>
      </c>
      <c r="BK429" s="28"/>
      <c r="BL429" s="28">
        <v>784</v>
      </c>
      <c r="BW429" s="28">
        <v>21</v>
      </c>
      <c r="BX429" s="4" t="s">
        <v>689</v>
      </c>
    </row>
    <row r="430" spans="1:76" x14ac:dyDescent="0.25">
      <c r="A430" s="182"/>
      <c r="B430" s="183"/>
      <c r="C430" s="184" t="s">
        <v>692</v>
      </c>
      <c r="D430" s="185" t="s">
        <v>693</v>
      </c>
      <c r="E430" s="183"/>
      <c r="F430" s="186">
        <v>205.01</v>
      </c>
      <c r="G430" s="183"/>
      <c r="H430" s="183"/>
      <c r="I430" s="183"/>
      <c r="J430" s="183"/>
      <c r="K430" s="187"/>
    </row>
    <row r="431" spans="1:76" x14ac:dyDescent="0.25">
      <c r="A431" s="182"/>
      <c r="B431" s="183"/>
      <c r="C431" s="184" t="s">
        <v>694</v>
      </c>
      <c r="D431" s="185" t="s">
        <v>695</v>
      </c>
      <c r="E431" s="183"/>
      <c r="F431" s="186">
        <v>-50.231999999999999</v>
      </c>
      <c r="G431" s="183"/>
      <c r="H431" s="183"/>
      <c r="I431" s="183"/>
      <c r="J431" s="183"/>
      <c r="K431" s="187"/>
    </row>
    <row r="432" spans="1:76" x14ac:dyDescent="0.25">
      <c r="A432" s="182"/>
      <c r="B432" s="183"/>
      <c r="C432" s="184" t="s">
        <v>696</v>
      </c>
      <c r="D432" s="185" t="s">
        <v>697</v>
      </c>
      <c r="E432" s="183"/>
      <c r="F432" s="186">
        <v>97.14</v>
      </c>
      <c r="G432" s="183"/>
      <c r="H432" s="183"/>
      <c r="I432" s="183"/>
      <c r="J432" s="183"/>
      <c r="K432" s="187"/>
    </row>
    <row r="433" spans="1:76" x14ac:dyDescent="0.25">
      <c r="A433" s="182"/>
      <c r="B433" s="183"/>
      <c r="C433" s="184" t="s">
        <v>698</v>
      </c>
      <c r="D433" s="185" t="s">
        <v>699</v>
      </c>
      <c r="E433" s="183"/>
      <c r="F433" s="186">
        <v>182.9</v>
      </c>
      <c r="G433" s="183"/>
      <c r="H433" s="183"/>
      <c r="I433" s="183"/>
      <c r="J433" s="183"/>
      <c r="K433" s="187"/>
    </row>
    <row r="434" spans="1:76" x14ac:dyDescent="0.25">
      <c r="A434" s="182"/>
      <c r="B434" s="183"/>
      <c r="C434" s="184" t="s">
        <v>700</v>
      </c>
      <c r="D434" s="185" t="s">
        <v>701</v>
      </c>
      <c r="E434" s="183"/>
      <c r="F434" s="186">
        <v>325.47750000000002</v>
      </c>
      <c r="G434" s="183"/>
      <c r="H434" s="183"/>
      <c r="I434" s="183"/>
      <c r="J434" s="183"/>
      <c r="K434" s="187"/>
    </row>
    <row r="435" spans="1:76" x14ac:dyDescent="0.25">
      <c r="A435" s="182"/>
      <c r="B435" s="183"/>
      <c r="C435" s="184" t="s">
        <v>702</v>
      </c>
      <c r="D435" s="185" t="s">
        <v>703</v>
      </c>
      <c r="E435" s="183"/>
      <c r="F435" s="186">
        <v>-92.82</v>
      </c>
      <c r="G435" s="183"/>
      <c r="H435" s="183"/>
      <c r="I435" s="183"/>
      <c r="J435" s="183"/>
      <c r="K435" s="187"/>
    </row>
    <row r="436" spans="1:76" x14ac:dyDescent="0.25">
      <c r="A436" s="182"/>
      <c r="B436" s="183"/>
      <c r="C436" s="184" t="s">
        <v>704</v>
      </c>
      <c r="D436" s="185" t="s">
        <v>705</v>
      </c>
      <c r="E436" s="183"/>
      <c r="F436" s="186">
        <v>293.02</v>
      </c>
      <c r="G436" s="183"/>
      <c r="H436" s="183"/>
      <c r="I436" s="183"/>
      <c r="J436" s="183"/>
      <c r="K436" s="187"/>
    </row>
    <row r="437" spans="1:76" x14ac:dyDescent="0.25">
      <c r="A437" s="182"/>
      <c r="B437" s="183"/>
      <c r="C437" s="184" t="s">
        <v>706</v>
      </c>
      <c r="D437" s="185" t="s">
        <v>707</v>
      </c>
      <c r="E437" s="183"/>
      <c r="F437" s="186">
        <v>300.64</v>
      </c>
      <c r="G437" s="183"/>
      <c r="H437" s="183"/>
      <c r="I437" s="183"/>
      <c r="J437" s="183"/>
      <c r="K437" s="187"/>
    </row>
    <row r="438" spans="1:76" x14ac:dyDescent="0.25">
      <c r="A438" s="182"/>
      <c r="B438" s="183"/>
      <c r="C438" s="184" t="s">
        <v>708</v>
      </c>
      <c r="D438" s="185" t="s">
        <v>701</v>
      </c>
      <c r="E438" s="183"/>
      <c r="F438" s="186">
        <v>599.76260000000002</v>
      </c>
      <c r="G438" s="183"/>
      <c r="H438" s="183"/>
      <c r="I438" s="183"/>
      <c r="J438" s="183"/>
      <c r="K438" s="187"/>
    </row>
    <row r="439" spans="1:76" x14ac:dyDescent="0.25">
      <c r="A439" s="182"/>
      <c r="B439" s="183"/>
      <c r="C439" s="184" t="s">
        <v>709</v>
      </c>
      <c r="D439" s="185" t="s">
        <v>710</v>
      </c>
      <c r="E439" s="183"/>
      <c r="F439" s="186">
        <v>363.48750000000001</v>
      </c>
      <c r="G439" s="183"/>
      <c r="H439" s="183"/>
      <c r="I439" s="183"/>
      <c r="J439" s="183"/>
      <c r="K439" s="187"/>
    </row>
    <row r="440" spans="1:76" ht="25.5" x14ac:dyDescent="0.25">
      <c r="A440" s="72"/>
      <c r="B440" s="73" t="s">
        <v>85</v>
      </c>
      <c r="C440" s="260" t="s">
        <v>711</v>
      </c>
      <c r="D440" s="261"/>
      <c r="E440" s="261"/>
      <c r="F440" s="261"/>
      <c r="G440" s="261"/>
      <c r="H440" s="261"/>
      <c r="I440" s="261"/>
      <c r="J440" s="261"/>
      <c r="K440" s="262"/>
      <c r="BX440" s="32" t="s">
        <v>711</v>
      </c>
    </row>
    <row r="441" spans="1:76" x14ac:dyDescent="0.25">
      <c r="A441" s="24" t="s">
        <v>52</v>
      </c>
      <c r="B441" s="25" t="s">
        <v>712</v>
      </c>
      <c r="C441" s="246" t="s">
        <v>713</v>
      </c>
      <c r="D441" s="247"/>
      <c r="E441" s="26" t="s">
        <v>33</v>
      </c>
      <c r="F441" s="26" t="s">
        <v>33</v>
      </c>
      <c r="G441" s="26" t="s">
        <v>33</v>
      </c>
      <c r="H441" s="1">
        <f>SUM(H442:H442)</f>
        <v>0</v>
      </c>
      <c r="I441" s="1">
        <f>SUM(I442:I442)</f>
        <v>0</v>
      </c>
      <c r="J441" s="1">
        <f>SUM(J442:J442)</f>
        <v>0</v>
      </c>
      <c r="K441" s="27" t="s">
        <v>52</v>
      </c>
      <c r="AI441" s="10" t="s">
        <v>409</v>
      </c>
      <c r="AS441" s="1">
        <f>SUM(AJ442:AJ442)</f>
        <v>0</v>
      </c>
      <c r="AT441" s="1">
        <f>SUM(AK442:AK442)</f>
        <v>0</v>
      </c>
      <c r="AU441" s="1">
        <f>SUM(AL442:AL442)</f>
        <v>0</v>
      </c>
    </row>
    <row r="442" spans="1:76" x14ac:dyDescent="0.25">
      <c r="A442" s="2" t="s">
        <v>714</v>
      </c>
      <c r="B442" s="3" t="s">
        <v>715</v>
      </c>
      <c r="C442" s="230" t="s">
        <v>716</v>
      </c>
      <c r="D442" s="225"/>
      <c r="E442" s="3" t="s">
        <v>717</v>
      </c>
      <c r="F442" s="28">
        <v>1</v>
      </c>
      <c r="G442" s="28">
        <v>0</v>
      </c>
      <c r="H442" s="28">
        <f>ROUND(F442*AO442,2)</f>
        <v>0</v>
      </c>
      <c r="I442" s="28">
        <f>ROUND(F442*AP442,2)</f>
        <v>0</v>
      </c>
      <c r="J442" s="28">
        <f>ROUND(F442*G442,2)</f>
        <v>0</v>
      </c>
      <c r="K442" s="29" t="s">
        <v>109</v>
      </c>
      <c r="Z442" s="28">
        <f>ROUND(IF(AQ442="5",BJ442,0),2)</f>
        <v>0</v>
      </c>
      <c r="AB442" s="28">
        <f>ROUND(IF(AQ442="1",BH442,0),2)</f>
        <v>0</v>
      </c>
      <c r="AC442" s="28">
        <f>ROUND(IF(AQ442="1",BI442,0),2)</f>
        <v>0</v>
      </c>
      <c r="AD442" s="28">
        <f>ROUND(IF(AQ442="7",BH442,0),2)</f>
        <v>0</v>
      </c>
      <c r="AE442" s="28">
        <f>ROUND(IF(AQ442="7",BI442,0),2)</f>
        <v>0</v>
      </c>
      <c r="AF442" s="28">
        <f>ROUND(IF(AQ442="2",BH442,0),2)</f>
        <v>0</v>
      </c>
      <c r="AG442" s="28">
        <f>ROUND(IF(AQ442="2",BI442,0),2)</f>
        <v>0</v>
      </c>
      <c r="AH442" s="28">
        <f>ROUND(IF(AQ442="0",BJ442,0),2)</f>
        <v>0</v>
      </c>
      <c r="AI442" s="10" t="s">
        <v>409</v>
      </c>
      <c r="AJ442" s="28">
        <f>IF(AN442=0,J442,0)</f>
        <v>0</v>
      </c>
      <c r="AK442" s="28">
        <f>IF(AN442=12,J442,0)</f>
        <v>0</v>
      </c>
      <c r="AL442" s="28">
        <f>IF(AN442=21,J442,0)</f>
        <v>0</v>
      </c>
      <c r="AN442" s="28">
        <v>21</v>
      </c>
      <c r="AO442" s="28">
        <f>G442*0.204706</f>
        <v>0</v>
      </c>
      <c r="AP442" s="28">
        <f>G442*(1-0.204706)</f>
        <v>0</v>
      </c>
      <c r="AQ442" s="30" t="s">
        <v>60</v>
      </c>
      <c r="AV442" s="28">
        <f>ROUND(AW442+AX442,2)</f>
        <v>0</v>
      </c>
      <c r="AW442" s="28">
        <f>ROUND(F442*AO442,2)</f>
        <v>0</v>
      </c>
      <c r="AX442" s="28">
        <f>ROUND(F442*AP442,2)</f>
        <v>0</v>
      </c>
      <c r="AY442" s="30" t="s">
        <v>718</v>
      </c>
      <c r="AZ442" s="30" t="s">
        <v>719</v>
      </c>
      <c r="BA442" s="10" t="s">
        <v>415</v>
      </c>
      <c r="BC442" s="28">
        <f>AW442+AX442</f>
        <v>0</v>
      </c>
      <c r="BD442" s="28">
        <f>G442/(100-BE442)*100</f>
        <v>0</v>
      </c>
      <c r="BE442" s="28">
        <v>0</v>
      </c>
      <c r="BF442" s="28">
        <f>442</f>
        <v>442</v>
      </c>
      <c r="BH442" s="28">
        <f>F442*AO442</f>
        <v>0</v>
      </c>
      <c r="BI442" s="28">
        <f>F442*AP442</f>
        <v>0</v>
      </c>
      <c r="BJ442" s="28">
        <f>F442*G442</f>
        <v>0</v>
      </c>
      <c r="BK442" s="28"/>
      <c r="BL442" s="28"/>
      <c r="BW442" s="28">
        <v>21</v>
      </c>
      <c r="BX442" s="4" t="s">
        <v>716</v>
      </c>
    </row>
    <row r="443" spans="1:76" ht="13.5" customHeight="1" x14ac:dyDescent="0.25">
      <c r="A443" s="31"/>
      <c r="C443" s="248" t="s">
        <v>720</v>
      </c>
      <c r="D443" s="249"/>
      <c r="E443" s="249"/>
      <c r="F443" s="249"/>
      <c r="G443" s="249"/>
      <c r="H443" s="249"/>
      <c r="I443" s="249"/>
      <c r="J443" s="249"/>
      <c r="K443" s="250"/>
    </row>
    <row r="444" spans="1:76" x14ac:dyDescent="0.25">
      <c r="A444" s="103" t="s">
        <v>52</v>
      </c>
      <c r="B444" s="104" t="s">
        <v>721</v>
      </c>
      <c r="C444" s="274" t="s">
        <v>722</v>
      </c>
      <c r="D444" s="275"/>
      <c r="E444" s="105" t="s">
        <v>33</v>
      </c>
      <c r="F444" s="105" t="s">
        <v>33</v>
      </c>
      <c r="G444" s="105" t="s">
        <v>33</v>
      </c>
      <c r="H444" s="106">
        <f>SUM(H445:H445)</f>
        <v>0</v>
      </c>
      <c r="I444" s="106">
        <f>SUM(I445:I445)</f>
        <v>0</v>
      </c>
      <c r="J444" s="106">
        <f>SUM(J445:J445)</f>
        <v>0</v>
      </c>
      <c r="K444" s="107" t="s">
        <v>52</v>
      </c>
      <c r="AI444" s="10" t="s">
        <v>409</v>
      </c>
      <c r="AS444" s="1">
        <f>SUM(AJ445:AJ445)</f>
        <v>0</v>
      </c>
      <c r="AT444" s="1">
        <f>SUM(AK445:AK445)</f>
        <v>0</v>
      </c>
      <c r="AU444" s="1">
        <f>SUM(AL445:AL445)</f>
        <v>0</v>
      </c>
    </row>
    <row r="445" spans="1:76" ht="25.5" x14ac:dyDescent="0.25">
      <c r="A445" s="108" t="s">
        <v>723</v>
      </c>
      <c r="B445" s="109" t="s">
        <v>724</v>
      </c>
      <c r="C445" s="276" t="s">
        <v>725</v>
      </c>
      <c r="D445" s="277"/>
      <c r="E445" s="109" t="s">
        <v>308</v>
      </c>
      <c r="F445" s="110">
        <v>2</v>
      </c>
      <c r="G445" s="110">
        <v>0</v>
      </c>
      <c r="H445" s="110">
        <f>ROUND(F445*AO445,2)</f>
        <v>0</v>
      </c>
      <c r="I445" s="110">
        <f>ROUND(F445*AP445,2)</f>
        <v>0</v>
      </c>
      <c r="J445" s="110">
        <f>ROUND(F445*G445,2)</f>
        <v>0</v>
      </c>
      <c r="K445" s="111" t="s">
        <v>109</v>
      </c>
      <c r="Z445" s="28">
        <f>ROUND(IF(AQ445="5",BJ445,0),2)</f>
        <v>0</v>
      </c>
      <c r="AB445" s="28">
        <f>ROUND(IF(AQ445="1",BH445,0),2)</f>
        <v>0</v>
      </c>
      <c r="AC445" s="28">
        <f>ROUND(IF(AQ445="1",BI445,0),2)</f>
        <v>0</v>
      </c>
      <c r="AD445" s="28">
        <f>ROUND(IF(AQ445="7",BH445,0),2)</f>
        <v>0</v>
      </c>
      <c r="AE445" s="28">
        <f>ROUND(IF(AQ445="7",BI445,0),2)</f>
        <v>0</v>
      </c>
      <c r="AF445" s="28">
        <f>ROUND(IF(AQ445="2",BH445,0),2)</f>
        <v>0</v>
      </c>
      <c r="AG445" s="28">
        <f>ROUND(IF(AQ445="2",BI445,0),2)</f>
        <v>0</v>
      </c>
      <c r="AH445" s="28">
        <f>ROUND(IF(AQ445="0",BJ445,0),2)</f>
        <v>0</v>
      </c>
      <c r="AI445" s="10" t="s">
        <v>409</v>
      </c>
      <c r="AJ445" s="28">
        <f>IF(AN445=0,J445,0)</f>
        <v>0</v>
      </c>
      <c r="AK445" s="28">
        <f>IF(AN445=12,J445,0)</f>
        <v>0</v>
      </c>
      <c r="AL445" s="28">
        <f>IF(AN445=21,J445,0)</f>
        <v>0</v>
      </c>
      <c r="AN445" s="28">
        <v>21</v>
      </c>
      <c r="AO445" s="28">
        <f>G445*0.5</f>
        <v>0</v>
      </c>
      <c r="AP445" s="28">
        <f>G445*(1-0.5)</f>
        <v>0</v>
      </c>
      <c r="AQ445" s="30" t="s">
        <v>60</v>
      </c>
      <c r="AV445" s="28">
        <f>ROUND(AW445+AX445,2)</f>
        <v>0</v>
      </c>
      <c r="AW445" s="28">
        <f>ROUND(F445*AO445,2)</f>
        <v>0</v>
      </c>
      <c r="AX445" s="28">
        <f>ROUND(F445*AP445,2)</f>
        <v>0</v>
      </c>
      <c r="AY445" s="30" t="s">
        <v>726</v>
      </c>
      <c r="AZ445" s="30" t="s">
        <v>719</v>
      </c>
      <c r="BA445" s="10" t="s">
        <v>415</v>
      </c>
      <c r="BC445" s="28">
        <f>AW445+AX445</f>
        <v>0</v>
      </c>
      <c r="BD445" s="28">
        <f>G445/(100-BE445)*100</f>
        <v>0</v>
      </c>
      <c r="BE445" s="28">
        <v>0</v>
      </c>
      <c r="BF445" s="28">
        <f>445</f>
        <v>445</v>
      </c>
      <c r="BH445" s="28">
        <f>F445*AO445</f>
        <v>0</v>
      </c>
      <c r="BI445" s="28">
        <f>F445*AP445</f>
        <v>0</v>
      </c>
      <c r="BJ445" s="28">
        <f>F445*G445</f>
        <v>0</v>
      </c>
      <c r="BK445" s="28"/>
      <c r="BL445" s="28"/>
      <c r="BW445" s="28">
        <v>21</v>
      </c>
      <c r="BX445" s="4" t="s">
        <v>725</v>
      </c>
    </row>
    <row r="446" spans="1:76" ht="13.5" customHeight="1" x14ac:dyDescent="0.25">
      <c r="A446" s="60"/>
      <c r="C446" s="255" t="s">
        <v>727</v>
      </c>
      <c r="D446" s="256"/>
      <c r="E446" s="256"/>
      <c r="F446" s="256"/>
      <c r="G446" s="256"/>
      <c r="H446" s="256"/>
      <c r="I446" s="256"/>
      <c r="J446" s="256"/>
      <c r="K446" s="257"/>
    </row>
    <row r="447" spans="1:76" x14ac:dyDescent="0.25">
      <c r="A447" s="188"/>
      <c r="B447" s="189"/>
      <c r="C447" s="190" t="s">
        <v>60</v>
      </c>
      <c r="D447" s="191" t="s">
        <v>728</v>
      </c>
      <c r="E447" s="189"/>
      <c r="F447" s="192">
        <v>2</v>
      </c>
      <c r="G447" s="189"/>
      <c r="H447" s="189"/>
      <c r="I447" s="189"/>
      <c r="J447" s="189"/>
      <c r="K447" s="193"/>
    </row>
    <row r="448" spans="1:76" ht="13.5" customHeight="1" x14ac:dyDescent="0.25">
      <c r="A448" s="72"/>
      <c r="B448" s="73" t="s">
        <v>729</v>
      </c>
      <c r="C448" s="260" t="s">
        <v>730</v>
      </c>
      <c r="D448" s="261"/>
      <c r="E448" s="261"/>
      <c r="F448" s="261"/>
      <c r="G448" s="261"/>
      <c r="H448" s="261"/>
      <c r="I448" s="261"/>
      <c r="J448" s="261"/>
      <c r="K448" s="262"/>
    </row>
    <row r="449" spans="1:76" x14ac:dyDescent="0.25">
      <c r="A449" s="24" t="s">
        <v>52</v>
      </c>
      <c r="B449" s="25" t="s">
        <v>52</v>
      </c>
      <c r="C449" s="246" t="s">
        <v>731</v>
      </c>
      <c r="D449" s="247"/>
      <c r="E449" s="26" t="s">
        <v>33</v>
      </c>
      <c r="F449" s="26" t="s">
        <v>33</v>
      </c>
      <c r="G449" s="26" t="s">
        <v>33</v>
      </c>
      <c r="H449" s="1">
        <f>H450+H458+H477+H510</f>
        <v>0</v>
      </c>
      <c r="I449" s="1">
        <f>I450+I458+I477+I510</f>
        <v>0</v>
      </c>
      <c r="J449" s="1">
        <f>J450+J458+J477+J510</f>
        <v>0</v>
      </c>
      <c r="K449" s="27" t="s">
        <v>52</v>
      </c>
    </row>
    <row r="450" spans="1:76" x14ac:dyDescent="0.25">
      <c r="A450" s="24" t="s">
        <v>52</v>
      </c>
      <c r="B450" s="25" t="s">
        <v>301</v>
      </c>
      <c r="C450" s="246" t="s">
        <v>732</v>
      </c>
      <c r="D450" s="247"/>
      <c r="E450" s="26" t="s">
        <v>33</v>
      </c>
      <c r="F450" s="26" t="s">
        <v>33</v>
      </c>
      <c r="G450" s="26" t="s">
        <v>33</v>
      </c>
      <c r="H450" s="1">
        <f>SUM(H451:H457)</f>
        <v>0</v>
      </c>
      <c r="I450" s="1">
        <f>SUM(I451:I457)</f>
        <v>0</v>
      </c>
      <c r="J450" s="1">
        <f>SUM(J451:J457)</f>
        <v>0</v>
      </c>
      <c r="K450" s="27" t="s">
        <v>52</v>
      </c>
      <c r="AI450" s="10" t="s">
        <v>733</v>
      </c>
      <c r="AS450" s="1">
        <f>SUM(AJ451:AJ457)</f>
        <v>0</v>
      </c>
      <c r="AT450" s="1">
        <f>SUM(AK451:AK457)</f>
        <v>0</v>
      </c>
      <c r="AU450" s="1">
        <f>SUM(AL451:AL457)</f>
        <v>0</v>
      </c>
    </row>
    <row r="451" spans="1:76" x14ac:dyDescent="0.25">
      <c r="A451" s="2" t="s">
        <v>734</v>
      </c>
      <c r="B451" s="3" t="s">
        <v>735</v>
      </c>
      <c r="C451" s="230" t="s">
        <v>736</v>
      </c>
      <c r="D451" s="225"/>
      <c r="E451" s="3" t="s">
        <v>308</v>
      </c>
      <c r="F451" s="28">
        <v>192.10713999999999</v>
      </c>
      <c r="G451" s="28">
        <v>0</v>
      </c>
      <c r="H451" s="28">
        <f>ROUND(F451*AO451,2)</f>
        <v>0</v>
      </c>
      <c r="I451" s="28">
        <f>ROUND(F451*AP451,2)</f>
        <v>0</v>
      </c>
      <c r="J451" s="28">
        <f>ROUND(F451*G451,2)</f>
        <v>0</v>
      </c>
      <c r="K451" s="29" t="s">
        <v>70</v>
      </c>
      <c r="Z451" s="28">
        <f>ROUND(IF(AQ451="5",BJ451,0),2)</f>
        <v>0</v>
      </c>
      <c r="AB451" s="28">
        <f>ROUND(IF(AQ451="1",BH451,0),2)</f>
        <v>0</v>
      </c>
      <c r="AC451" s="28">
        <f>ROUND(IF(AQ451="1",BI451,0),2)</f>
        <v>0</v>
      </c>
      <c r="AD451" s="28">
        <f>ROUND(IF(AQ451="7",BH451,0),2)</f>
        <v>0</v>
      </c>
      <c r="AE451" s="28">
        <f>ROUND(IF(AQ451="7",BI451,0),2)</f>
        <v>0</v>
      </c>
      <c r="AF451" s="28">
        <f>ROUND(IF(AQ451="2",BH451,0),2)</f>
        <v>0</v>
      </c>
      <c r="AG451" s="28">
        <f>ROUND(IF(AQ451="2",BI451,0),2)</f>
        <v>0</v>
      </c>
      <c r="AH451" s="28">
        <f>ROUND(IF(AQ451="0",BJ451,0),2)</f>
        <v>0</v>
      </c>
      <c r="AI451" s="10" t="s">
        <v>733</v>
      </c>
      <c r="AJ451" s="28">
        <f>IF(AN451=0,J451,0)</f>
        <v>0</v>
      </c>
      <c r="AK451" s="28">
        <f>IF(AN451=12,J451,0)</f>
        <v>0</v>
      </c>
      <c r="AL451" s="28">
        <f>IF(AN451=21,J451,0)</f>
        <v>0</v>
      </c>
      <c r="AN451" s="28">
        <v>21</v>
      </c>
      <c r="AO451" s="28">
        <f>G451*0.330932487</f>
        <v>0</v>
      </c>
      <c r="AP451" s="28">
        <f>G451*(1-0.330932487)</f>
        <v>0</v>
      </c>
      <c r="AQ451" s="30" t="s">
        <v>57</v>
      </c>
      <c r="AV451" s="28">
        <f>ROUND(AW451+AX451,2)</f>
        <v>0</v>
      </c>
      <c r="AW451" s="28">
        <f>ROUND(F451*AO451,2)</f>
        <v>0</v>
      </c>
      <c r="AX451" s="28">
        <f>ROUND(F451*AP451,2)</f>
        <v>0</v>
      </c>
      <c r="AY451" s="30" t="s">
        <v>737</v>
      </c>
      <c r="AZ451" s="30" t="s">
        <v>738</v>
      </c>
      <c r="BA451" s="10" t="s">
        <v>739</v>
      </c>
      <c r="BC451" s="28">
        <f>AW451+AX451</f>
        <v>0</v>
      </c>
      <c r="BD451" s="28">
        <f>G451/(100-BE451)*100</f>
        <v>0</v>
      </c>
      <c r="BE451" s="28">
        <v>0</v>
      </c>
      <c r="BF451" s="28">
        <f>451</f>
        <v>451</v>
      </c>
      <c r="BH451" s="28">
        <f>F451*AO451</f>
        <v>0</v>
      </c>
      <c r="BI451" s="28">
        <f>F451*AP451</f>
        <v>0</v>
      </c>
      <c r="BJ451" s="28">
        <f>F451*G451</f>
        <v>0</v>
      </c>
      <c r="BK451" s="28"/>
      <c r="BL451" s="28">
        <v>41</v>
      </c>
      <c r="BW451" s="28">
        <v>21</v>
      </c>
      <c r="BX451" s="4" t="s">
        <v>736</v>
      </c>
    </row>
    <row r="452" spans="1:76" ht="40.5" customHeight="1" x14ac:dyDescent="0.25">
      <c r="A452" s="31"/>
      <c r="C452" s="248" t="s">
        <v>740</v>
      </c>
      <c r="D452" s="249"/>
      <c r="E452" s="249"/>
      <c r="F452" s="249"/>
      <c r="G452" s="249"/>
      <c r="H452" s="249"/>
      <c r="I452" s="249"/>
      <c r="J452" s="249"/>
      <c r="K452" s="250"/>
    </row>
    <row r="453" spans="1:76" x14ac:dyDescent="0.25">
      <c r="A453" s="31"/>
      <c r="C453" s="34" t="s">
        <v>741</v>
      </c>
      <c r="D453" s="33" t="s">
        <v>742</v>
      </c>
      <c r="F453" s="35">
        <v>64.428569999999993</v>
      </c>
      <c r="K453" s="36"/>
    </row>
    <row r="454" spans="1:76" x14ac:dyDescent="0.25">
      <c r="A454" s="31"/>
      <c r="C454" s="34" t="s">
        <v>743</v>
      </c>
      <c r="D454" s="33" t="s">
        <v>744</v>
      </c>
      <c r="F454" s="35">
        <v>86.578569999999999</v>
      </c>
      <c r="K454" s="36"/>
    </row>
    <row r="455" spans="1:76" x14ac:dyDescent="0.25">
      <c r="A455" s="31"/>
      <c r="C455" s="34" t="s">
        <v>745</v>
      </c>
      <c r="D455" s="33" t="s">
        <v>746</v>
      </c>
      <c r="F455" s="35">
        <v>41.1</v>
      </c>
      <c r="K455" s="36"/>
    </row>
    <row r="456" spans="1:76" ht="38.25" x14ac:dyDescent="0.25">
      <c r="A456" s="31"/>
      <c r="B456" s="37" t="s">
        <v>85</v>
      </c>
      <c r="C456" s="248" t="s">
        <v>747</v>
      </c>
      <c r="D456" s="249"/>
      <c r="E456" s="249"/>
      <c r="F456" s="249"/>
      <c r="G456" s="249"/>
      <c r="H456" s="249"/>
      <c r="I456" s="249"/>
      <c r="J456" s="249"/>
      <c r="K456" s="250"/>
      <c r="BX456" s="32" t="s">
        <v>747</v>
      </c>
    </row>
    <row r="457" spans="1:76" x14ac:dyDescent="0.25">
      <c r="A457" s="2" t="s">
        <v>748</v>
      </c>
      <c r="B457" s="3" t="s">
        <v>749</v>
      </c>
      <c r="C457" s="230" t="s">
        <v>750</v>
      </c>
      <c r="D457" s="225"/>
      <c r="E457" s="3" t="s">
        <v>90</v>
      </c>
      <c r="F457" s="28">
        <v>3.15056</v>
      </c>
      <c r="G457" s="28">
        <v>0</v>
      </c>
      <c r="H457" s="28">
        <f>ROUND(F457*AO457,2)</f>
        <v>0</v>
      </c>
      <c r="I457" s="28">
        <f>ROUND(F457*AP457,2)</f>
        <v>0</v>
      </c>
      <c r="J457" s="28">
        <f>ROUND(F457*G457,2)</f>
        <v>0</v>
      </c>
      <c r="K457" s="29" t="s">
        <v>70</v>
      </c>
      <c r="Z457" s="28">
        <f>ROUND(IF(AQ457="5",BJ457,0),2)</f>
        <v>0</v>
      </c>
      <c r="AB457" s="28">
        <f>ROUND(IF(AQ457="1",BH457,0),2)</f>
        <v>0</v>
      </c>
      <c r="AC457" s="28">
        <f>ROUND(IF(AQ457="1",BI457,0),2)</f>
        <v>0</v>
      </c>
      <c r="AD457" s="28">
        <f>ROUND(IF(AQ457="7",BH457,0),2)</f>
        <v>0</v>
      </c>
      <c r="AE457" s="28">
        <f>ROUND(IF(AQ457="7",BI457,0),2)</f>
        <v>0</v>
      </c>
      <c r="AF457" s="28">
        <f>ROUND(IF(AQ457="2",BH457,0),2)</f>
        <v>0</v>
      </c>
      <c r="AG457" s="28">
        <f>ROUND(IF(AQ457="2",BI457,0),2)</f>
        <v>0</v>
      </c>
      <c r="AH457" s="28">
        <f>ROUND(IF(AQ457="0",BJ457,0),2)</f>
        <v>0</v>
      </c>
      <c r="AI457" s="10" t="s">
        <v>733</v>
      </c>
      <c r="AJ457" s="28">
        <f>IF(AN457=0,J457,0)</f>
        <v>0</v>
      </c>
      <c r="AK457" s="28">
        <f>IF(AN457=12,J457,0)</f>
        <v>0</v>
      </c>
      <c r="AL457" s="28">
        <f>IF(AN457=21,J457,0)</f>
        <v>0</v>
      </c>
      <c r="AN457" s="28">
        <v>21</v>
      </c>
      <c r="AO457" s="28">
        <f>G457*0</f>
        <v>0</v>
      </c>
      <c r="AP457" s="28">
        <f>G457*(1-0)</f>
        <v>0</v>
      </c>
      <c r="AQ457" s="30" t="s">
        <v>91</v>
      </c>
      <c r="AV457" s="28">
        <f>ROUND(AW457+AX457,2)</f>
        <v>0</v>
      </c>
      <c r="AW457" s="28">
        <f>ROUND(F457*AO457,2)</f>
        <v>0</v>
      </c>
      <c r="AX457" s="28">
        <f>ROUND(F457*AP457,2)</f>
        <v>0</v>
      </c>
      <c r="AY457" s="30" t="s">
        <v>737</v>
      </c>
      <c r="AZ457" s="30" t="s">
        <v>738</v>
      </c>
      <c r="BA457" s="10" t="s">
        <v>739</v>
      </c>
      <c r="BC457" s="28">
        <f>AW457+AX457</f>
        <v>0</v>
      </c>
      <c r="BD457" s="28">
        <f>G457/(100-BE457)*100</f>
        <v>0</v>
      </c>
      <c r="BE457" s="28">
        <v>0</v>
      </c>
      <c r="BF457" s="28">
        <f>457</f>
        <v>457</v>
      </c>
      <c r="BH457" s="28">
        <f>F457*AO457</f>
        <v>0</v>
      </c>
      <c r="BI457" s="28">
        <f>F457*AP457</f>
        <v>0</v>
      </c>
      <c r="BJ457" s="28">
        <f>F457*G457</f>
        <v>0</v>
      </c>
      <c r="BK457" s="28"/>
      <c r="BL457" s="28">
        <v>41</v>
      </c>
      <c r="BW457" s="28">
        <v>21</v>
      </c>
      <c r="BX457" s="4" t="s">
        <v>750</v>
      </c>
    </row>
    <row r="458" spans="1:76" x14ac:dyDescent="0.25">
      <c r="A458" s="24" t="s">
        <v>52</v>
      </c>
      <c r="B458" s="25" t="s">
        <v>407</v>
      </c>
      <c r="C458" s="246" t="s">
        <v>408</v>
      </c>
      <c r="D458" s="247"/>
      <c r="E458" s="26" t="s">
        <v>33</v>
      </c>
      <c r="F458" s="26" t="s">
        <v>33</v>
      </c>
      <c r="G458" s="26" t="s">
        <v>33</v>
      </c>
      <c r="H458" s="1">
        <f>SUM(H459:H475)</f>
        <v>0</v>
      </c>
      <c r="I458" s="1">
        <f>SUM(I459:I475)</f>
        <v>0</v>
      </c>
      <c r="J458" s="1">
        <f>SUM(J459:J475)</f>
        <v>0</v>
      </c>
      <c r="K458" s="27" t="s">
        <v>52</v>
      </c>
      <c r="AI458" s="10" t="s">
        <v>733</v>
      </c>
      <c r="AS458" s="1">
        <f>SUM(AJ459:AJ475)</f>
        <v>0</v>
      </c>
      <c r="AT458" s="1">
        <f>SUM(AK459:AK475)</f>
        <v>0</v>
      </c>
      <c r="AU458" s="1">
        <f>SUM(AL459:AL475)</f>
        <v>0</v>
      </c>
    </row>
    <row r="459" spans="1:76" x14ac:dyDescent="0.25">
      <c r="A459" s="2" t="s">
        <v>751</v>
      </c>
      <c r="B459" s="3" t="s">
        <v>752</v>
      </c>
      <c r="C459" s="230" t="s">
        <v>753</v>
      </c>
      <c r="D459" s="225"/>
      <c r="E459" s="3" t="s">
        <v>69</v>
      </c>
      <c r="F459" s="28">
        <v>268.95</v>
      </c>
      <c r="G459" s="28">
        <v>0</v>
      </c>
      <c r="H459" s="28">
        <f>ROUND(F459*AO459,2)</f>
        <v>0</v>
      </c>
      <c r="I459" s="28">
        <f>ROUND(F459*AP459,2)</f>
        <v>0</v>
      </c>
      <c r="J459" s="28">
        <f>ROUND(F459*G459,2)</f>
        <v>0</v>
      </c>
      <c r="K459" s="29" t="s">
        <v>70</v>
      </c>
      <c r="Z459" s="28">
        <f>ROUND(IF(AQ459="5",BJ459,0),2)</f>
        <v>0</v>
      </c>
      <c r="AB459" s="28">
        <f>ROUND(IF(AQ459="1",BH459,0),2)</f>
        <v>0</v>
      </c>
      <c r="AC459" s="28">
        <f>ROUND(IF(AQ459="1",BI459,0),2)</f>
        <v>0</v>
      </c>
      <c r="AD459" s="28">
        <f>ROUND(IF(AQ459="7",BH459,0),2)</f>
        <v>0</v>
      </c>
      <c r="AE459" s="28">
        <f>ROUND(IF(AQ459="7",BI459,0),2)</f>
        <v>0</v>
      </c>
      <c r="AF459" s="28">
        <f>ROUND(IF(AQ459="2",BH459,0),2)</f>
        <v>0</v>
      </c>
      <c r="AG459" s="28">
        <f>ROUND(IF(AQ459="2",BI459,0),2)</f>
        <v>0</v>
      </c>
      <c r="AH459" s="28">
        <f>ROUND(IF(AQ459="0",BJ459,0),2)</f>
        <v>0</v>
      </c>
      <c r="AI459" s="10" t="s">
        <v>733</v>
      </c>
      <c r="AJ459" s="28">
        <f>IF(AN459=0,J459,0)</f>
        <v>0</v>
      </c>
      <c r="AK459" s="28">
        <f>IF(AN459=12,J459,0)</f>
        <v>0</v>
      </c>
      <c r="AL459" s="28">
        <f>IF(AN459=21,J459,0)</f>
        <v>0</v>
      </c>
      <c r="AN459" s="28">
        <v>21</v>
      </c>
      <c r="AO459" s="28">
        <f>G459*0.292301632</f>
        <v>0</v>
      </c>
      <c r="AP459" s="28">
        <f>G459*(1-0.292301632)</f>
        <v>0</v>
      </c>
      <c r="AQ459" s="30" t="s">
        <v>111</v>
      </c>
      <c r="AV459" s="28">
        <f>ROUND(AW459+AX459,2)</f>
        <v>0</v>
      </c>
      <c r="AW459" s="28">
        <f>ROUND(F459*AO459,2)</f>
        <v>0</v>
      </c>
      <c r="AX459" s="28">
        <f>ROUND(F459*AP459,2)</f>
        <v>0</v>
      </c>
      <c r="AY459" s="30" t="s">
        <v>413</v>
      </c>
      <c r="AZ459" s="30" t="s">
        <v>754</v>
      </c>
      <c r="BA459" s="10" t="s">
        <v>739</v>
      </c>
      <c r="BC459" s="28">
        <f>AW459+AX459</f>
        <v>0</v>
      </c>
      <c r="BD459" s="28">
        <f>G459/(100-BE459)*100</f>
        <v>0</v>
      </c>
      <c r="BE459" s="28">
        <v>0</v>
      </c>
      <c r="BF459" s="28">
        <f>459</f>
        <v>459</v>
      </c>
      <c r="BH459" s="28">
        <f>F459*AO459</f>
        <v>0</v>
      </c>
      <c r="BI459" s="28">
        <f>F459*AP459</f>
        <v>0</v>
      </c>
      <c r="BJ459" s="28">
        <f>F459*G459</f>
        <v>0</v>
      </c>
      <c r="BK459" s="28"/>
      <c r="BL459" s="28">
        <v>713</v>
      </c>
      <c r="BW459" s="28">
        <v>21</v>
      </c>
      <c r="BX459" s="4" t="s">
        <v>753</v>
      </c>
    </row>
    <row r="460" spans="1:76" ht="13.5" customHeight="1" x14ac:dyDescent="0.25">
      <c r="A460" s="31"/>
      <c r="C460" s="248" t="s">
        <v>755</v>
      </c>
      <c r="D460" s="249"/>
      <c r="E460" s="249"/>
      <c r="F460" s="249"/>
      <c r="G460" s="249"/>
      <c r="H460" s="249"/>
      <c r="I460" s="249"/>
      <c r="J460" s="249"/>
      <c r="K460" s="250"/>
    </row>
    <row r="461" spans="1:76" x14ac:dyDescent="0.25">
      <c r="A461" s="31"/>
      <c r="C461" s="34" t="s">
        <v>756</v>
      </c>
      <c r="D461" s="33" t="s">
        <v>742</v>
      </c>
      <c r="F461" s="35">
        <v>90.2</v>
      </c>
      <c r="K461" s="36"/>
    </row>
    <row r="462" spans="1:76" x14ac:dyDescent="0.25">
      <c r="A462" s="31"/>
      <c r="C462" s="34" t="s">
        <v>757</v>
      </c>
      <c r="D462" s="33" t="s">
        <v>744</v>
      </c>
      <c r="F462" s="35">
        <v>121.21</v>
      </c>
      <c r="K462" s="36"/>
    </row>
    <row r="463" spans="1:76" x14ac:dyDescent="0.25">
      <c r="A463" s="31"/>
      <c r="C463" s="34" t="s">
        <v>758</v>
      </c>
      <c r="D463" s="33" t="s">
        <v>746</v>
      </c>
      <c r="F463" s="35">
        <v>57.54</v>
      </c>
      <c r="K463" s="36"/>
    </row>
    <row r="464" spans="1:76" ht="25.5" x14ac:dyDescent="0.25">
      <c r="A464" s="2" t="s">
        <v>759</v>
      </c>
      <c r="B464" s="3" t="s">
        <v>760</v>
      </c>
      <c r="C464" s="230" t="s">
        <v>761</v>
      </c>
      <c r="D464" s="225"/>
      <c r="E464" s="3" t="s">
        <v>69</v>
      </c>
      <c r="F464" s="28">
        <v>260.88150000000002</v>
      </c>
      <c r="G464" s="28">
        <v>0</v>
      </c>
      <c r="H464" s="28">
        <f>ROUND(F464*AO464,2)</f>
        <v>0</v>
      </c>
      <c r="I464" s="28">
        <f>ROUND(F464*AP464,2)</f>
        <v>0</v>
      </c>
      <c r="J464" s="28">
        <f>ROUND(F464*G464,2)</f>
        <v>0</v>
      </c>
      <c r="K464" s="29" t="s">
        <v>70</v>
      </c>
      <c r="Z464" s="28">
        <f>ROUND(IF(AQ464="5",BJ464,0),2)</f>
        <v>0</v>
      </c>
      <c r="AB464" s="28">
        <f>ROUND(IF(AQ464="1",BH464,0),2)</f>
        <v>0</v>
      </c>
      <c r="AC464" s="28">
        <f>ROUND(IF(AQ464="1",BI464,0),2)</f>
        <v>0</v>
      </c>
      <c r="AD464" s="28">
        <f>ROUND(IF(AQ464="7",BH464,0),2)</f>
        <v>0</v>
      </c>
      <c r="AE464" s="28">
        <f>ROUND(IF(AQ464="7",BI464,0),2)</f>
        <v>0</v>
      </c>
      <c r="AF464" s="28">
        <f>ROUND(IF(AQ464="2",BH464,0),2)</f>
        <v>0</v>
      </c>
      <c r="AG464" s="28">
        <f>ROUND(IF(AQ464="2",BI464,0),2)</f>
        <v>0</v>
      </c>
      <c r="AH464" s="28">
        <f>ROUND(IF(AQ464="0",BJ464,0),2)</f>
        <v>0</v>
      </c>
      <c r="AI464" s="10" t="s">
        <v>733</v>
      </c>
      <c r="AJ464" s="28">
        <f>IF(AN464=0,J464,0)</f>
        <v>0</v>
      </c>
      <c r="AK464" s="28">
        <f>IF(AN464=12,J464,0)</f>
        <v>0</v>
      </c>
      <c r="AL464" s="28">
        <f>IF(AN464=21,J464,0)</f>
        <v>0</v>
      </c>
      <c r="AN464" s="28">
        <v>21</v>
      </c>
      <c r="AO464" s="28">
        <f>G464*0.061860397</f>
        <v>0</v>
      </c>
      <c r="AP464" s="28">
        <f>G464*(1-0.061860397)</f>
        <v>0</v>
      </c>
      <c r="AQ464" s="30" t="s">
        <v>111</v>
      </c>
      <c r="AV464" s="28">
        <f>ROUND(AW464+AX464,2)</f>
        <v>0</v>
      </c>
      <c r="AW464" s="28">
        <f>ROUND(F464*AO464,2)</f>
        <v>0</v>
      </c>
      <c r="AX464" s="28">
        <f>ROUND(F464*AP464,2)</f>
        <v>0</v>
      </c>
      <c r="AY464" s="30" t="s">
        <v>413</v>
      </c>
      <c r="AZ464" s="30" t="s">
        <v>754</v>
      </c>
      <c r="BA464" s="10" t="s">
        <v>739</v>
      </c>
      <c r="BC464" s="28">
        <f>AW464+AX464</f>
        <v>0</v>
      </c>
      <c r="BD464" s="28">
        <f>G464/(100-BE464)*100</f>
        <v>0</v>
      </c>
      <c r="BE464" s="28">
        <v>0</v>
      </c>
      <c r="BF464" s="28">
        <f>464</f>
        <v>464</v>
      </c>
      <c r="BH464" s="28">
        <f>F464*AO464</f>
        <v>0</v>
      </c>
      <c r="BI464" s="28">
        <f>F464*AP464</f>
        <v>0</v>
      </c>
      <c r="BJ464" s="28">
        <f>F464*G464</f>
        <v>0</v>
      </c>
      <c r="BK464" s="28"/>
      <c r="BL464" s="28">
        <v>713</v>
      </c>
      <c r="BW464" s="28">
        <v>21</v>
      </c>
      <c r="BX464" s="4" t="s">
        <v>761</v>
      </c>
    </row>
    <row r="465" spans="1:76" x14ac:dyDescent="0.25">
      <c r="A465" s="31"/>
      <c r="C465" s="34" t="s">
        <v>762</v>
      </c>
      <c r="D465" s="33" t="s">
        <v>742</v>
      </c>
      <c r="F465" s="35">
        <v>87.494</v>
      </c>
      <c r="K465" s="36"/>
    </row>
    <row r="466" spans="1:76" x14ac:dyDescent="0.25">
      <c r="A466" s="31"/>
      <c r="C466" s="34" t="s">
        <v>763</v>
      </c>
      <c r="D466" s="33" t="s">
        <v>744</v>
      </c>
      <c r="F466" s="35">
        <v>117.5737</v>
      </c>
      <c r="K466" s="36"/>
    </row>
    <row r="467" spans="1:76" x14ac:dyDescent="0.25">
      <c r="A467" s="31"/>
      <c r="C467" s="34" t="s">
        <v>764</v>
      </c>
      <c r="D467" s="33" t="s">
        <v>746</v>
      </c>
      <c r="F467" s="35">
        <v>55.813800000000001</v>
      </c>
      <c r="K467" s="36"/>
    </row>
    <row r="468" spans="1:76" ht="63.75" x14ac:dyDescent="0.25">
      <c r="A468" s="31"/>
      <c r="B468" s="37" t="s">
        <v>85</v>
      </c>
      <c r="C468" s="248" t="s">
        <v>765</v>
      </c>
      <c r="D468" s="249"/>
      <c r="E468" s="249"/>
      <c r="F468" s="249"/>
      <c r="G468" s="249"/>
      <c r="H468" s="249"/>
      <c r="I468" s="249"/>
      <c r="J468" s="249"/>
      <c r="K468" s="250"/>
      <c r="BX468" s="32" t="s">
        <v>765</v>
      </c>
    </row>
    <row r="469" spans="1:76" x14ac:dyDescent="0.25">
      <c r="A469" s="38" t="s">
        <v>766</v>
      </c>
      <c r="B469" s="39" t="s">
        <v>767</v>
      </c>
      <c r="C469" s="251" t="s">
        <v>768</v>
      </c>
      <c r="D469" s="252"/>
      <c r="E469" s="39" t="s">
        <v>69</v>
      </c>
      <c r="F469" s="41">
        <v>273.92556999999999</v>
      </c>
      <c r="G469" s="41">
        <v>0</v>
      </c>
      <c r="H469" s="41">
        <f>ROUND(F469*AO469,2)</f>
        <v>0</v>
      </c>
      <c r="I469" s="41">
        <f>ROUND(F469*AP469,2)</f>
        <v>0</v>
      </c>
      <c r="J469" s="41">
        <f>ROUND(F469*G469,2)</f>
        <v>0</v>
      </c>
      <c r="K469" s="42" t="s">
        <v>70</v>
      </c>
      <c r="Z469" s="28">
        <f>ROUND(IF(AQ469="5",BJ469,0),2)</f>
        <v>0</v>
      </c>
      <c r="AB469" s="28">
        <f>ROUND(IF(AQ469="1",BH469,0),2)</f>
        <v>0</v>
      </c>
      <c r="AC469" s="28">
        <f>ROUND(IF(AQ469="1",BI469,0),2)</f>
        <v>0</v>
      </c>
      <c r="AD469" s="28">
        <f>ROUND(IF(AQ469="7",BH469,0),2)</f>
        <v>0</v>
      </c>
      <c r="AE469" s="28">
        <f>ROUND(IF(AQ469="7",BI469,0),2)</f>
        <v>0</v>
      </c>
      <c r="AF469" s="28">
        <f>ROUND(IF(AQ469="2",BH469,0),2)</f>
        <v>0</v>
      </c>
      <c r="AG469" s="28">
        <f>ROUND(IF(AQ469="2",BI469,0),2)</f>
        <v>0</v>
      </c>
      <c r="AH469" s="28">
        <f>ROUND(IF(AQ469="0",BJ469,0),2)</f>
        <v>0</v>
      </c>
      <c r="AI469" s="10" t="s">
        <v>733</v>
      </c>
      <c r="AJ469" s="41">
        <f>IF(AN469=0,J469,0)</f>
        <v>0</v>
      </c>
      <c r="AK469" s="41">
        <f>IF(AN469=12,J469,0)</f>
        <v>0</v>
      </c>
      <c r="AL469" s="41">
        <f>IF(AN469=21,J469,0)</f>
        <v>0</v>
      </c>
      <c r="AN469" s="28">
        <v>21</v>
      </c>
      <c r="AO469" s="28">
        <f>G469*1</f>
        <v>0</v>
      </c>
      <c r="AP469" s="28">
        <f>G469*(1-1)</f>
        <v>0</v>
      </c>
      <c r="AQ469" s="43" t="s">
        <v>111</v>
      </c>
      <c r="AV469" s="28">
        <f>ROUND(AW469+AX469,2)</f>
        <v>0</v>
      </c>
      <c r="AW469" s="28">
        <f>ROUND(F469*AO469,2)</f>
        <v>0</v>
      </c>
      <c r="AX469" s="28">
        <f>ROUND(F469*AP469,2)</f>
        <v>0</v>
      </c>
      <c r="AY469" s="30" t="s">
        <v>413</v>
      </c>
      <c r="AZ469" s="30" t="s">
        <v>754</v>
      </c>
      <c r="BA469" s="10" t="s">
        <v>739</v>
      </c>
      <c r="BC469" s="28">
        <f>AW469+AX469</f>
        <v>0</v>
      </c>
      <c r="BD469" s="28">
        <f>G469/(100-BE469)*100</f>
        <v>0</v>
      </c>
      <c r="BE469" s="28">
        <v>0</v>
      </c>
      <c r="BF469" s="28">
        <f>469</f>
        <v>469</v>
      </c>
      <c r="BH469" s="41">
        <f>F469*AO469</f>
        <v>0</v>
      </c>
      <c r="BI469" s="41">
        <f>F469*AP469</f>
        <v>0</v>
      </c>
      <c r="BJ469" s="41">
        <f>F469*G469</f>
        <v>0</v>
      </c>
      <c r="BK469" s="41"/>
      <c r="BL469" s="28">
        <v>713</v>
      </c>
      <c r="BW469" s="28">
        <v>21</v>
      </c>
      <c r="BX469" s="40" t="s">
        <v>768</v>
      </c>
    </row>
    <row r="470" spans="1:76" x14ac:dyDescent="0.25">
      <c r="A470" s="31"/>
      <c r="C470" s="34" t="s">
        <v>762</v>
      </c>
      <c r="D470" s="33" t="s">
        <v>742</v>
      </c>
      <c r="F470" s="35">
        <v>87.494</v>
      </c>
      <c r="K470" s="36"/>
    </row>
    <row r="471" spans="1:76" x14ac:dyDescent="0.25">
      <c r="A471" s="31"/>
      <c r="C471" s="34" t="s">
        <v>763</v>
      </c>
      <c r="D471" s="33" t="s">
        <v>744</v>
      </c>
      <c r="F471" s="35">
        <v>117.5737</v>
      </c>
      <c r="K471" s="36"/>
    </row>
    <row r="472" spans="1:76" x14ac:dyDescent="0.25">
      <c r="A472" s="31"/>
      <c r="C472" s="34" t="s">
        <v>764</v>
      </c>
      <c r="D472" s="33" t="s">
        <v>746</v>
      </c>
      <c r="F472" s="35">
        <v>55.813800000000001</v>
      </c>
      <c r="K472" s="36"/>
    </row>
    <row r="473" spans="1:76" x14ac:dyDescent="0.25">
      <c r="A473" s="31"/>
      <c r="C473" s="34" t="s">
        <v>769</v>
      </c>
      <c r="D473" s="33" t="s">
        <v>52</v>
      </c>
      <c r="F473" s="35">
        <v>13.04407</v>
      </c>
      <c r="K473" s="36"/>
    </row>
    <row r="474" spans="1:76" ht="140.25" x14ac:dyDescent="0.25">
      <c r="A474" s="31"/>
      <c r="B474" s="37" t="s">
        <v>85</v>
      </c>
      <c r="C474" s="248" t="s">
        <v>770</v>
      </c>
      <c r="D474" s="249"/>
      <c r="E474" s="249"/>
      <c r="F474" s="249"/>
      <c r="G474" s="249"/>
      <c r="H474" s="249"/>
      <c r="I474" s="249"/>
      <c r="J474" s="249"/>
      <c r="K474" s="250"/>
      <c r="BX474" s="44" t="s">
        <v>770</v>
      </c>
    </row>
    <row r="475" spans="1:76" x14ac:dyDescent="0.25">
      <c r="A475" s="2" t="s">
        <v>771</v>
      </c>
      <c r="B475" s="3" t="s">
        <v>446</v>
      </c>
      <c r="C475" s="230" t="s">
        <v>447</v>
      </c>
      <c r="D475" s="225"/>
      <c r="E475" s="3" t="s">
        <v>380</v>
      </c>
      <c r="F475" s="28">
        <v>1100</v>
      </c>
      <c r="G475" s="28">
        <v>0</v>
      </c>
      <c r="H475" s="28">
        <f>ROUND(F475*AO475,2)</f>
        <v>0</v>
      </c>
      <c r="I475" s="28">
        <f>ROUND(F475*AP475,2)</f>
        <v>0</v>
      </c>
      <c r="J475" s="28">
        <f>ROUND(F475*G475,2)</f>
        <v>0</v>
      </c>
      <c r="K475" s="29" t="s">
        <v>70</v>
      </c>
      <c r="Z475" s="28">
        <f>ROUND(IF(AQ475="5",BJ475,0),2)</f>
        <v>0</v>
      </c>
      <c r="AB475" s="28">
        <f>ROUND(IF(AQ475="1",BH475,0),2)</f>
        <v>0</v>
      </c>
      <c r="AC475" s="28">
        <f>ROUND(IF(AQ475="1",BI475,0),2)</f>
        <v>0</v>
      </c>
      <c r="AD475" s="28">
        <f>ROUND(IF(AQ475="7",BH475,0),2)</f>
        <v>0</v>
      </c>
      <c r="AE475" s="28">
        <f>ROUND(IF(AQ475="7",BI475,0),2)</f>
        <v>0</v>
      </c>
      <c r="AF475" s="28">
        <f>ROUND(IF(AQ475="2",BH475,0),2)</f>
        <v>0</v>
      </c>
      <c r="AG475" s="28">
        <f>ROUND(IF(AQ475="2",BI475,0),2)</f>
        <v>0</v>
      </c>
      <c r="AH475" s="28">
        <f>ROUND(IF(AQ475="0",BJ475,0),2)</f>
        <v>0</v>
      </c>
      <c r="AI475" s="10" t="s">
        <v>733</v>
      </c>
      <c r="AJ475" s="28">
        <f>IF(AN475=0,J475,0)</f>
        <v>0</v>
      </c>
      <c r="AK475" s="28">
        <f>IF(AN475=12,J475,0)</f>
        <v>0</v>
      </c>
      <c r="AL475" s="28">
        <f>IF(AN475=21,J475,0)</f>
        <v>0</v>
      </c>
      <c r="AN475" s="28">
        <v>21</v>
      </c>
      <c r="AO475" s="28">
        <f>G475*0</f>
        <v>0</v>
      </c>
      <c r="AP475" s="28">
        <f>G475*(1-0)</f>
        <v>0</v>
      </c>
      <c r="AQ475" s="30" t="s">
        <v>91</v>
      </c>
      <c r="AV475" s="28">
        <f>ROUND(AW475+AX475,2)</f>
        <v>0</v>
      </c>
      <c r="AW475" s="28">
        <f>ROUND(F475*AO475,2)</f>
        <v>0</v>
      </c>
      <c r="AX475" s="28">
        <f>ROUND(F475*AP475,2)</f>
        <v>0</v>
      </c>
      <c r="AY475" s="30" t="s">
        <v>413</v>
      </c>
      <c r="AZ475" s="30" t="s">
        <v>754</v>
      </c>
      <c r="BA475" s="10" t="s">
        <v>739</v>
      </c>
      <c r="BC475" s="28">
        <f>AW475+AX475</f>
        <v>0</v>
      </c>
      <c r="BD475" s="28">
        <f>G475/(100-BE475)*100</f>
        <v>0</v>
      </c>
      <c r="BE475" s="28">
        <v>0</v>
      </c>
      <c r="BF475" s="28">
        <f>475</f>
        <v>475</v>
      </c>
      <c r="BH475" s="28">
        <f>F475*AO475</f>
        <v>0</v>
      </c>
      <c r="BI475" s="28">
        <f>F475*AP475</f>
        <v>0</v>
      </c>
      <c r="BJ475" s="28">
        <f>F475*G475</f>
        <v>0</v>
      </c>
      <c r="BK475" s="28"/>
      <c r="BL475" s="28">
        <v>713</v>
      </c>
      <c r="BW475" s="28">
        <v>21</v>
      </c>
      <c r="BX475" s="4" t="s">
        <v>447</v>
      </c>
    </row>
    <row r="476" spans="1:76" x14ac:dyDescent="0.25">
      <c r="A476" s="31"/>
      <c r="C476" s="34" t="s">
        <v>772</v>
      </c>
      <c r="D476" s="33" t="s">
        <v>52</v>
      </c>
      <c r="F476" s="35">
        <v>1100</v>
      </c>
      <c r="K476" s="36"/>
    </row>
    <row r="477" spans="1:76" x14ac:dyDescent="0.25">
      <c r="A477" s="24" t="s">
        <v>52</v>
      </c>
      <c r="B477" s="25" t="s">
        <v>676</v>
      </c>
      <c r="C477" s="246" t="s">
        <v>677</v>
      </c>
      <c r="D477" s="247"/>
      <c r="E477" s="26" t="s">
        <v>33</v>
      </c>
      <c r="F477" s="26" t="s">
        <v>33</v>
      </c>
      <c r="G477" s="26" t="s">
        <v>33</v>
      </c>
      <c r="H477" s="1">
        <f>SUM(H478:H508)</f>
        <v>0</v>
      </c>
      <c r="I477" s="1">
        <f>SUM(I478:I508)</f>
        <v>0</v>
      </c>
      <c r="J477" s="1">
        <f>SUM(J478:J508)</f>
        <v>0</v>
      </c>
      <c r="K477" s="27" t="s">
        <v>52</v>
      </c>
      <c r="AI477" s="10" t="s">
        <v>733</v>
      </c>
      <c r="AS477" s="1">
        <f>SUM(AJ478:AJ508)</f>
        <v>0</v>
      </c>
      <c r="AT477" s="1">
        <f>SUM(AK478:AK508)</f>
        <v>0</v>
      </c>
      <c r="AU477" s="1">
        <f>SUM(AL478:AL508)</f>
        <v>0</v>
      </c>
    </row>
    <row r="478" spans="1:76" x14ac:dyDescent="0.25">
      <c r="A478" s="2" t="s">
        <v>773</v>
      </c>
      <c r="B478" s="3" t="s">
        <v>774</v>
      </c>
      <c r="C478" s="230" t="s">
        <v>775</v>
      </c>
      <c r="D478" s="225"/>
      <c r="E478" s="3" t="s">
        <v>308</v>
      </c>
      <c r="F478" s="28">
        <v>131</v>
      </c>
      <c r="G478" s="28">
        <v>0</v>
      </c>
      <c r="H478" s="28">
        <f>ROUND(F478*AO478,2)</f>
        <v>0</v>
      </c>
      <c r="I478" s="28">
        <f>ROUND(F478*AP478,2)</f>
        <v>0</v>
      </c>
      <c r="J478" s="28">
        <f>ROUND(F478*G478,2)</f>
        <v>0</v>
      </c>
      <c r="K478" s="29" t="s">
        <v>70</v>
      </c>
      <c r="Z478" s="28">
        <f>ROUND(IF(AQ478="5",BJ478,0),2)</f>
        <v>0</v>
      </c>
      <c r="AB478" s="28">
        <f>ROUND(IF(AQ478="1",BH478,0),2)</f>
        <v>0</v>
      </c>
      <c r="AC478" s="28">
        <f>ROUND(IF(AQ478="1",BI478,0),2)</f>
        <v>0</v>
      </c>
      <c r="AD478" s="28">
        <f>ROUND(IF(AQ478="7",BH478,0),2)</f>
        <v>0</v>
      </c>
      <c r="AE478" s="28">
        <f>ROUND(IF(AQ478="7",BI478,0),2)</f>
        <v>0</v>
      </c>
      <c r="AF478" s="28">
        <f>ROUND(IF(AQ478="2",BH478,0),2)</f>
        <v>0</v>
      </c>
      <c r="AG478" s="28">
        <f>ROUND(IF(AQ478="2",BI478,0),2)</f>
        <v>0</v>
      </c>
      <c r="AH478" s="28">
        <f>ROUND(IF(AQ478="0",BJ478,0),2)</f>
        <v>0</v>
      </c>
      <c r="AI478" s="10" t="s">
        <v>733</v>
      </c>
      <c r="AJ478" s="28">
        <f>IF(AN478=0,J478,0)</f>
        <v>0</v>
      </c>
      <c r="AK478" s="28">
        <f>IF(AN478=12,J478,0)</f>
        <v>0</v>
      </c>
      <c r="AL478" s="28">
        <f>IF(AN478=21,J478,0)</f>
        <v>0</v>
      </c>
      <c r="AN478" s="28">
        <v>21</v>
      </c>
      <c r="AO478" s="28">
        <f>G478*0.003031895</f>
        <v>0</v>
      </c>
      <c r="AP478" s="28">
        <f>G478*(1-0.003031895)</f>
        <v>0</v>
      </c>
      <c r="AQ478" s="30" t="s">
        <v>111</v>
      </c>
      <c r="AV478" s="28">
        <f>ROUND(AW478+AX478,2)</f>
        <v>0</v>
      </c>
      <c r="AW478" s="28">
        <f>ROUND(F478*AO478,2)</f>
        <v>0</v>
      </c>
      <c r="AX478" s="28">
        <f>ROUND(F478*AP478,2)</f>
        <v>0</v>
      </c>
      <c r="AY478" s="30" t="s">
        <v>681</v>
      </c>
      <c r="AZ478" s="30" t="s">
        <v>776</v>
      </c>
      <c r="BA478" s="10" t="s">
        <v>739</v>
      </c>
      <c r="BC478" s="28">
        <f>AW478+AX478</f>
        <v>0</v>
      </c>
      <c r="BD478" s="28">
        <f>G478/(100-BE478)*100</f>
        <v>0</v>
      </c>
      <c r="BE478" s="28">
        <v>0</v>
      </c>
      <c r="BF478" s="28">
        <f>478</f>
        <v>478</v>
      </c>
      <c r="BH478" s="28">
        <f>F478*AO478</f>
        <v>0</v>
      </c>
      <c r="BI478" s="28">
        <f>F478*AP478</f>
        <v>0</v>
      </c>
      <c r="BJ478" s="28">
        <f>F478*G478</f>
        <v>0</v>
      </c>
      <c r="BK478" s="28"/>
      <c r="BL478" s="28">
        <v>766</v>
      </c>
      <c r="BW478" s="28">
        <v>21</v>
      </c>
      <c r="BX478" s="4" t="s">
        <v>775</v>
      </c>
    </row>
    <row r="479" spans="1:76" ht="40.5" customHeight="1" x14ac:dyDescent="0.25">
      <c r="A479" s="31"/>
      <c r="C479" s="248" t="s">
        <v>777</v>
      </c>
      <c r="D479" s="249"/>
      <c r="E479" s="249"/>
      <c r="F479" s="249"/>
      <c r="G479" s="249"/>
      <c r="H479" s="249"/>
      <c r="I479" s="249"/>
      <c r="J479" s="249"/>
      <c r="K479" s="250"/>
    </row>
    <row r="480" spans="1:76" x14ac:dyDescent="0.25">
      <c r="A480" s="31"/>
      <c r="C480" s="34" t="s">
        <v>773</v>
      </c>
      <c r="D480" s="33" t="s">
        <v>489</v>
      </c>
      <c r="F480" s="35">
        <v>131</v>
      </c>
      <c r="K480" s="36"/>
    </row>
    <row r="481" spans="1:76" x14ac:dyDescent="0.25">
      <c r="A481" s="31"/>
      <c r="B481" s="37" t="s">
        <v>85</v>
      </c>
      <c r="C481" s="248" t="s">
        <v>778</v>
      </c>
      <c r="D481" s="249"/>
      <c r="E481" s="249"/>
      <c r="F481" s="249"/>
      <c r="G481" s="249"/>
      <c r="H481" s="249"/>
      <c r="I481" s="249"/>
      <c r="J481" s="249"/>
      <c r="K481" s="250"/>
      <c r="BX481" s="32" t="s">
        <v>778</v>
      </c>
    </row>
    <row r="482" spans="1:76" x14ac:dyDescent="0.25">
      <c r="A482" s="38" t="s">
        <v>779</v>
      </c>
      <c r="B482" s="39" t="s">
        <v>780</v>
      </c>
      <c r="C482" s="251" t="s">
        <v>781</v>
      </c>
      <c r="D482" s="252"/>
      <c r="E482" s="39" t="s">
        <v>308</v>
      </c>
      <c r="F482" s="41">
        <v>131</v>
      </c>
      <c r="G482" s="41">
        <v>0</v>
      </c>
      <c r="H482" s="41">
        <f>ROUND(F482*AO482,2)</f>
        <v>0</v>
      </c>
      <c r="I482" s="41">
        <f>ROUND(F482*AP482,2)</f>
        <v>0</v>
      </c>
      <c r="J482" s="41">
        <f>ROUND(F482*G482,2)</f>
        <v>0</v>
      </c>
      <c r="K482" s="42" t="s">
        <v>782</v>
      </c>
      <c r="Z482" s="28">
        <f>ROUND(IF(AQ482="5",BJ482,0),2)</f>
        <v>0</v>
      </c>
      <c r="AB482" s="28">
        <f>ROUND(IF(AQ482="1",BH482,0),2)</f>
        <v>0</v>
      </c>
      <c r="AC482" s="28">
        <f>ROUND(IF(AQ482="1",BI482,0),2)</f>
        <v>0</v>
      </c>
      <c r="AD482" s="28">
        <f>ROUND(IF(AQ482="7",BH482,0),2)</f>
        <v>0</v>
      </c>
      <c r="AE482" s="28">
        <f>ROUND(IF(AQ482="7",BI482,0),2)</f>
        <v>0</v>
      </c>
      <c r="AF482" s="28">
        <f>ROUND(IF(AQ482="2",BH482,0),2)</f>
        <v>0</v>
      </c>
      <c r="AG482" s="28">
        <f>ROUND(IF(AQ482="2",BI482,0),2)</f>
        <v>0</v>
      </c>
      <c r="AH482" s="28">
        <f>ROUND(IF(AQ482="0",BJ482,0),2)</f>
        <v>0</v>
      </c>
      <c r="AI482" s="10" t="s">
        <v>733</v>
      </c>
      <c r="AJ482" s="41">
        <f>IF(AN482=0,J482,0)</f>
        <v>0</v>
      </c>
      <c r="AK482" s="41">
        <f>IF(AN482=12,J482,0)</f>
        <v>0</v>
      </c>
      <c r="AL482" s="41">
        <f>IF(AN482=21,J482,0)</f>
        <v>0</v>
      </c>
      <c r="AN482" s="28">
        <v>21</v>
      </c>
      <c r="AO482" s="28">
        <f>G482*1</f>
        <v>0</v>
      </c>
      <c r="AP482" s="28">
        <f>G482*(1-1)</f>
        <v>0</v>
      </c>
      <c r="AQ482" s="43" t="s">
        <v>111</v>
      </c>
      <c r="AV482" s="28">
        <f>ROUND(AW482+AX482,2)</f>
        <v>0</v>
      </c>
      <c r="AW482" s="28">
        <f>ROUND(F482*AO482,2)</f>
        <v>0</v>
      </c>
      <c r="AX482" s="28">
        <f>ROUND(F482*AP482,2)</f>
        <v>0</v>
      </c>
      <c r="AY482" s="30" t="s">
        <v>681</v>
      </c>
      <c r="AZ482" s="30" t="s">
        <v>776</v>
      </c>
      <c r="BA482" s="10" t="s">
        <v>739</v>
      </c>
      <c r="BC482" s="28">
        <f>AW482+AX482</f>
        <v>0</v>
      </c>
      <c r="BD482" s="28">
        <f>G482/(100-BE482)*100</f>
        <v>0</v>
      </c>
      <c r="BE482" s="28">
        <v>0</v>
      </c>
      <c r="BF482" s="28">
        <f>482</f>
        <v>482</v>
      </c>
      <c r="BH482" s="41">
        <f>F482*AO482</f>
        <v>0</v>
      </c>
      <c r="BI482" s="41">
        <f>F482*AP482</f>
        <v>0</v>
      </c>
      <c r="BJ482" s="41">
        <f>F482*G482</f>
        <v>0</v>
      </c>
      <c r="BK482" s="41"/>
      <c r="BL482" s="28">
        <v>766</v>
      </c>
      <c r="BW482" s="28">
        <v>21</v>
      </c>
      <c r="BX482" s="40" t="s">
        <v>781</v>
      </c>
    </row>
    <row r="483" spans="1:76" x14ac:dyDescent="0.25">
      <c r="A483" s="31"/>
      <c r="C483" s="34" t="s">
        <v>773</v>
      </c>
      <c r="D483" s="33" t="s">
        <v>489</v>
      </c>
      <c r="F483" s="35">
        <v>131</v>
      </c>
      <c r="K483" s="36"/>
    </row>
    <row r="484" spans="1:76" x14ac:dyDescent="0.25">
      <c r="A484" s="31"/>
      <c r="B484" s="37" t="s">
        <v>85</v>
      </c>
      <c r="C484" s="248" t="s">
        <v>783</v>
      </c>
      <c r="D484" s="249"/>
      <c r="E484" s="249"/>
      <c r="F484" s="249"/>
      <c r="G484" s="249"/>
      <c r="H484" s="249"/>
      <c r="I484" s="249"/>
      <c r="J484" s="249"/>
      <c r="K484" s="250"/>
      <c r="BX484" s="44" t="s">
        <v>783</v>
      </c>
    </row>
    <row r="485" spans="1:76" ht="25.5" x14ac:dyDescent="0.25">
      <c r="A485" s="38" t="s">
        <v>784</v>
      </c>
      <c r="B485" s="39" t="s">
        <v>785</v>
      </c>
      <c r="C485" s="251" t="s">
        <v>786</v>
      </c>
      <c r="D485" s="252"/>
      <c r="E485" s="39" t="s">
        <v>308</v>
      </c>
      <c r="F485" s="41">
        <v>131</v>
      </c>
      <c r="G485" s="41">
        <v>0</v>
      </c>
      <c r="H485" s="41">
        <f>ROUND(F485*AO485,2)</f>
        <v>0</v>
      </c>
      <c r="I485" s="41">
        <f>ROUND(F485*AP485,2)</f>
        <v>0</v>
      </c>
      <c r="J485" s="41">
        <f>ROUND(F485*G485,2)</f>
        <v>0</v>
      </c>
      <c r="K485" s="42" t="s">
        <v>782</v>
      </c>
      <c r="Z485" s="28">
        <f>ROUND(IF(AQ485="5",BJ485,0),2)</f>
        <v>0</v>
      </c>
      <c r="AB485" s="28">
        <f>ROUND(IF(AQ485="1",BH485,0),2)</f>
        <v>0</v>
      </c>
      <c r="AC485" s="28">
        <f>ROUND(IF(AQ485="1",BI485,0),2)</f>
        <v>0</v>
      </c>
      <c r="AD485" s="28">
        <f>ROUND(IF(AQ485="7",BH485,0),2)</f>
        <v>0</v>
      </c>
      <c r="AE485" s="28">
        <f>ROUND(IF(AQ485="7",BI485,0),2)</f>
        <v>0</v>
      </c>
      <c r="AF485" s="28">
        <f>ROUND(IF(AQ485="2",BH485,0),2)</f>
        <v>0</v>
      </c>
      <c r="AG485" s="28">
        <f>ROUND(IF(AQ485="2",BI485,0),2)</f>
        <v>0</v>
      </c>
      <c r="AH485" s="28">
        <f>ROUND(IF(AQ485="0",BJ485,0),2)</f>
        <v>0</v>
      </c>
      <c r="AI485" s="10" t="s">
        <v>733</v>
      </c>
      <c r="AJ485" s="41">
        <f>IF(AN485=0,J485,0)</f>
        <v>0</v>
      </c>
      <c r="AK485" s="41">
        <f>IF(AN485=12,J485,0)</f>
        <v>0</v>
      </c>
      <c r="AL485" s="41">
        <f>IF(AN485=21,J485,0)</f>
        <v>0</v>
      </c>
      <c r="AN485" s="28">
        <v>21</v>
      </c>
      <c r="AO485" s="28">
        <f>G485*1</f>
        <v>0</v>
      </c>
      <c r="AP485" s="28">
        <f>G485*(1-1)</f>
        <v>0</v>
      </c>
      <c r="AQ485" s="43" t="s">
        <v>111</v>
      </c>
      <c r="AV485" s="28">
        <f>ROUND(AW485+AX485,2)</f>
        <v>0</v>
      </c>
      <c r="AW485" s="28">
        <f>ROUND(F485*AO485,2)</f>
        <v>0</v>
      </c>
      <c r="AX485" s="28">
        <f>ROUND(F485*AP485,2)</f>
        <v>0</v>
      </c>
      <c r="AY485" s="30" t="s">
        <v>681</v>
      </c>
      <c r="AZ485" s="30" t="s">
        <v>776</v>
      </c>
      <c r="BA485" s="10" t="s">
        <v>739</v>
      </c>
      <c r="BC485" s="28">
        <f>AW485+AX485</f>
        <v>0</v>
      </c>
      <c r="BD485" s="28">
        <f>G485/(100-BE485)*100</f>
        <v>0</v>
      </c>
      <c r="BE485" s="28">
        <v>0</v>
      </c>
      <c r="BF485" s="28">
        <f>485</f>
        <v>485</v>
      </c>
      <c r="BH485" s="41">
        <f>F485*AO485</f>
        <v>0</v>
      </c>
      <c r="BI485" s="41">
        <f>F485*AP485</f>
        <v>0</v>
      </c>
      <c r="BJ485" s="41">
        <f>F485*G485</f>
        <v>0</v>
      </c>
      <c r="BK485" s="41"/>
      <c r="BL485" s="28">
        <v>766</v>
      </c>
      <c r="BW485" s="28">
        <v>21</v>
      </c>
      <c r="BX485" s="40" t="s">
        <v>786</v>
      </c>
    </row>
    <row r="486" spans="1:76" x14ac:dyDescent="0.25">
      <c r="A486" s="31"/>
      <c r="C486" s="34" t="s">
        <v>773</v>
      </c>
      <c r="D486" s="33" t="s">
        <v>787</v>
      </c>
      <c r="F486" s="35">
        <v>131</v>
      </c>
      <c r="K486" s="36"/>
    </row>
    <row r="487" spans="1:76" x14ac:dyDescent="0.25">
      <c r="A487" s="31"/>
      <c r="B487" s="37" t="s">
        <v>85</v>
      </c>
      <c r="C487" s="248" t="s">
        <v>788</v>
      </c>
      <c r="D487" s="249"/>
      <c r="E487" s="249"/>
      <c r="F487" s="249"/>
      <c r="G487" s="249"/>
      <c r="H487" s="249"/>
      <c r="I487" s="249"/>
      <c r="J487" s="249"/>
      <c r="K487" s="250"/>
      <c r="BX487" s="44" t="s">
        <v>788</v>
      </c>
    </row>
    <row r="488" spans="1:76" x14ac:dyDescent="0.25">
      <c r="A488" s="38" t="s">
        <v>789</v>
      </c>
      <c r="B488" s="39" t="s">
        <v>790</v>
      </c>
      <c r="C488" s="251" t="s">
        <v>791</v>
      </c>
      <c r="D488" s="252"/>
      <c r="E488" s="39" t="s">
        <v>308</v>
      </c>
      <c r="F488" s="41">
        <v>98</v>
      </c>
      <c r="G488" s="41">
        <v>0</v>
      </c>
      <c r="H488" s="41">
        <f>ROUND(F488*AO488,2)</f>
        <v>0</v>
      </c>
      <c r="I488" s="41">
        <f>ROUND(F488*AP488,2)</f>
        <v>0</v>
      </c>
      <c r="J488" s="41">
        <f>ROUND(F488*G488,2)</f>
        <v>0</v>
      </c>
      <c r="K488" s="42" t="s">
        <v>782</v>
      </c>
      <c r="Z488" s="28">
        <f>ROUND(IF(AQ488="5",BJ488,0),2)</f>
        <v>0</v>
      </c>
      <c r="AB488" s="28">
        <f>ROUND(IF(AQ488="1",BH488,0),2)</f>
        <v>0</v>
      </c>
      <c r="AC488" s="28">
        <f>ROUND(IF(AQ488="1",BI488,0),2)</f>
        <v>0</v>
      </c>
      <c r="AD488" s="28">
        <f>ROUND(IF(AQ488="7",BH488,0),2)</f>
        <v>0</v>
      </c>
      <c r="AE488" s="28">
        <f>ROUND(IF(AQ488="7",BI488,0),2)</f>
        <v>0</v>
      </c>
      <c r="AF488" s="28">
        <f>ROUND(IF(AQ488="2",BH488,0),2)</f>
        <v>0</v>
      </c>
      <c r="AG488" s="28">
        <f>ROUND(IF(AQ488="2",BI488,0),2)</f>
        <v>0</v>
      </c>
      <c r="AH488" s="28">
        <f>ROUND(IF(AQ488="0",BJ488,0),2)</f>
        <v>0</v>
      </c>
      <c r="AI488" s="10" t="s">
        <v>733</v>
      </c>
      <c r="AJ488" s="41">
        <f>IF(AN488=0,J488,0)</f>
        <v>0</v>
      </c>
      <c r="AK488" s="41">
        <f>IF(AN488=12,J488,0)</f>
        <v>0</v>
      </c>
      <c r="AL488" s="41">
        <f>IF(AN488=21,J488,0)</f>
        <v>0</v>
      </c>
      <c r="AN488" s="28">
        <v>21</v>
      </c>
      <c r="AO488" s="28">
        <f>G488*1</f>
        <v>0</v>
      </c>
      <c r="AP488" s="28">
        <f>G488*(1-1)</f>
        <v>0</v>
      </c>
      <c r="AQ488" s="43" t="s">
        <v>111</v>
      </c>
      <c r="AV488" s="28">
        <f>ROUND(AW488+AX488,2)</f>
        <v>0</v>
      </c>
      <c r="AW488" s="28">
        <f>ROUND(F488*AO488,2)</f>
        <v>0</v>
      </c>
      <c r="AX488" s="28">
        <f>ROUND(F488*AP488,2)</f>
        <v>0</v>
      </c>
      <c r="AY488" s="30" t="s">
        <v>681</v>
      </c>
      <c r="AZ488" s="30" t="s">
        <v>776</v>
      </c>
      <c r="BA488" s="10" t="s">
        <v>739</v>
      </c>
      <c r="BC488" s="28">
        <f>AW488+AX488</f>
        <v>0</v>
      </c>
      <c r="BD488" s="28">
        <f>G488/(100-BE488)*100</f>
        <v>0</v>
      </c>
      <c r="BE488" s="28">
        <v>0</v>
      </c>
      <c r="BF488" s="28">
        <f>488</f>
        <v>488</v>
      </c>
      <c r="BH488" s="41">
        <f>F488*AO488</f>
        <v>0</v>
      </c>
      <c r="BI488" s="41">
        <f>F488*AP488</f>
        <v>0</v>
      </c>
      <c r="BJ488" s="41">
        <f>F488*G488</f>
        <v>0</v>
      </c>
      <c r="BK488" s="41"/>
      <c r="BL488" s="28">
        <v>766</v>
      </c>
      <c r="BW488" s="28">
        <v>21</v>
      </c>
      <c r="BX488" s="40" t="s">
        <v>791</v>
      </c>
    </row>
    <row r="489" spans="1:76" x14ac:dyDescent="0.25">
      <c r="A489" s="31"/>
      <c r="C489" s="34" t="s">
        <v>575</v>
      </c>
      <c r="D489" s="33" t="s">
        <v>792</v>
      </c>
      <c r="F489" s="35">
        <v>98</v>
      </c>
      <c r="K489" s="36"/>
    </row>
    <row r="490" spans="1:76" x14ac:dyDescent="0.25">
      <c r="A490" s="31"/>
      <c r="B490" s="37" t="s">
        <v>85</v>
      </c>
      <c r="C490" s="248" t="s">
        <v>788</v>
      </c>
      <c r="D490" s="249"/>
      <c r="E490" s="249"/>
      <c r="F490" s="249"/>
      <c r="G490" s="249"/>
      <c r="H490" s="249"/>
      <c r="I490" s="249"/>
      <c r="J490" s="249"/>
      <c r="K490" s="250"/>
      <c r="BX490" s="44" t="s">
        <v>788</v>
      </c>
    </row>
    <row r="491" spans="1:76" ht="25.5" x14ac:dyDescent="0.25">
      <c r="A491" s="38" t="s">
        <v>793</v>
      </c>
      <c r="B491" s="39" t="s">
        <v>794</v>
      </c>
      <c r="C491" s="251" t="s">
        <v>795</v>
      </c>
      <c r="D491" s="252"/>
      <c r="E491" s="39" t="s">
        <v>308</v>
      </c>
      <c r="F491" s="41">
        <v>26</v>
      </c>
      <c r="G491" s="41">
        <v>0</v>
      </c>
      <c r="H491" s="41">
        <f>ROUND(F491*AO491,2)</f>
        <v>0</v>
      </c>
      <c r="I491" s="41">
        <f>ROUND(F491*AP491,2)</f>
        <v>0</v>
      </c>
      <c r="J491" s="41">
        <f>ROUND(F491*G491,2)</f>
        <v>0</v>
      </c>
      <c r="K491" s="42" t="s">
        <v>782</v>
      </c>
      <c r="Z491" s="28">
        <f>ROUND(IF(AQ491="5",BJ491,0),2)</f>
        <v>0</v>
      </c>
      <c r="AB491" s="28">
        <f>ROUND(IF(AQ491="1",BH491,0),2)</f>
        <v>0</v>
      </c>
      <c r="AC491" s="28">
        <f>ROUND(IF(AQ491="1",BI491,0),2)</f>
        <v>0</v>
      </c>
      <c r="AD491" s="28">
        <f>ROUND(IF(AQ491="7",BH491,0),2)</f>
        <v>0</v>
      </c>
      <c r="AE491" s="28">
        <f>ROUND(IF(AQ491="7",BI491,0),2)</f>
        <v>0</v>
      </c>
      <c r="AF491" s="28">
        <f>ROUND(IF(AQ491="2",BH491,0),2)</f>
        <v>0</v>
      </c>
      <c r="AG491" s="28">
        <f>ROUND(IF(AQ491="2",BI491,0),2)</f>
        <v>0</v>
      </c>
      <c r="AH491" s="28">
        <f>ROUND(IF(AQ491="0",BJ491,0),2)</f>
        <v>0</v>
      </c>
      <c r="AI491" s="10" t="s">
        <v>733</v>
      </c>
      <c r="AJ491" s="41">
        <f>IF(AN491=0,J491,0)</f>
        <v>0</v>
      </c>
      <c r="AK491" s="41">
        <f>IF(AN491=12,J491,0)</f>
        <v>0</v>
      </c>
      <c r="AL491" s="41">
        <f>IF(AN491=21,J491,0)</f>
        <v>0</v>
      </c>
      <c r="AN491" s="28">
        <v>21</v>
      </c>
      <c r="AO491" s="28">
        <f>G491*1</f>
        <v>0</v>
      </c>
      <c r="AP491" s="28">
        <f>G491*(1-1)</f>
        <v>0</v>
      </c>
      <c r="AQ491" s="43" t="s">
        <v>111</v>
      </c>
      <c r="AV491" s="28">
        <f>ROUND(AW491+AX491,2)</f>
        <v>0</v>
      </c>
      <c r="AW491" s="28">
        <f>ROUND(F491*AO491,2)</f>
        <v>0</v>
      </c>
      <c r="AX491" s="28">
        <f>ROUND(F491*AP491,2)</f>
        <v>0</v>
      </c>
      <c r="AY491" s="30" t="s">
        <v>681</v>
      </c>
      <c r="AZ491" s="30" t="s">
        <v>776</v>
      </c>
      <c r="BA491" s="10" t="s">
        <v>739</v>
      </c>
      <c r="BC491" s="28">
        <f>AW491+AX491</f>
        <v>0</v>
      </c>
      <c r="BD491" s="28">
        <f>G491/(100-BE491)*100</f>
        <v>0</v>
      </c>
      <c r="BE491" s="28">
        <v>0</v>
      </c>
      <c r="BF491" s="28">
        <f>491</f>
        <v>491</v>
      </c>
      <c r="BH491" s="41">
        <f>F491*AO491</f>
        <v>0</v>
      </c>
      <c r="BI491" s="41">
        <f>F491*AP491</f>
        <v>0</v>
      </c>
      <c r="BJ491" s="41">
        <f>F491*G491</f>
        <v>0</v>
      </c>
      <c r="BK491" s="41"/>
      <c r="BL491" s="28">
        <v>766</v>
      </c>
      <c r="BW491" s="28">
        <v>21</v>
      </c>
      <c r="BX491" s="40" t="s">
        <v>795</v>
      </c>
    </row>
    <row r="492" spans="1:76" x14ac:dyDescent="0.25">
      <c r="A492" s="31"/>
      <c r="C492" s="34" t="s">
        <v>211</v>
      </c>
      <c r="D492" s="33" t="s">
        <v>796</v>
      </c>
      <c r="F492" s="35">
        <v>26</v>
      </c>
      <c r="K492" s="36"/>
    </row>
    <row r="493" spans="1:76" ht="38.25" x14ac:dyDescent="0.25">
      <c r="A493" s="31"/>
      <c r="B493" s="37" t="s">
        <v>85</v>
      </c>
      <c r="C493" s="248" t="s">
        <v>797</v>
      </c>
      <c r="D493" s="249"/>
      <c r="E493" s="249"/>
      <c r="F493" s="249"/>
      <c r="G493" s="249"/>
      <c r="H493" s="249"/>
      <c r="I493" s="249"/>
      <c r="J493" s="249"/>
      <c r="K493" s="250"/>
      <c r="BX493" s="44" t="s">
        <v>797</v>
      </c>
    </row>
    <row r="494" spans="1:76" ht="25.5" x14ac:dyDescent="0.25">
      <c r="A494" s="38" t="s">
        <v>798</v>
      </c>
      <c r="B494" s="39" t="s">
        <v>799</v>
      </c>
      <c r="C494" s="251" t="s">
        <v>800</v>
      </c>
      <c r="D494" s="252"/>
      <c r="E494" s="39" t="s">
        <v>308</v>
      </c>
      <c r="F494" s="41">
        <v>22</v>
      </c>
      <c r="G494" s="41">
        <v>0</v>
      </c>
      <c r="H494" s="41">
        <f>ROUND(F494*AO494,2)</f>
        <v>0</v>
      </c>
      <c r="I494" s="41">
        <f>ROUND(F494*AP494,2)</f>
        <v>0</v>
      </c>
      <c r="J494" s="41">
        <f>ROUND(F494*G494,2)</f>
        <v>0</v>
      </c>
      <c r="K494" s="42" t="s">
        <v>782</v>
      </c>
      <c r="Z494" s="28">
        <f>ROUND(IF(AQ494="5",BJ494,0),2)</f>
        <v>0</v>
      </c>
      <c r="AB494" s="28">
        <f>ROUND(IF(AQ494="1",BH494,0),2)</f>
        <v>0</v>
      </c>
      <c r="AC494" s="28">
        <f>ROUND(IF(AQ494="1",BI494,0),2)</f>
        <v>0</v>
      </c>
      <c r="AD494" s="28">
        <f>ROUND(IF(AQ494="7",BH494,0),2)</f>
        <v>0</v>
      </c>
      <c r="AE494" s="28">
        <f>ROUND(IF(AQ494="7",BI494,0),2)</f>
        <v>0</v>
      </c>
      <c r="AF494" s="28">
        <f>ROUND(IF(AQ494="2",BH494,0),2)</f>
        <v>0</v>
      </c>
      <c r="AG494" s="28">
        <f>ROUND(IF(AQ494="2",BI494,0),2)</f>
        <v>0</v>
      </c>
      <c r="AH494" s="28">
        <f>ROUND(IF(AQ494="0",BJ494,0),2)</f>
        <v>0</v>
      </c>
      <c r="AI494" s="10" t="s">
        <v>733</v>
      </c>
      <c r="AJ494" s="41">
        <f>IF(AN494=0,J494,0)</f>
        <v>0</v>
      </c>
      <c r="AK494" s="41">
        <f>IF(AN494=12,J494,0)</f>
        <v>0</v>
      </c>
      <c r="AL494" s="41">
        <f>IF(AN494=21,J494,0)</f>
        <v>0</v>
      </c>
      <c r="AN494" s="28">
        <v>21</v>
      </c>
      <c r="AO494" s="28">
        <f>G494*1</f>
        <v>0</v>
      </c>
      <c r="AP494" s="28">
        <f>G494*(1-1)</f>
        <v>0</v>
      </c>
      <c r="AQ494" s="43" t="s">
        <v>111</v>
      </c>
      <c r="AV494" s="28">
        <f>ROUND(AW494+AX494,2)</f>
        <v>0</v>
      </c>
      <c r="AW494" s="28">
        <f>ROUND(F494*AO494,2)</f>
        <v>0</v>
      </c>
      <c r="AX494" s="28">
        <f>ROUND(F494*AP494,2)</f>
        <v>0</v>
      </c>
      <c r="AY494" s="30" t="s">
        <v>681</v>
      </c>
      <c r="AZ494" s="30" t="s">
        <v>776</v>
      </c>
      <c r="BA494" s="10" t="s">
        <v>739</v>
      </c>
      <c r="BC494" s="28">
        <f>AW494+AX494</f>
        <v>0</v>
      </c>
      <c r="BD494" s="28">
        <f>G494/(100-BE494)*100</f>
        <v>0</v>
      </c>
      <c r="BE494" s="28">
        <v>0</v>
      </c>
      <c r="BF494" s="28">
        <f>494</f>
        <v>494</v>
      </c>
      <c r="BH494" s="41">
        <f>F494*AO494</f>
        <v>0</v>
      </c>
      <c r="BI494" s="41">
        <f>F494*AP494</f>
        <v>0</v>
      </c>
      <c r="BJ494" s="41">
        <f>F494*G494</f>
        <v>0</v>
      </c>
      <c r="BK494" s="41"/>
      <c r="BL494" s="28">
        <v>766</v>
      </c>
      <c r="BW494" s="28">
        <v>21</v>
      </c>
      <c r="BX494" s="40" t="s">
        <v>800</v>
      </c>
    </row>
    <row r="495" spans="1:76" x14ac:dyDescent="0.25">
      <c r="A495" s="31"/>
      <c r="C495" s="34" t="s">
        <v>176</v>
      </c>
      <c r="D495" s="33" t="s">
        <v>801</v>
      </c>
      <c r="F495" s="35">
        <v>22</v>
      </c>
      <c r="K495" s="36"/>
    </row>
    <row r="496" spans="1:76" ht="25.5" x14ac:dyDescent="0.25">
      <c r="A496" s="38" t="s">
        <v>802</v>
      </c>
      <c r="B496" s="39" t="s">
        <v>803</v>
      </c>
      <c r="C496" s="251" t="s">
        <v>804</v>
      </c>
      <c r="D496" s="252"/>
      <c r="E496" s="39" t="s">
        <v>308</v>
      </c>
      <c r="F496" s="41">
        <v>26</v>
      </c>
      <c r="G496" s="41">
        <v>0</v>
      </c>
      <c r="H496" s="41">
        <f>ROUND(F496*AO496,2)</f>
        <v>0</v>
      </c>
      <c r="I496" s="41">
        <f>ROUND(F496*AP496,2)</f>
        <v>0</v>
      </c>
      <c r="J496" s="41">
        <f>ROUND(F496*G496,2)</f>
        <v>0</v>
      </c>
      <c r="K496" s="42" t="s">
        <v>782</v>
      </c>
      <c r="Z496" s="28">
        <f>ROUND(IF(AQ496="5",BJ496,0),2)</f>
        <v>0</v>
      </c>
      <c r="AB496" s="28">
        <f>ROUND(IF(AQ496="1",BH496,0),2)</f>
        <v>0</v>
      </c>
      <c r="AC496" s="28">
        <f>ROUND(IF(AQ496="1",BI496,0),2)</f>
        <v>0</v>
      </c>
      <c r="AD496" s="28">
        <f>ROUND(IF(AQ496="7",BH496,0),2)</f>
        <v>0</v>
      </c>
      <c r="AE496" s="28">
        <f>ROUND(IF(AQ496="7",BI496,0),2)</f>
        <v>0</v>
      </c>
      <c r="AF496" s="28">
        <f>ROUND(IF(AQ496="2",BH496,0),2)</f>
        <v>0</v>
      </c>
      <c r="AG496" s="28">
        <f>ROUND(IF(AQ496="2",BI496,0),2)</f>
        <v>0</v>
      </c>
      <c r="AH496" s="28">
        <f>ROUND(IF(AQ496="0",BJ496,0),2)</f>
        <v>0</v>
      </c>
      <c r="AI496" s="10" t="s">
        <v>733</v>
      </c>
      <c r="AJ496" s="41">
        <f>IF(AN496=0,J496,0)</f>
        <v>0</v>
      </c>
      <c r="AK496" s="41">
        <f>IF(AN496=12,J496,0)</f>
        <v>0</v>
      </c>
      <c r="AL496" s="41">
        <f>IF(AN496=21,J496,0)</f>
        <v>0</v>
      </c>
      <c r="AN496" s="28">
        <v>21</v>
      </c>
      <c r="AO496" s="28">
        <f>G496*1</f>
        <v>0</v>
      </c>
      <c r="AP496" s="28">
        <f>G496*(1-1)</f>
        <v>0</v>
      </c>
      <c r="AQ496" s="43" t="s">
        <v>111</v>
      </c>
      <c r="AV496" s="28">
        <f>ROUND(AW496+AX496,2)</f>
        <v>0</v>
      </c>
      <c r="AW496" s="28">
        <f>ROUND(F496*AO496,2)</f>
        <v>0</v>
      </c>
      <c r="AX496" s="28">
        <f>ROUND(F496*AP496,2)</f>
        <v>0</v>
      </c>
      <c r="AY496" s="30" t="s">
        <v>681</v>
      </c>
      <c r="AZ496" s="30" t="s">
        <v>776</v>
      </c>
      <c r="BA496" s="10" t="s">
        <v>739</v>
      </c>
      <c r="BC496" s="28">
        <f>AW496+AX496</f>
        <v>0</v>
      </c>
      <c r="BD496" s="28">
        <f>G496/(100-BE496)*100</f>
        <v>0</v>
      </c>
      <c r="BE496" s="28">
        <v>0</v>
      </c>
      <c r="BF496" s="28">
        <f>496</f>
        <v>496</v>
      </c>
      <c r="BH496" s="41">
        <f>F496*AO496</f>
        <v>0</v>
      </c>
      <c r="BI496" s="41">
        <f>F496*AP496</f>
        <v>0</v>
      </c>
      <c r="BJ496" s="41">
        <f>F496*G496</f>
        <v>0</v>
      </c>
      <c r="BK496" s="41"/>
      <c r="BL496" s="28">
        <v>766</v>
      </c>
      <c r="BW496" s="28">
        <v>21</v>
      </c>
      <c r="BX496" s="40" t="s">
        <v>804</v>
      </c>
    </row>
    <row r="497" spans="1:76" x14ac:dyDescent="0.25">
      <c r="A497" s="31"/>
      <c r="C497" s="34" t="s">
        <v>211</v>
      </c>
      <c r="D497" s="33" t="s">
        <v>805</v>
      </c>
      <c r="F497" s="35">
        <v>26</v>
      </c>
      <c r="K497" s="36"/>
    </row>
    <row r="498" spans="1:76" ht="25.5" x14ac:dyDescent="0.25">
      <c r="A498" s="38" t="s">
        <v>806</v>
      </c>
      <c r="B498" s="39" t="s">
        <v>807</v>
      </c>
      <c r="C498" s="251" t="s">
        <v>808</v>
      </c>
      <c r="D498" s="252"/>
      <c r="E498" s="39" t="s">
        <v>308</v>
      </c>
      <c r="F498" s="41">
        <v>12</v>
      </c>
      <c r="G498" s="41">
        <v>0</v>
      </c>
      <c r="H498" s="41">
        <f>ROUND(F498*AO498,2)</f>
        <v>0</v>
      </c>
      <c r="I498" s="41">
        <f>ROUND(F498*AP498,2)</f>
        <v>0</v>
      </c>
      <c r="J498" s="41">
        <f>ROUND(F498*G498,2)</f>
        <v>0</v>
      </c>
      <c r="K498" s="42" t="s">
        <v>782</v>
      </c>
      <c r="Z498" s="28">
        <f>ROUND(IF(AQ498="5",BJ498,0),2)</f>
        <v>0</v>
      </c>
      <c r="AB498" s="28">
        <f>ROUND(IF(AQ498="1",BH498,0),2)</f>
        <v>0</v>
      </c>
      <c r="AC498" s="28">
        <f>ROUND(IF(AQ498="1",BI498,0),2)</f>
        <v>0</v>
      </c>
      <c r="AD498" s="28">
        <f>ROUND(IF(AQ498="7",BH498,0),2)</f>
        <v>0</v>
      </c>
      <c r="AE498" s="28">
        <f>ROUND(IF(AQ498="7",BI498,0),2)</f>
        <v>0</v>
      </c>
      <c r="AF498" s="28">
        <f>ROUND(IF(AQ498="2",BH498,0),2)</f>
        <v>0</v>
      </c>
      <c r="AG498" s="28">
        <f>ROUND(IF(AQ498="2",BI498,0),2)</f>
        <v>0</v>
      </c>
      <c r="AH498" s="28">
        <f>ROUND(IF(AQ498="0",BJ498,0),2)</f>
        <v>0</v>
      </c>
      <c r="AI498" s="10" t="s">
        <v>733</v>
      </c>
      <c r="AJ498" s="41">
        <f>IF(AN498=0,J498,0)</f>
        <v>0</v>
      </c>
      <c r="AK498" s="41">
        <f>IF(AN498=12,J498,0)</f>
        <v>0</v>
      </c>
      <c r="AL498" s="41">
        <f>IF(AN498=21,J498,0)</f>
        <v>0</v>
      </c>
      <c r="AN498" s="28">
        <v>21</v>
      </c>
      <c r="AO498" s="28">
        <f>G498*1</f>
        <v>0</v>
      </c>
      <c r="AP498" s="28">
        <f>G498*(1-1)</f>
        <v>0</v>
      </c>
      <c r="AQ498" s="43" t="s">
        <v>111</v>
      </c>
      <c r="AV498" s="28">
        <f>ROUND(AW498+AX498,2)</f>
        <v>0</v>
      </c>
      <c r="AW498" s="28">
        <f>ROUND(F498*AO498,2)</f>
        <v>0</v>
      </c>
      <c r="AX498" s="28">
        <f>ROUND(F498*AP498,2)</f>
        <v>0</v>
      </c>
      <c r="AY498" s="30" t="s">
        <v>681</v>
      </c>
      <c r="AZ498" s="30" t="s">
        <v>776</v>
      </c>
      <c r="BA498" s="10" t="s">
        <v>739</v>
      </c>
      <c r="BC498" s="28">
        <f>AW498+AX498</f>
        <v>0</v>
      </c>
      <c r="BD498" s="28">
        <f>G498/(100-BE498)*100</f>
        <v>0</v>
      </c>
      <c r="BE498" s="28">
        <v>0</v>
      </c>
      <c r="BF498" s="28">
        <f>498</f>
        <v>498</v>
      </c>
      <c r="BH498" s="41">
        <f>F498*AO498</f>
        <v>0</v>
      </c>
      <c r="BI498" s="41">
        <f>F498*AP498</f>
        <v>0</v>
      </c>
      <c r="BJ498" s="41">
        <f>F498*G498</f>
        <v>0</v>
      </c>
      <c r="BK498" s="41"/>
      <c r="BL498" s="28">
        <v>766</v>
      </c>
      <c r="BW498" s="28">
        <v>21</v>
      </c>
      <c r="BX498" s="40" t="s">
        <v>808</v>
      </c>
    </row>
    <row r="499" spans="1:76" x14ac:dyDescent="0.25">
      <c r="A499" s="31"/>
      <c r="C499" s="34" t="s">
        <v>126</v>
      </c>
      <c r="D499" s="33" t="s">
        <v>809</v>
      </c>
      <c r="F499" s="35">
        <v>12</v>
      </c>
      <c r="K499" s="36"/>
    </row>
    <row r="500" spans="1:76" ht="25.5" x14ac:dyDescent="0.25">
      <c r="A500" s="38" t="s">
        <v>810</v>
      </c>
      <c r="B500" s="39" t="s">
        <v>811</v>
      </c>
      <c r="C500" s="251" t="s">
        <v>812</v>
      </c>
      <c r="D500" s="252"/>
      <c r="E500" s="39" t="s">
        <v>308</v>
      </c>
      <c r="F500" s="41">
        <v>2</v>
      </c>
      <c r="G500" s="41">
        <v>0</v>
      </c>
      <c r="H500" s="41">
        <f>ROUND(F500*AO500,2)</f>
        <v>0</v>
      </c>
      <c r="I500" s="41">
        <f>ROUND(F500*AP500,2)</f>
        <v>0</v>
      </c>
      <c r="J500" s="41">
        <f>ROUND(F500*G500,2)</f>
        <v>0</v>
      </c>
      <c r="K500" s="42" t="s">
        <v>782</v>
      </c>
      <c r="Z500" s="28">
        <f>ROUND(IF(AQ500="5",BJ500,0),2)</f>
        <v>0</v>
      </c>
      <c r="AB500" s="28">
        <f>ROUND(IF(AQ500="1",BH500,0),2)</f>
        <v>0</v>
      </c>
      <c r="AC500" s="28">
        <f>ROUND(IF(AQ500="1",BI500,0),2)</f>
        <v>0</v>
      </c>
      <c r="AD500" s="28">
        <f>ROUND(IF(AQ500="7",BH500,0),2)</f>
        <v>0</v>
      </c>
      <c r="AE500" s="28">
        <f>ROUND(IF(AQ500="7",BI500,0),2)</f>
        <v>0</v>
      </c>
      <c r="AF500" s="28">
        <f>ROUND(IF(AQ500="2",BH500,0),2)</f>
        <v>0</v>
      </c>
      <c r="AG500" s="28">
        <f>ROUND(IF(AQ500="2",BI500,0),2)</f>
        <v>0</v>
      </c>
      <c r="AH500" s="28">
        <f>ROUND(IF(AQ500="0",BJ500,0),2)</f>
        <v>0</v>
      </c>
      <c r="AI500" s="10" t="s">
        <v>733</v>
      </c>
      <c r="AJ500" s="41">
        <f>IF(AN500=0,J500,0)</f>
        <v>0</v>
      </c>
      <c r="AK500" s="41">
        <f>IF(AN500=12,J500,0)</f>
        <v>0</v>
      </c>
      <c r="AL500" s="41">
        <f>IF(AN500=21,J500,0)</f>
        <v>0</v>
      </c>
      <c r="AN500" s="28">
        <v>21</v>
      </c>
      <c r="AO500" s="28">
        <f>G500*1</f>
        <v>0</v>
      </c>
      <c r="AP500" s="28">
        <f>G500*(1-1)</f>
        <v>0</v>
      </c>
      <c r="AQ500" s="43" t="s">
        <v>111</v>
      </c>
      <c r="AV500" s="28">
        <f>ROUND(AW500+AX500,2)</f>
        <v>0</v>
      </c>
      <c r="AW500" s="28">
        <f>ROUND(F500*AO500,2)</f>
        <v>0</v>
      </c>
      <c r="AX500" s="28">
        <f>ROUND(F500*AP500,2)</f>
        <v>0</v>
      </c>
      <c r="AY500" s="30" t="s">
        <v>681</v>
      </c>
      <c r="AZ500" s="30" t="s">
        <v>776</v>
      </c>
      <c r="BA500" s="10" t="s">
        <v>739</v>
      </c>
      <c r="BC500" s="28">
        <f>AW500+AX500</f>
        <v>0</v>
      </c>
      <c r="BD500" s="28">
        <f>G500/(100-BE500)*100</f>
        <v>0</v>
      </c>
      <c r="BE500" s="28">
        <v>0</v>
      </c>
      <c r="BF500" s="28">
        <f>500</f>
        <v>500</v>
      </c>
      <c r="BH500" s="41">
        <f>F500*AO500</f>
        <v>0</v>
      </c>
      <c r="BI500" s="41">
        <f>F500*AP500</f>
        <v>0</v>
      </c>
      <c r="BJ500" s="41">
        <f>F500*G500</f>
        <v>0</v>
      </c>
      <c r="BK500" s="41"/>
      <c r="BL500" s="28">
        <v>766</v>
      </c>
      <c r="BW500" s="28">
        <v>21</v>
      </c>
      <c r="BX500" s="40" t="s">
        <v>812</v>
      </c>
    </row>
    <row r="501" spans="1:76" x14ac:dyDescent="0.25">
      <c r="A501" s="31"/>
      <c r="C501" s="34" t="s">
        <v>60</v>
      </c>
      <c r="D501" s="33" t="s">
        <v>813</v>
      </c>
      <c r="F501" s="35">
        <v>2</v>
      </c>
      <c r="K501" s="36"/>
    </row>
    <row r="502" spans="1:76" ht="25.5" x14ac:dyDescent="0.25">
      <c r="A502" s="38" t="s">
        <v>814</v>
      </c>
      <c r="B502" s="39" t="s">
        <v>815</v>
      </c>
      <c r="C502" s="251" t="s">
        <v>816</v>
      </c>
      <c r="D502" s="252"/>
      <c r="E502" s="39" t="s">
        <v>308</v>
      </c>
      <c r="F502" s="41">
        <v>16</v>
      </c>
      <c r="G502" s="41">
        <v>0</v>
      </c>
      <c r="H502" s="41">
        <f>ROUND(F502*AO502,2)</f>
        <v>0</v>
      </c>
      <c r="I502" s="41">
        <f>ROUND(F502*AP502,2)</f>
        <v>0</v>
      </c>
      <c r="J502" s="41">
        <f>ROUND(F502*G502,2)</f>
        <v>0</v>
      </c>
      <c r="K502" s="42" t="s">
        <v>782</v>
      </c>
      <c r="Z502" s="28">
        <f>ROUND(IF(AQ502="5",BJ502,0),2)</f>
        <v>0</v>
      </c>
      <c r="AB502" s="28">
        <f>ROUND(IF(AQ502="1",BH502,0),2)</f>
        <v>0</v>
      </c>
      <c r="AC502" s="28">
        <f>ROUND(IF(AQ502="1",BI502,0),2)</f>
        <v>0</v>
      </c>
      <c r="AD502" s="28">
        <f>ROUND(IF(AQ502="7",BH502,0),2)</f>
        <v>0</v>
      </c>
      <c r="AE502" s="28">
        <f>ROUND(IF(AQ502="7",BI502,0),2)</f>
        <v>0</v>
      </c>
      <c r="AF502" s="28">
        <f>ROUND(IF(AQ502="2",BH502,0),2)</f>
        <v>0</v>
      </c>
      <c r="AG502" s="28">
        <f>ROUND(IF(AQ502="2",BI502,0),2)</f>
        <v>0</v>
      </c>
      <c r="AH502" s="28">
        <f>ROUND(IF(AQ502="0",BJ502,0),2)</f>
        <v>0</v>
      </c>
      <c r="AI502" s="10" t="s">
        <v>733</v>
      </c>
      <c r="AJ502" s="41">
        <f>IF(AN502=0,J502,0)</f>
        <v>0</v>
      </c>
      <c r="AK502" s="41">
        <f>IF(AN502=12,J502,0)</f>
        <v>0</v>
      </c>
      <c r="AL502" s="41">
        <f>IF(AN502=21,J502,0)</f>
        <v>0</v>
      </c>
      <c r="AN502" s="28">
        <v>21</v>
      </c>
      <c r="AO502" s="28">
        <f>G502*1</f>
        <v>0</v>
      </c>
      <c r="AP502" s="28">
        <f>G502*(1-1)</f>
        <v>0</v>
      </c>
      <c r="AQ502" s="43" t="s">
        <v>111</v>
      </c>
      <c r="AV502" s="28">
        <f>ROUND(AW502+AX502,2)</f>
        <v>0</v>
      </c>
      <c r="AW502" s="28">
        <f>ROUND(F502*AO502,2)</f>
        <v>0</v>
      </c>
      <c r="AX502" s="28">
        <f>ROUND(F502*AP502,2)</f>
        <v>0</v>
      </c>
      <c r="AY502" s="30" t="s">
        <v>681</v>
      </c>
      <c r="AZ502" s="30" t="s">
        <v>776</v>
      </c>
      <c r="BA502" s="10" t="s">
        <v>739</v>
      </c>
      <c r="BC502" s="28">
        <f>AW502+AX502</f>
        <v>0</v>
      </c>
      <c r="BD502" s="28">
        <f>G502/(100-BE502)*100</f>
        <v>0</v>
      </c>
      <c r="BE502" s="28">
        <v>0</v>
      </c>
      <c r="BF502" s="28">
        <f>502</f>
        <v>502</v>
      </c>
      <c r="BH502" s="41">
        <f>F502*AO502</f>
        <v>0</v>
      </c>
      <c r="BI502" s="41">
        <f>F502*AP502</f>
        <v>0</v>
      </c>
      <c r="BJ502" s="41">
        <f>F502*G502</f>
        <v>0</v>
      </c>
      <c r="BK502" s="41"/>
      <c r="BL502" s="28">
        <v>766</v>
      </c>
      <c r="BW502" s="28">
        <v>21</v>
      </c>
      <c r="BX502" s="40" t="s">
        <v>816</v>
      </c>
    </row>
    <row r="503" spans="1:76" x14ac:dyDescent="0.25">
      <c r="A503" s="31"/>
      <c r="C503" s="34" t="s">
        <v>143</v>
      </c>
      <c r="D503" s="33" t="s">
        <v>813</v>
      </c>
      <c r="F503" s="35">
        <v>16</v>
      </c>
      <c r="K503" s="36"/>
    </row>
    <row r="504" spans="1:76" ht="25.5" x14ac:dyDescent="0.25">
      <c r="A504" s="38" t="s">
        <v>817</v>
      </c>
      <c r="B504" s="39" t="s">
        <v>818</v>
      </c>
      <c r="C504" s="251" t="s">
        <v>819</v>
      </c>
      <c r="D504" s="252"/>
      <c r="E504" s="39" t="s">
        <v>308</v>
      </c>
      <c r="F504" s="41">
        <v>11</v>
      </c>
      <c r="G504" s="41">
        <v>0</v>
      </c>
      <c r="H504" s="41">
        <f>ROUND(F504*AO504,2)</f>
        <v>0</v>
      </c>
      <c r="I504" s="41">
        <f>ROUND(F504*AP504,2)</f>
        <v>0</v>
      </c>
      <c r="J504" s="41">
        <f>ROUND(F504*G504,2)</f>
        <v>0</v>
      </c>
      <c r="K504" s="42" t="s">
        <v>782</v>
      </c>
      <c r="Z504" s="28">
        <f>ROUND(IF(AQ504="5",BJ504,0),2)</f>
        <v>0</v>
      </c>
      <c r="AB504" s="28">
        <f>ROUND(IF(AQ504="1",BH504,0),2)</f>
        <v>0</v>
      </c>
      <c r="AC504" s="28">
        <f>ROUND(IF(AQ504="1",BI504,0),2)</f>
        <v>0</v>
      </c>
      <c r="AD504" s="28">
        <f>ROUND(IF(AQ504="7",BH504,0),2)</f>
        <v>0</v>
      </c>
      <c r="AE504" s="28">
        <f>ROUND(IF(AQ504="7",BI504,0),2)</f>
        <v>0</v>
      </c>
      <c r="AF504" s="28">
        <f>ROUND(IF(AQ504="2",BH504,0),2)</f>
        <v>0</v>
      </c>
      <c r="AG504" s="28">
        <f>ROUND(IF(AQ504="2",BI504,0),2)</f>
        <v>0</v>
      </c>
      <c r="AH504" s="28">
        <f>ROUND(IF(AQ504="0",BJ504,0),2)</f>
        <v>0</v>
      </c>
      <c r="AI504" s="10" t="s">
        <v>733</v>
      </c>
      <c r="AJ504" s="41">
        <f>IF(AN504=0,J504,0)</f>
        <v>0</v>
      </c>
      <c r="AK504" s="41">
        <f>IF(AN504=12,J504,0)</f>
        <v>0</v>
      </c>
      <c r="AL504" s="41">
        <f>IF(AN504=21,J504,0)</f>
        <v>0</v>
      </c>
      <c r="AN504" s="28">
        <v>21</v>
      </c>
      <c r="AO504" s="28">
        <f>G504*1</f>
        <v>0</v>
      </c>
      <c r="AP504" s="28">
        <f>G504*(1-1)</f>
        <v>0</v>
      </c>
      <c r="AQ504" s="43" t="s">
        <v>111</v>
      </c>
      <c r="AV504" s="28">
        <f>ROUND(AW504+AX504,2)</f>
        <v>0</v>
      </c>
      <c r="AW504" s="28">
        <f>ROUND(F504*AO504,2)</f>
        <v>0</v>
      </c>
      <c r="AX504" s="28">
        <f>ROUND(F504*AP504,2)</f>
        <v>0</v>
      </c>
      <c r="AY504" s="30" t="s">
        <v>681</v>
      </c>
      <c r="AZ504" s="30" t="s">
        <v>776</v>
      </c>
      <c r="BA504" s="10" t="s">
        <v>739</v>
      </c>
      <c r="BC504" s="28">
        <f>AW504+AX504</f>
        <v>0</v>
      </c>
      <c r="BD504" s="28">
        <f>G504/(100-BE504)*100</f>
        <v>0</v>
      </c>
      <c r="BE504" s="28">
        <v>0</v>
      </c>
      <c r="BF504" s="28">
        <f>504</f>
        <v>504</v>
      </c>
      <c r="BH504" s="41">
        <f>F504*AO504</f>
        <v>0</v>
      </c>
      <c r="BI504" s="41">
        <f>F504*AP504</f>
        <v>0</v>
      </c>
      <c r="BJ504" s="41">
        <f>F504*G504</f>
        <v>0</v>
      </c>
      <c r="BK504" s="41"/>
      <c r="BL504" s="28">
        <v>766</v>
      </c>
      <c r="BW504" s="28">
        <v>21</v>
      </c>
      <c r="BX504" s="40" t="s">
        <v>819</v>
      </c>
    </row>
    <row r="505" spans="1:76" x14ac:dyDescent="0.25">
      <c r="A505" s="31"/>
      <c r="C505" s="34" t="s">
        <v>123</v>
      </c>
      <c r="D505" s="33" t="s">
        <v>820</v>
      </c>
      <c r="F505" s="35">
        <v>11</v>
      </c>
      <c r="K505" s="36"/>
    </row>
    <row r="506" spans="1:76" ht="25.5" x14ac:dyDescent="0.25">
      <c r="A506" s="38" t="s">
        <v>821</v>
      </c>
      <c r="B506" s="39" t="s">
        <v>822</v>
      </c>
      <c r="C506" s="251" t="s">
        <v>823</v>
      </c>
      <c r="D506" s="252"/>
      <c r="E506" s="39" t="s">
        <v>308</v>
      </c>
      <c r="F506" s="41">
        <v>16</v>
      </c>
      <c r="G506" s="41">
        <v>0</v>
      </c>
      <c r="H506" s="41">
        <f>ROUND(F506*AO506,2)</f>
        <v>0</v>
      </c>
      <c r="I506" s="41">
        <f>ROUND(F506*AP506,2)</f>
        <v>0</v>
      </c>
      <c r="J506" s="41">
        <f>ROUND(F506*G506,2)</f>
        <v>0</v>
      </c>
      <c r="K506" s="42" t="s">
        <v>782</v>
      </c>
      <c r="Z506" s="28">
        <f>ROUND(IF(AQ506="5",BJ506,0),2)</f>
        <v>0</v>
      </c>
      <c r="AB506" s="28">
        <f>ROUND(IF(AQ506="1",BH506,0),2)</f>
        <v>0</v>
      </c>
      <c r="AC506" s="28">
        <f>ROUND(IF(AQ506="1",BI506,0),2)</f>
        <v>0</v>
      </c>
      <c r="AD506" s="28">
        <f>ROUND(IF(AQ506="7",BH506,0),2)</f>
        <v>0</v>
      </c>
      <c r="AE506" s="28">
        <f>ROUND(IF(AQ506="7",BI506,0),2)</f>
        <v>0</v>
      </c>
      <c r="AF506" s="28">
        <f>ROUND(IF(AQ506="2",BH506,0),2)</f>
        <v>0</v>
      </c>
      <c r="AG506" s="28">
        <f>ROUND(IF(AQ506="2",BI506,0),2)</f>
        <v>0</v>
      </c>
      <c r="AH506" s="28">
        <f>ROUND(IF(AQ506="0",BJ506,0),2)</f>
        <v>0</v>
      </c>
      <c r="AI506" s="10" t="s">
        <v>733</v>
      </c>
      <c r="AJ506" s="41">
        <f>IF(AN506=0,J506,0)</f>
        <v>0</v>
      </c>
      <c r="AK506" s="41">
        <f>IF(AN506=12,J506,0)</f>
        <v>0</v>
      </c>
      <c r="AL506" s="41">
        <f>IF(AN506=21,J506,0)</f>
        <v>0</v>
      </c>
      <c r="AN506" s="28">
        <v>21</v>
      </c>
      <c r="AO506" s="28">
        <f>G506*1</f>
        <v>0</v>
      </c>
      <c r="AP506" s="28">
        <f>G506*(1-1)</f>
        <v>0</v>
      </c>
      <c r="AQ506" s="43" t="s">
        <v>111</v>
      </c>
      <c r="AV506" s="28">
        <f>ROUND(AW506+AX506,2)</f>
        <v>0</v>
      </c>
      <c r="AW506" s="28">
        <f>ROUND(F506*AO506,2)</f>
        <v>0</v>
      </c>
      <c r="AX506" s="28">
        <f>ROUND(F506*AP506,2)</f>
        <v>0</v>
      </c>
      <c r="AY506" s="30" t="s">
        <v>681</v>
      </c>
      <c r="AZ506" s="30" t="s">
        <v>776</v>
      </c>
      <c r="BA506" s="10" t="s">
        <v>739</v>
      </c>
      <c r="BC506" s="28">
        <f>AW506+AX506</f>
        <v>0</v>
      </c>
      <c r="BD506" s="28">
        <f>G506/(100-BE506)*100</f>
        <v>0</v>
      </c>
      <c r="BE506" s="28">
        <v>0</v>
      </c>
      <c r="BF506" s="28">
        <f>506</f>
        <v>506</v>
      </c>
      <c r="BH506" s="41">
        <f>F506*AO506</f>
        <v>0</v>
      </c>
      <c r="BI506" s="41">
        <f>F506*AP506</f>
        <v>0</v>
      </c>
      <c r="BJ506" s="41">
        <f>F506*G506</f>
        <v>0</v>
      </c>
      <c r="BK506" s="41"/>
      <c r="BL506" s="28">
        <v>766</v>
      </c>
      <c r="BW506" s="28">
        <v>21</v>
      </c>
      <c r="BX506" s="40" t="s">
        <v>823</v>
      </c>
    </row>
    <row r="507" spans="1:76" x14ac:dyDescent="0.25">
      <c r="A507" s="31"/>
      <c r="C507" s="34" t="s">
        <v>143</v>
      </c>
      <c r="D507" s="33" t="s">
        <v>820</v>
      </c>
      <c r="F507" s="35">
        <v>16</v>
      </c>
      <c r="K507" s="36"/>
    </row>
    <row r="508" spans="1:76" x14ac:dyDescent="0.25">
      <c r="A508" s="2" t="s">
        <v>824</v>
      </c>
      <c r="B508" s="3" t="s">
        <v>825</v>
      </c>
      <c r="C508" s="230" t="s">
        <v>826</v>
      </c>
      <c r="D508" s="225"/>
      <c r="E508" s="3" t="s">
        <v>380</v>
      </c>
      <c r="F508" s="28">
        <v>82780</v>
      </c>
      <c r="G508" s="28">
        <v>0</v>
      </c>
      <c r="H508" s="28">
        <f>ROUND(F508*AO508,2)</f>
        <v>0</v>
      </c>
      <c r="I508" s="28">
        <f>ROUND(F508*AP508,2)</f>
        <v>0</v>
      </c>
      <c r="J508" s="28">
        <f>ROUND(F508*G508,2)</f>
        <v>0</v>
      </c>
      <c r="K508" s="29" t="s">
        <v>70</v>
      </c>
      <c r="Z508" s="28">
        <f>ROUND(IF(AQ508="5",BJ508,0),2)</f>
        <v>0</v>
      </c>
      <c r="AB508" s="28">
        <f>ROUND(IF(AQ508="1",BH508,0),2)</f>
        <v>0</v>
      </c>
      <c r="AC508" s="28">
        <f>ROUND(IF(AQ508="1",BI508,0),2)</f>
        <v>0</v>
      </c>
      <c r="AD508" s="28">
        <f>ROUND(IF(AQ508="7",BH508,0),2)</f>
        <v>0</v>
      </c>
      <c r="AE508" s="28">
        <f>ROUND(IF(AQ508="7",BI508,0),2)</f>
        <v>0</v>
      </c>
      <c r="AF508" s="28">
        <f>ROUND(IF(AQ508="2",BH508,0),2)</f>
        <v>0</v>
      </c>
      <c r="AG508" s="28">
        <f>ROUND(IF(AQ508="2",BI508,0),2)</f>
        <v>0</v>
      </c>
      <c r="AH508" s="28">
        <f>ROUND(IF(AQ508="0",BJ508,0),2)</f>
        <v>0</v>
      </c>
      <c r="AI508" s="10" t="s">
        <v>733</v>
      </c>
      <c r="AJ508" s="28">
        <f>IF(AN508=0,J508,0)</f>
        <v>0</v>
      </c>
      <c r="AK508" s="28">
        <f>IF(AN508=12,J508,0)</f>
        <v>0</v>
      </c>
      <c r="AL508" s="28">
        <f>IF(AN508=21,J508,0)</f>
        <v>0</v>
      </c>
      <c r="AN508" s="28">
        <v>21</v>
      </c>
      <c r="AO508" s="28">
        <f>G508*0</f>
        <v>0</v>
      </c>
      <c r="AP508" s="28">
        <f>G508*(1-0)</f>
        <v>0</v>
      </c>
      <c r="AQ508" s="30" t="s">
        <v>91</v>
      </c>
      <c r="AV508" s="28">
        <f>ROUND(AW508+AX508,2)</f>
        <v>0</v>
      </c>
      <c r="AW508" s="28">
        <f>ROUND(F508*AO508,2)</f>
        <v>0</v>
      </c>
      <c r="AX508" s="28">
        <f>ROUND(F508*AP508,2)</f>
        <v>0</v>
      </c>
      <c r="AY508" s="30" t="s">
        <v>681</v>
      </c>
      <c r="AZ508" s="30" t="s">
        <v>776</v>
      </c>
      <c r="BA508" s="10" t="s">
        <v>739</v>
      </c>
      <c r="BC508" s="28">
        <f>AW508+AX508</f>
        <v>0</v>
      </c>
      <c r="BD508" s="28">
        <f>G508/(100-BE508)*100</f>
        <v>0</v>
      </c>
      <c r="BE508" s="28">
        <v>0</v>
      </c>
      <c r="BF508" s="28">
        <f>508</f>
        <v>508</v>
      </c>
      <c r="BH508" s="28">
        <f>F508*AO508</f>
        <v>0</v>
      </c>
      <c r="BI508" s="28">
        <f>F508*AP508</f>
        <v>0</v>
      </c>
      <c r="BJ508" s="28">
        <f>F508*G508</f>
        <v>0</v>
      </c>
      <c r="BK508" s="28"/>
      <c r="BL508" s="28">
        <v>766</v>
      </c>
      <c r="BW508" s="28">
        <v>21</v>
      </c>
      <c r="BX508" s="4" t="s">
        <v>826</v>
      </c>
    </row>
    <row r="509" spans="1:76" x14ac:dyDescent="0.25">
      <c r="A509" s="31"/>
      <c r="C509" s="34" t="s">
        <v>827</v>
      </c>
      <c r="D509" s="33" t="s">
        <v>52</v>
      </c>
      <c r="F509" s="35">
        <v>82780</v>
      </c>
      <c r="K509" s="36"/>
    </row>
    <row r="510" spans="1:76" x14ac:dyDescent="0.25">
      <c r="A510" s="24" t="s">
        <v>52</v>
      </c>
      <c r="B510" s="25" t="s">
        <v>65</v>
      </c>
      <c r="C510" s="246" t="s">
        <v>66</v>
      </c>
      <c r="D510" s="247"/>
      <c r="E510" s="26" t="s">
        <v>33</v>
      </c>
      <c r="F510" s="26" t="s">
        <v>33</v>
      </c>
      <c r="G510" s="26" t="s">
        <v>33</v>
      </c>
      <c r="H510" s="1">
        <f>SUM(H511:H511)</f>
        <v>0</v>
      </c>
      <c r="I510" s="1">
        <f>SUM(I511:I511)</f>
        <v>0</v>
      </c>
      <c r="J510" s="1">
        <f>SUM(J511:J511)</f>
        <v>0</v>
      </c>
      <c r="K510" s="27" t="s">
        <v>52</v>
      </c>
      <c r="AI510" s="10" t="s">
        <v>733</v>
      </c>
      <c r="AS510" s="1">
        <f>SUM(AJ511:AJ511)</f>
        <v>0</v>
      </c>
      <c r="AT510" s="1">
        <f>SUM(AK511:AK511)</f>
        <v>0</v>
      </c>
      <c r="AU510" s="1">
        <f>SUM(AL511:AL511)</f>
        <v>0</v>
      </c>
    </row>
    <row r="511" spans="1:76" x14ac:dyDescent="0.25">
      <c r="A511" s="2" t="s">
        <v>828</v>
      </c>
      <c r="B511" s="3" t="s">
        <v>829</v>
      </c>
      <c r="C511" s="230" t="s">
        <v>830</v>
      </c>
      <c r="D511" s="225"/>
      <c r="E511" s="3" t="s">
        <v>69</v>
      </c>
      <c r="F511" s="28">
        <v>102.18</v>
      </c>
      <c r="G511" s="28">
        <v>0</v>
      </c>
      <c r="H511" s="28">
        <f>ROUND(F511*AO511,2)</f>
        <v>0</v>
      </c>
      <c r="I511" s="28">
        <f>ROUND(F511*AP511,2)</f>
        <v>0</v>
      </c>
      <c r="J511" s="28">
        <f>ROUND(F511*G511,2)</f>
        <v>0</v>
      </c>
      <c r="K511" s="29" t="s">
        <v>70</v>
      </c>
      <c r="Z511" s="28">
        <f>ROUND(IF(AQ511="5",BJ511,0),2)</f>
        <v>0</v>
      </c>
      <c r="AB511" s="28">
        <f>ROUND(IF(AQ511="1",BH511,0),2)</f>
        <v>0</v>
      </c>
      <c r="AC511" s="28">
        <f>ROUND(IF(AQ511="1",BI511,0),2)</f>
        <v>0</v>
      </c>
      <c r="AD511" s="28">
        <f>ROUND(IF(AQ511="7",BH511,0),2)</f>
        <v>0</v>
      </c>
      <c r="AE511" s="28">
        <f>ROUND(IF(AQ511="7",BI511,0),2)</f>
        <v>0</v>
      </c>
      <c r="AF511" s="28">
        <f>ROUND(IF(AQ511="2",BH511,0),2)</f>
        <v>0</v>
      </c>
      <c r="AG511" s="28">
        <f>ROUND(IF(AQ511="2",BI511,0),2)</f>
        <v>0</v>
      </c>
      <c r="AH511" s="28">
        <f>ROUND(IF(AQ511="0",BJ511,0),2)</f>
        <v>0</v>
      </c>
      <c r="AI511" s="10" t="s">
        <v>733</v>
      </c>
      <c r="AJ511" s="28">
        <f>IF(AN511=0,J511,0)</f>
        <v>0</v>
      </c>
      <c r="AK511" s="28">
        <f>IF(AN511=12,J511,0)</f>
        <v>0</v>
      </c>
      <c r="AL511" s="28">
        <f>IF(AN511=21,J511,0)</f>
        <v>0</v>
      </c>
      <c r="AN511" s="28">
        <v>21</v>
      </c>
      <c r="AO511" s="28">
        <f>G511*0.326186579</f>
        <v>0</v>
      </c>
      <c r="AP511" s="28">
        <f>G511*(1-0.326186579)</f>
        <v>0</v>
      </c>
      <c r="AQ511" s="30" t="s">
        <v>57</v>
      </c>
      <c r="AV511" s="28">
        <f>ROUND(AW511+AX511,2)</f>
        <v>0</v>
      </c>
      <c r="AW511" s="28">
        <f>ROUND(F511*AO511,2)</f>
        <v>0</v>
      </c>
      <c r="AX511" s="28">
        <f>ROUND(F511*AP511,2)</f>
        <v>0</v>
      </c>
      <c r="AY511" s="30" t="s">
        <v>71</v>
      </c>
      <c r="AZ511" s="30" t="s">
        <v>831</v>
      </c>
      <c r="BA511" s="10" t="s">
        <v>739</v>
      </c>
      <c r="BC511" s="28">
        <f>AW511+AX511</f>
        <v>0</v>
      </c>
      <c r="BD511" s="28">
        <f>G511/(100-BE511)*100</f>
        <v>0</v>
      </c>
      <c r="BE511" s="28">
        <v>0</v>
      </c>
      <c r="BF511" s="28">
        <f>511</f>
        <v>511</v>
      </c>
      <c r="BH511" s="28">
        <f>F511*AO511</f>
        <v>0</v>
      </c>
      <c r="BI511" s="28">
        <f>F511*AP511</f>
        <v>0</v>
      </c>
      <c r="BJ511" s="28">
        <f>F511*G511</f>
        <v>0</v>
      </c>
      <c r="BK511" s="28"/>
      <c r="BL511" s="28">
        <v>94</v>
      </c>
      <c r="BW511" s="28">
        <v>21</v>
      </c>
      <c r="BX511" s="4" t="s">
        <v>830</v>
      </c>
    </row>
    <row r="512" spans="1:76" x14ac:dyDescent="0.25">
      <c r="A512" s="31"/>
      <c r="C512" s="34" t="s">
        <v>832</v>
      </c>
      <c r="D512" s="33" t="s">
        <v>833</v>
      </c>
      <c r="F512" s="35">
        <v>102.18</v>
      </c>
      <c r="K512" s="36"/>
    </row>
    <row r="513" spans="1:76" x14ac:dyDescent="0.25">
      <c r="A513" s="24" t="s">
        <v>52</v>
      </c>
      <c r="B513" s="25" t="s">
        <v>52</v>
      </c>
      <c r="C513" s="246" t="s">
        <v>834</v>
      </c>
      <c r="D513" s="247"/>
      <c r="E513" s="26" t="s">
        <v>33</v>
      </c>
      <c r="F513" s="26" t="s">
        <v>33</v>
      </c>
      <c r="G513" s="26" t="s">
        <v>33</v>
      </c>
      <c r="H513" s="1">
        <f>H514+H529+H540+H550</f>
        <v>0</v>
      </c>
      <c r="I513" s="1">
        <f>I514+I529+I540+I550</f>
        <v>0</v>
      </c>
      <c r="J513" s="1">
        <f>J514+J529+J540+J550</f>
        <v>0</v>
      </c>
      <c r="K513" s="27" t="s">
        <v>52</v>
      </c>
    </row>
    <row r="514" spans="1:76" x14ac:dyDescent="0.25">
      <c r="A514" s="24" t="s">
        <v>52</v>
      </c>
      <c r="B514" s="25" t="s">
        <v>835</v>
      </c>
      <c r="C514" s="246" t="s">
        <v>836</v>
      </c>
      <c r="D514" s="247"/>
      <c r="E514" s="26" t="s">
        <v>33</v>
      </c>
      <c r="F514" s="26" t="s">
        <v>33</v>
      </c>
      <c r="G514" s="26" t="s">
        <v>33</v>
      </c>
      <c r="H514" s="1">
        <f>SUM(H515:H527)</f>
        <v>0</v>
      </c>
      <c r="I514" s="1">
        <f>SUM(I515:I527)</f>
        <v>0</v>
      </c>
      <c r="J514" s="1">
        <f>SUM(J515:J527)</f>
        <v>0</v>
      </c>
      <c r="K514" s="27" t="s">
        <v>52</v>
      </c>
      <c r="AI514" s="10" t="s">
        <v>837</v>
      </c>
      <c r="AS514" s="1">
        <f>SUM(AJ515:AJ527)</f>
        <v>0</v>
      </c>
      <c r="AT514" s="1">
        <f>SUM(AK515:AK527)</f>
        <v>0</v>
      </c>
      <c r="AU514" s="1">
        <f>SUM(AL515:AL527)</f>
        <v>0</v>
      </c>
    </row>
    <row r="515" spans="1:76" x14ac:dyDescent="0.25">
      <c r="A515" s="2" t="s">
        <v>838</v>
      </c>
      <c r="B515" s="3" t="s">
        <v>839</v>
      </c>
      <c r="C515" s="230" t="s">
        <v>840</v>
      </c>
      <c r="D515" s="225"/>
      <c r="E515" s="3" t="s">
        <v>205</v>
      </c>
      <c r="F515" s="28">
        <v>3.4</v>
      </c>
      <c r="G515" s="28">
        <v>0</v>
      </c>
      <c r="H515" s="28">
        <f>ROUND(F515*AO515,2)</f>
        <v>0</v>
      </c>
      <c r="I515" s="28">
        <f>ROUND(F515*AP515,2)</f>
        <v>0</v>
      </c>
      <c r="J515" s="28">
        <f>ROUND(F515*G515,2)</f>
        <v>0</v>
      </c>
      <c r="K515" s="29" t="s">
        <v>70</v>
      </c>
      <c r="Z515" s="28">
        <f>ROUND(IF(AQ515="5",BJ515,0),2)</f>
        <v>0</v>
      </c>
      <c r="AB515" s="28">
        <f>ROUND(IF(AQ515="1",BH515,0),2)</f>
        <v>0</v>
      </c>
      <c r="AC515" s="28">
        <f>ROUND(IF(AQ515="1",BI515,0),2)</f>
        <v>0</v>
      </c>
      <c r="AD515" s="28">
        <f>ROUND(IF(AQ515="7",BH515,0),2)</f>
        <v>0</v>
      </c>
      <c r="AE515" s="28">
        <f>ROUND(IF(AQ515="7",BI515,0),2)</f>
        <v>0</v>
      </c>
      <c r="AF515" s="28">
        <f>ROUND(IF(AQ515="2",BH515,0),2)</f>
        <v>0</v>
      </c>
      <c r="AG515" s="28">
        <f>ROUND(IF(AQ515="2",BI515,0),2)</f>
        <v>0</v>
      </c>
      <c r="AH515" s="28">
        <f>ROUND(IF(AQ515="0",BJ515,0),2)</f>
        <v>0</v>
      </c>
      <c r="AI515" s="10" t="s">
        <v>837</v>
      </c>
      <c r="AJ515" s="28">
        <f>IF(AN515=0,J515,0)</f>
        <v>0</v>
      </c>
      <c r="AK515" s="28">
        <f>IF(AN515=12,J515,0)</f>
        <v>0</v>
      </c>
      <c r="AL515" s="28">
        <f>IF(AN515=21,J515,0)</f>
        <v>0</v>
      </c>
      <c r="AN515" s="28">
        <v>21</v>
      </c>
      <c r="AO515" s="28">
        <f>G515*0</f>
        <v>0</v>
      </c>
      <c r="AP515" s="28">
        <f>G515*(1-0)</f>
        <v>0</v>
      </c>
      <c r="AQ515" s="30" t="s">
        <v>111</v>
      </c>
      <c r="AV515" s="28">
        <f>ROUND(AW515+AX515,2)</f>
        <v>0</v>
      </c>
      <c r="AW515" s="28">
        <f>ROUND(F515*AO515,2)</f>
        <v>0</v>
      </c>
      <c r="AX515" s="28">
        <f>ROUND(F515*AP515,2)</f>
        <v>0</v>
      </c>
      <c r="AY515" s="30" t="s">
        <v>841</v>
      </c>
      <c r="AZ515" s="30" t="s">
        <v>842</v>
      </c>
      <c r="BA515" s="10" t="s">
        <v>843</v>
      </c>
      <c r="BC515" s="28">
        <f>AW515+AX515</f>
        <v>0</v>
      </c>
      <c r="BD515" s="28">
        <f>G515/(100-BE515)*100</f>
        <v>0</v>
      </c>
      <c r="BE515" s="28">
        <v>0</v>
      </c>
      <c r="BF515" s="28">
        <f>515</f>
        <v>515</v>
      </c>
      <c r="BH515" s="28">
        <f>F515*AO515</f>
        <v>0</v>
      </c>
      <c r="BI515" s="28">
        <f>F515*AP515</f>
        <v>0</v>
      </c>
      <c r="BJ515" s="28">
        <f>F515*G515</f>
        <v>0</v>
      </c>
      <c r="BK515" s="28"/>
      <c r="BL515" s="28">
        <v>763</v>
      </c>
      <c r="BW515" s="28">
        <v>21</v>
      </c>
      <c r="BX515" s="4" t="s">
        <v>840</v>
      </c>
    </row>
    <row r="516" spans="1:76" ht="13.5" customHeight="1" x14ac:dyDescent="0.25">
      <c r="A516" s="31"/>
      <c r="C516" s="248" t="s">
        <v>844</v>
      </c>
      <c r="D516" s="249"/>
      <c r="E516" s="249"/>
      <c r="F516" s="249"/>
      <c r="G516" s="249"/>
      <c r="H516" s="249"/>
      <c r="I516" s="249"/>
      <c r="J516" s="249"/>
      <c r="K516" s="250"/>
    </row>
    <row r="517" spans="1:76" x14ac:dyDescent="0.25">
      <c r="A517" s="31"/>
      <c r="C517" s="34" t="s">
        <v>845</v>
      </c>
      <c r="D517" s="33" t="s">
        <v>846</v>
      </c>
      <c r="F517" s="35">
        <v>2.1</v>
      </c>
      <c r="K517" s="36"/>
    </row>
    <row r="518" spans="1:76" x14ac:dyDescent="0.25">
      <c r="A518" s="31"/>
      <c r="C518" s="34" t="s">
        <v>847</v>
      </c>
      <c r="D518" s="33" t="s">
        <v>848</v>
      </c>
      <c r="F518" s="35">
        <v>1.3</v>
      </c>
      <c r="K518" s="36"/>
    </row>
    <row r="519" spans="1:76" x14ac:dyDescent="0.25">
      <c r="A519" s="31"/>
      <c r="B519" s="37" t="s">
        <v>85</v>
      </c>
      <c r="C519" s="248" t="s">
        <v>849</v>
      </c>
      <c r="D519" s="249"/>
      <c r="E519" s="249"/>
      <c r="F519" s="249"/>
      <c r="G519" s="249"/>
      <c r="H519" s="249"/>
      <c r="I519" s="249"/>
      <c r="J519" s="249"/>
      <c r="K519" s="250"/>
      <c r="BX519" s="32" t="s">
        <v>849</v>
      </c>
    </row>
    <row r="520" spans="1:76" x14ac:dyDescent="0.25">
      <c r="A520" s="38" t="s">
        <v>850</v>
      </c>
      <c r="B520" s="39" t="s">
        <v>851</v>
      </c>
      <c r="C520" s="251" t="s">
        <v>852</v>
      </c>
      <c r="D520" s="252"/>
      <c r="E520" s="39" t="s">
        <v>205</v>
      </c>
      <c r="F520" s="41">
        <v>31.46</v>
      </c>
      <c r="G520" s="41">
        <v>0</v>
      </c>
      <c r="H520" s="41">
        <f>ROUND(F520*AO520,2)</f>
        <v>0</v>
      </c>
      <c r="I520" s="41">
        <f>ROUND(F520*AP520,2)</f>
        <v>0</v>
      </c>
      <c r="J520" s="41">
        <f>ROUND(F520*G520,2)</f>
        <v>0</v>
      </c>
      <c r="K520" s="42" t="s">
        <v>70</v>
      </c>
      <c r="Z520" s="28">
        <f>ROUND(IF(AQ520="5",BJ520,0),2)</f>
        <v>0</v>
      </c>
      <c r="AB520" s="28">
        <f>ROUND(IF(AQ520="1",BH520,0),2)</f>
        <v>0</v>
      </c>
      <c r="AC520" s="28">
        <f>ROUND(IF(AQ520="1",BI520,0),2)</f>
        <v>0</v>
      </c>
      <c r="AD520" s="28">
        <f>ROUND(IF(AQ520="7",BH520,0),2)</f>
        <v>0</v>
      </c>
      <c r="AE520" s="28">
        <f>ROUND(IF(AQ520="7",BI520,0),2)</f>
        <v>0</v>
      </c>
      <c r="AF520" s="28">
        <f>ROUND(IF(AQ520="2",BH520,0),2)</f>
        <v>0</v>
      </c>
      <c r="AG520" s="28">
        <f>ROUND(IF(AQ520="2",BI520,0),2)</f>
        <v>0</v>
      </c>
      <c r="AH520" s="28">
        <f>ROUND(IF(AQ520="0",BJ520,0),2)</f>
        <v>0</v>
      </c>
      <c r="AI520" s="10" t="s">
        <v>837</v>
      </c>
      <c r="AJ520" s="41">
        <f>IF(AN520=0,J520,0)</f>
        <v>0</v>
      </c>
      <c r="AK520" s="41">
        <f>IF(AN520=12,J520,0)</f>
        <v>0</v>
      </c>
      <c r="AL520" s="41">
        <f>IF(AN520=21,J520,0)</f>
        <v>0</v>
      </c>
      <c r="AN520" s="28">
        <v>21</v>
      </c>
      <c r="AO520" s="28">
        <f>G520*1</f>
        <v>0</v>
      </c>
      <c r="AP520" s="28">
        <f>G520*(1-1)</f>
        <v>0</v>
      </c>
      <c r="AQ520" s="43" t="s">
        <v>111</v>
      </c>
      <c r="AV520" s="28">
        <f>ROUND(AW520+AX520,2)</f>
        <v>0</v>
      </c>
      <c r="AW520" s="28">
        <f>ROUND(F520*AO520,2)</f>
        <v>0</v>
      </c>
      <c r="AX520" s="28">
        <f>ROUND(F520*AP520,2)</f>
        <v>0</v>
      </c>
      <c r="AY520" s="30" t="s">
        <v>841</v>
      </c>
      <c r="AZ520" s="30" t="s">
        <v>842</v>
      </c>
      <c r="BA520" s="10" t="s">
        <v>843</v>
      </c>
      <c r="BC520" s="28">
        <f>AW520+AX520</f>
        <v>0</v>
      </c>
      <c r="BD520" s="28">
        <f>G520/(100-BE520)*100</f>
        <v>0</v>
      </c>
      <c r="BE520" s="28">
        <v>0</v>
      </c>
      <c r="BF520" s="28">
        <f>520</f>
        <v>520</v>
      </c>
      <c r="BH520" s="41">
        <f>F520*AO520</f>
        <v>0</v>
      </c>
      <c r="BI520" s="41">
        <f>F520*AP520</f>
        <v>0</v>
      </c>
      <c r="BJ520" s="41">
        <f>F520*G520</f>
        <v>0</v>
      </c>
      <c r="BK520" s="41"/>
      <c r="BL520" s="28">
        <v>763</v>
      </c>
      <c r="BW520" s="28">
        <v>21</v>
      </c>
      <c r="BX520" s="40" t="s">
        <v>852</v>
      </c>
    </row>
    <row r="521" spans="1:76" x14ac:dyDescent="0.25">
      <c r="A521" s="31"/>
      <c r="C521" s="34" t="s">
        <v>853</v>
      </c>
      <c r="D521" s="33" t="s">
        <v>848</v>
      </c>
      <c r="F521" s="35">
        <v>28.6</v>
      </c>
      <c r="K521" s="36"/>
    </row>
    <row r="522" spans="1:76" x14ac:dyDescent="0.25">
      <c r="A522" s="31"/>
      <c r="C522" s="34" t="s">
        <v>854</v>
      </c>
      <c r="D522" s="33" t="s">
        <v>52</v>
      </c>
      <c r="F522" s="35">
        <v>2.86</v>
      </c>
      <c r="K522" s="36"/>
    </row>
    <row r="523" spans="1:76" x14ac:dyDescent="0.25">
      <c r="A523" s="31"/>
      <c r="B523" s="37" t="s">
        <v>85</v>
      </c>
      <c r="C523" s="248" t="s">
        <v>855</v>
      </c>
      <c r="D523" s="249"/>
      <c r="E523" s="249"/>
      <c r="F523" s="249"/>
      <c r="G523" s="249"/>
      <c r="H523" s="249"/>
      <c r="I523" s="249"/>
      <c r="J523" s="249"/>
      <c r="K523" s="250"/>
      <c r="BX523" s="44" t="s">
        <v>855</v>
      </c>
    </row>
    <row r="524" spans="1:76" x14ac:dyDescent="0.25">
      <c r="A524" s="38" t="s">
        <v>856</v>
      </c>
      <c r="B524" s="39" t="s">
        <v>857</v>
      </c>
      <c r="C524" s="251" t="s">
        <v>858</v>
      </c>
      <c r="D524" s="252"/>
      <c r="E524" s="39" t="s">
        <v>214</v>
      </c>
      <c r="F524" s="41">
        <v>0.24393999999999999</v>
      </c>
      <c r="G524" s="41">
        <v>0</v>
      </c>
      <c r="H524" s="41">
        <f>ROUND(F524*AO524,2)</f>
        <v>0</v>
      </c>
      <c r="I524" s="41">
        <f>ROUND(F524*AP524,2)</f>
        <v>0</v>
      </c>
      <c r="J524" s="41">
        <f>ROUND(F524*G524,2)</f>
        <v>0</v>
      </c>
      <c r="K524" s="42" t="s">
        <v>70</v>
      </c>
      <c r="Z524" s="28">
        <f>ROUND(IF(AQ524="5",BJ524,0),2)</f>
        <v>0</v>
      </c>
      <c r="AB524" s="28">
        <f>ROUND(IF(AQ524="1",BH524,0),2)</f>
        <v>0</v>
      </c>
      <c r="AC524" s="28">
        <f>ROUND(IF(AQ524="1",BI524,0),2)</f>
        <v>0</v>
      </c>
      <c r="AD524" s="28">
        <f>ROUND(IF(AQ524="7",BH524,0),2)</f>
        <v>0</v>
      </c>
      <c r="AE524" s="28">
        <f>ROUND(IF(AQ524="7",BI524,0),2)</f>
        <v>0</v>
      </c>
      <c r="AF524" s="28">
        <f>ROUND(IF(AQ524="2",BH524,0),2)</f>
        <v>0</v>
      </c>
      <c r="AG524" s="28">
        <f>ROUND(IF(AQ524="2",BI524,0),2)</f>
        <v>0</v>
      </c>
      <c r="AH524" s="28">
        <f>ROUND(IF(AQ524="0",BJ524,0),2)</f>
        <v>0</v>
      </c>
      <c r="AI524" s="10" t="s">
        <v>837</v>
      </c>
      <c r="AJ524" s="41">
        <f>IF(AN524=0,J524,0)</f>
        <v>0</v>
      </c>
      <c r="AK524" s="41">
        <f>IF(AN524=12,J524,0)</f>
        <v>0</v>
      </c>
      <c r="AL524" s="41">
        <f>IF(AN524=21,J524,0)</f>
        <v>0</v>
      </c>
      <c r="AN524" s="28">
        <v>21</v>
      </c>
      <c r="AO524" s="28">
        <f>G524*1</f>
        <v>0</v>
      </c>
      <c r="AP524" s="28">
        <f>G524*(1-1)</f>
        <v>0</v>
      </c>
      <c r="AQ524" s="43" t="s">
        <v>111</v>
      </c>
      <c r="AV524" s="28">
        <f>ROUND(AW524+AX524,2)</f>
        <v>0</v>
      </c>
      <c r="AW524" s="28">
        <f>ROUND(F524*AO524,2)</f>
        <v>0</v>
      </c>
      <c r="AX524" s="28">
        <f>ROUND(F524*AP524,2)</f>
        <v>0</v>
      </c>
      <c r="AY524" s="30" t="s">
        <v>841</v>
      </c>
      <c r="AZ524" s="30" t="s">
        <v>842</v>
      </c>
      <c r="BA524" s="10" t="s">
        <v>843</v>
      </c>
      <c r="BC524" s="28">
        <f>AW524+AX524</f>
        <v>0</v>
      </c>
      <c r="BD524" s="28">
        <f>G524/(100-BE524)*100</f>
        <v>0</v>
      </c>
      <c r="BE524" s="28">
        <v>0</v>
      </c>
      <c r="BF524" s="28">
        <f>524</f>
        <v>524</v>
      </c>
      <c r="BH524" s="41">
        <f>F524*AO524</f>
        <v>0</v>
      </c>
      <c r="BI524" s="41">
        <f>F524*AP524</f>
        <v>0</v>
      </c>
      <c r="BJ524" s="41">
        <f>F524*G524</f>
        <v>0</v>
      </c>
      <c r="BK524" s="41"/>
      <c r="BL524" s="28">
        <v>763</v>
      </c>
      <c r="BW524" s="28">
        <v>21</v>
      </c>
      <c r="BX524" s="40" t="s">
        <v>858</v>
      </c>
    </row>
    <row r="525" spans="1:76" x14ac:dyDescent="0.25">
      <c r="A525" s="31"/>
      <c r="C525" s="34" t="s">
        <v>859</v>
      </c>
      <c r="D525" s="33" t="s">
        <v>846</v>
      </c>
      <c r="F525" s="35">
        <v>0.22176000000000001</v>
      </c>
      <c r="K525" s="36"/>
    </row>
    <row r="526" spans="1:76" x14ac:dyDescent="0.25">
      <c r="A526" s="31"/>
      <c r="C526" s="34" t="s">
        <v>860</v>
      </c>
      <c r="D526" s="33" t="s">
        <v>52</v>
      </c>
      <c r="F526" s="35">
        <v>2.2179999999999998E-2</v>
      </c>
      <c r="K526" s="36"/>
    </row>
    <row r="527" spans="1:76" x14ac:dyDescent="0.25">
      <c r="A527" s="2" t="s">
        <v>861</v>
      </c>
      <c r="B527" s="3" t="s">
        <v>862</v>
      </c>
      <c r="C527" s="230" t="s">
        <v>863</v>
      </c>
      <c r="D527" s="225"/>
      <c r="E527" s="3" t="s">
        <v>380</v>
      </c>
      <c r="F527" s="28">
        <v>29.43</v>
      </c>
      <c r="G527" s="28">
        <v>0</v>
      </c>
      <c r="H527" s="28">
        <f>ROUND(F527*AO527,2)</f>
        <v>0</v>
      </c>
      <c r="I527" s="28">
        <f>ROUND(F527*AP527,2)</f>
        <v>0</v>
      </c>
      <c r="J527" s="28">
        <f>ROUND(F527*G527,2)</f>
        <v>0</v>
      </c>
      <c r="K527" s="29" t="s">
        <v>70</v>
      </c>
      <c r="Z527" s="28">
        <f>ROUND(IF(AQ527="5",BJ527,0),2)</f>
        <v>0</v>
      </c>
      <c r="AB527" s="28">
        <f>ROUND(IF(AQ527="1",BH527,0),2)</f>
        <v>0</v>
      </c>
      <c r="AC527" s="28">
        <f>ROUND(IF(AQ527="1",BI527,0),2)</f>
        <v>0</v>
      </c>
      <c r="AD527" s="28">
        <f>ROUND(IF(AQ527="7",BH527,0),2)</f>
        <v>0</v>
      </c>
      <c r="AE527" s="28">
        <f>ROUND(IF(AQ527="7",BI527,0),2)</f>
        <v>0</v>
      </c>
      <c r="AF527" s="28">
        <f>ROUND(IF(AQ527="2",BH527,0),2)</f>
        <v>0</v>
      </c>
      <c r="AG527" s="28">
        <f>ROUND(IF(AQ527="2",BI527,0),2)</f>
        <v>0</v>
      </c>
      <c r="AH527" s="28">
        <f>ROUND(IF(AQ527="0",BJ527,0),2)</f>
        <v>0</v>
      </c>
      <c r="AI527" s="10" t="s">
        <v>837</v>
      </c>
      <c r="AJ527" s="28">
        <f>IF(AN527=0,J527,0)</f>
        <v>0</v>
      </c>
      <c r="AK527" s="28">
        <f>IF(AN527=12,J527,0)</f>
        <v>0</v>
      </c>
      <c r="AL527" s="28">
        <f>IF(AN527=21,J527,0)</f>
        <v>0</v>
      </c>
      <c r="AN527" s="28">
        <v>21</v>
      </c>
      <c r="AO527" s="28">
        <f>G527*0</f>
        <v>0</v>
      </c>
      <c r="AP527" s="28">
        <f>G527*(1-0)</f>
        <v>0</v>
      </c>
      <c r="AQ527" s="30" t="s">
        <v>91</v>
      </c>
      <c r="AV527" s="28">
        <f>ROUND(AW527+AX527,2)</f>
        <v>0</v>
      </c>
      <c r="AW527" s="28">
        <f>ROUND(F527*AO527,2)</f>
        <v>0</v>
      </c>
      <c r="AX527" s="28">
        <f>ROUND(F527*AP527,2)</f>
        <v>0</v>
      </c>
      <c r="AY527" s="30" t="s">
        <v>841</v>
      </c>
      <c r="AZ527" s="30" t="s">
        <v>842</v>
      </c>
      <c r="BA527" s="10" t="s">
        <v>843</v>
      </c>
      <c r="BC527" s="28">
        <f>AW527+AX527</f>
        <v>0</v>
      </c>
      <c r="BD527" s="28">
        <f>G527/(100-BE527)*100</f>
        <v>0</v>
      </c>
      <c r="BE527" s="28">
        <v>0</v>
      </c>
      <c r="BF527" s="28">
        <f>527</f>
        <v>527</v>
      </c>
      <c r="BH527" s="28">
        <f>F527*AO527</f>
        <v>0</v>
      </c>
      <c r="BI527" s="28">
        <f>F527*AP527</f>
        <v>0</v>
      </c>
      <c r="BJ527" s="28">
        <f>F527*G527</f>
        <v>0</v>
      </c>
      <c r="BK527" s="28"/>
      <c r="BL527" s="28">
        <v>763</v>
      </c>
      <c r="BW527" s="28">
        <v>21</v>
      </c>
      <c r="BX527" s="4" t="s">
        <v>863</v>
      </c>
    </row>
    <row r="528" spans="1:76" x14ac:dyDescent="0.25">
      <c r="A528" s="31"/>
      <c r="C528" s="34" t="s">
        <v>864</v>
      </c>
      <c r="D528" s="33" t="s">
        <v>52</v>
      </c>
      <c r="F528" s="35">
        <v>29.43</v>
      </c>
      <c r="K528" s="36"/>
    </row>
    <row r="529" spans="1:76" x14ac:dyDescent="0.25">
      <c r="A529" s="24" t="s">
        <v>52</v>
      </c>
      <c r="B529" s="25" t="s">
        <v>245</v>
      </c>
      <c r="C529" s="246" t="s">
        <v>246</v>
      </c>
      <c r="D529" s="247"/>
      <c r="E529" s="26" t="s">
        <v>33</v>
      </c>
      <c r="F529" s="26" t="s">
        <v>33</v>
      </c>
      <c r="G529" s="26" t="s">
        <v>33</v>
      </c>
      <c r="H529" s="1">
        <f>SUM(H530:H538)</f>
        <v>0</v>
      </c>
      <c r="I529" s="1">
        <f>SUM(I530:I538)</f>
        <v>0</v>
      </c>
      <c r="J529" s="1">
        <f>SUM(J530:J538)</f>
        <v>0</v>
      </c>
      <c r="K529" s="27" t="s">
        <v>52</v>
      </c>
      <c r="AI529" s="10" t="s">
        <v>837</v>
      </c>
      <c r="AS529" s="1">
        <f>SUM(AJ530:AJ538)</f>
        <v>0</v>
      </c>
      <c r="AT529" s="1">
        <f>SUM(AK530:AK538)</f>
        <v>0</v>
      </c>
      <c r="AU529" s="1">
        <f>SUM(AL530:AL538)</f>
        <v>0</v>
      </c>
    </row>
    <row r="530" spans="1:76" x14ac:dyDescent="0.25">
      <c r="A530" s="2" t="s">
        <v>865</v>
      </c>
      <c r="B530" s="3" t="s">
        <v>866</v>
      </c>
      <c r="C530" s="230" t="s">
        <v>867</v>
      </c>
      <c r="D530" s="225"/>
      <c r="E530" s="3" t="s">
        <v>308</v>
      </c>
      <c r="F530" s="28">
        <v>22</v>
      </c>
      <c r="G530" s="28">
        <v>0</v>
      </c>
      <c r="H530" s="28">
        <f>ROUND(F530*AO530,2)</f>
        <v>0</v>
      </c>
      <c r="I530" s="28">
        <f>ROUND(F530*AP530,2)</f>
        <v>0</v>
      </c>
      <c r="J530" s="28">
        <f>ROUND(F530*G530,2)</f>
        <v>0</v>
      </c>
      <c r="K530" s="29" t="s">
        <v>70</v>
      </c>
      <c r="Z530" s="28">
        <f>ROUND(IF(AQ530="5",BJ530,0),2)</f>
        <v>0</v>
      </c>
      <c r="AB530" s="28">
        <f>ROUND(IF(AQ530="1",BH530,0),2)</f>
        <v>0</v>
      </c>
      <c r="AC530" s="28">
        <f>ROUND(IF(AQ530="1",BI530,0),2)</f>
        <v>0</v>
      </c>
      <c r="AD530" s="28">
        <f>ROUND(IF(AQ530="7",BH530,0),2)</f>
        <v>0</v>
      </c>
      <c r="AE530" s="28">
        <f>ROUND(IF(AQ530="7",BI530,0),2)</f>
        <v>0</v>
      </c>
      <c r="AF530" s="28">
        <f>ROUND(IF(AQ530="2",BH530,0),2)</f>
        <v>0</v>
      </c>
      <c r="AG530" s="28">
        <f>ROUND(IF(AQ530="2",BI530,0),2)</f>
        <v>0</v>
      </c>
      <c r="AH530" s="28">
        <f>ROUND(IF(AQ530="0",BJ530,0),2)</f>
        <v>0</v>
      </c>
      <c r="AI530" s="10" t="s">
        <v>837</v>
      </c>
      <c r="AJ530" s="28">
        <f>IF(AN530=0,J530,0)</f>
        <v>0</v>
      </c>
      <c r="AK530" s="28">
        <f>IF(AN530=12,J530,0)</f>
        <v>0</v>
      </c>
      <c r="AL530" s="28">
        <f>IF(AN530=21,J530,0)</f>
        <v>0</v>
      </c>
      <c r="AN530" s="28">
        <v>21</v>
      </c>
      <c r="AO530" s="28">
        <f>G530*0.331203236</f>
        <v>0</v>
      </c>
      <c r="AP530" s="28">
        <f>G530*(1-0.331203236)</f>
        <v>0</v>
      </c>
      <c r="AQ530" s="30" t="s">
        <v>111</v>
      </c>
      <c r="AV530" s="28">
        <f>ROUND(AW530+AX530,2)</f>
        <v>0</v>
      </c>
      <c r="AW530" s="28">
        <f>ROUND(F530*AO530,2)</f>
        <v>0</v>
      </c>
      <c r="AX530" s="28">
        <f>ROUND(F530*AP530,2)</f>
        <v>0</v>
      </c>
      <c r="AY530" s="30" t="s">
        <v>250</v>
      </c>
      <c r="AZ530" s="30" t="s">
        <v>842</v>
      </c>
      <c r="BA530" s="10" t="s">
        <v>843</v>
      </c>
      <c r="BC530" s="28">
        <f>AW530+AX530</f>
        <v>0</v>
      </c>
      <c r="BD530" s="28">
        <f>G530/(100-BE530)*100</f>
        <v>0</v>
      </c>
      <c r="BE530" s="28">
        <v>0</v>
      </c>
      <c r="BF530" s="28">
        <f>530</f>
        <v>530</v>
      </c>
      <c r="BH530" s="28">
        <f>F530*AO530</f>
        <v>0</v>
      </c>
      <c r="BI530" s="28">
        <f>F530*AP530</f>
        <v>0</v>
      </c>
      <c r="BJ530" s="28">
        <f>F530*G530</f>
        <v>0</v>
      </c>
      <c r="BK530" s="28"/>
      <c r="BL530" s="28">
        <v>764</v>
      </c>
      <c r="BW530" s="28">
        <v>21</v>
      </c>
      <c r="BX530" s="4" t="s">
        <v>867</v>
      </c>
    </row>
    <row r="531" spans="1:76" ht="13.5" customHeight="1" x14ac:dyDescent="0.25">
      <c r="A531" s="31"/>
      <c r="C531" s="248" t="s">
        <v>868</v>
      </c>
      <c r="D531" s="249"/>
      <c r="E531" s="249"/>
      <c r="F531" s="249"/>
      <c r="G531" s="249"/>
      <c r="H531" s="249"/>
      <c r="I531" s="249"/>
      <c r="J531" s="249"/>
      <c r="K531" s="250"/>
    </row>
    <row r="532" spans="1:76" x14ac:dyDescent="0.25">
      <c r="A532" s="31"/>
      <c r="C532" s="34" t="s">
        <v>176</v>
      </c>
      <c r="D532" s="33" t="s">
        <v>869</v>
      </c>
      <c r="F532" s="35">
        <v>22</v>
      </c>
      <c r="K532" s="36"/>
    </row>
    <row r="533" spans="1:76" x14ac:dyDescent="0.25">
      <c r="A533" s="31"/>
      <c r="B533" s="37" t="s">
        <v>85</v>
      </c>
      <c r="C533" s="248" t="s">
        <v>870</v>
      </c>
      <c r="D533" s="249"/>
      <c r="E533" s="249"/>
      <c r="F533" s="249"/>
      <c r="G533" s="249"/>
      <c r="H533" s="249"/>
      <c r="I533" s="249"/>
      <c r="J533" s="249"/>
      <c r="K533" s="250"/>
      <c r="BX533" s="32" t="s">
        <v>870</v>
      </c>
    </row>
    <row r="534" spans="1:76" x14ac:dyDescent="0.25">
      <c r="A534" s="2" t="s">
        <v>871</v>
      </c>
      <c r="B534" s="3" t="s">
        <v>872</v>
      </c>
      <c r="C534" s="230" t="s">
        <v>873</v>
      </c>
      <c r="D534" s="225"/>
      <c r="E534" s="3" t="s">
        <v>308</v>
      </c>
      <c r="F534" s="28">
        <v>88</v>
      </c>
      <c r="G534" s="28">
        <v>0</v>
      </c>
      <c r="H534" s="28">
        <f>ROUND(F534*AO534,2)</f>
        <v>0</v>
      </c>
      <c r="I534" s="28">
        <f>ROUND(F534*AP534,2)</f>
        <v>0</v>
      </c>
      <c r="J534" s="28">
        <f>ROUND(F534*G534,2)</f>
        <v>0</v>
      </c>
      <c r="K534" s="29" t="s">
        <v>70</v>
      </c>
      <c r="Z534" s="28">
        <f>ROUND(IF(AQ534="5",BJ534,0),2)</f>
        <v>0</v>
      </c>
      <c r="AB534" s="28">
        <f>ROUND(IF(AQ534="1",BH534,0),2)</f>
        <v>0</v>
      </c>
      <c r="AC534" s="28">
        <f>ROUND(IF(AQ534="1",BI534,0),2)</f>
        <v>0</v>
      </c>
      <c r="AD534" s="28">
        <f>ROUND(IF(AQ534="7",BH534,0),2)</f>
        <v>0</v>
      </c>
      <c r="AE534" s="28">
        <f>ROUND(IF(AQ534="7",BI534,0),2)</f>
        <v>0</v>
      </c>
      <c r="AF534" s="28">
        <f>ROUND(IF(AQ534="2",BH534,0),2)</f>
        <v>0</v>
      </c>
      <c r="AG534" s="28">
        <f>ROUND(IF(AQ534="2",BI534,0),2)</f>
        <v>0</v>
      </c>
      <c r="AH534" s="28">
        <f>ROUND(IF(AQ534="0",BJ534,0),2)</f>
        <v>0</v>
      </c>
      <c r="AI534" s="10" t="s">
        <v>837</v>
      </c>
      <c r="AJ534" s="28">
        <f>IF(AN534=0,J534,0)</f>
        <v>0</v>
      </c>
      <c r="AK534" s="28">
        <f>IF(AN534=12,J534,0)</f>
        <v>0</v>
      </c>
      <c r="AL534" s="28">
        <f>IF(AN534=21,J534,0)</f>
        <v>0</v>
      </c>
      <c r="AN534" s="28">
        <v>21</v>
      </c>
      <c r="AO534" s="28">
        <f>G534*0.331203236</f>
        <v>0</v>
      </c>
      <c r="AP534" s="28">
        <f>G534*(1-0.331203236)</f>
        <v>0</v>
      </c>
      <c r="AQ534" s="30" t="s">
        <v>111</v>
      </c>
      <c r="AV534" s="28">
        <f>ROUND(AW534+AX534,2)</f>
        <v>0</v>
      </c>
      <c r="AW534" s="28">
        <f>ROUND(F534*AO534,2)</f>
        <v>0</v>
      </c>
      <c r="AX534" s="28">
        <f>ROUND(F534*AP534,2)</f>
        <v>0</v>
      </c>
      <c r="AY534" s="30" t="s">
        <v>250</v>
      </c>
      <c r="AZ534" s="30" t="s">
        <v>842</v>
      </c>
      <c r="BA534" s="10" t="s">
        <v>843</v>
      </c>
      <c r="BC534" s="28">
        <f>AW534+AX534</f>
        <v>0</v>
      </c>
      <c r="BD534" s="28">
        <f>G534/(100-BE534)*100</f>
        <v>0</v>
      </c>
      <c r="BE534" s="28">
        <v>0</v>
      </c>
      <c r="BF534" s="28">
        <f>534</f>
        <v>534</v>
      </c>
      <c r="BH534" s="28">
        <f>F534*AO534</f>
        <v>0</v>
      </c>
      <c r="BI534" s="28">
        <f>F534*AP534</f>
        <v>0</v>
      </c>
      <c r="BJ534" s="28">
        <f>F534*G534</f>
        <v>0</v>
      </c>
      <c r="BK534" s="28"/>
      <c r="BL534" s="28">
        <v>764</v>
      </c>
      <c r="BW534" s="28">
        <v>21</v>
      </c>
      <c r="BX534" s="4" t="s">
        <v>873</v>
      </c>
    </row>
    <row r="535" spans="1:76" ht="13.5" customHeight="1" x14ac:dyDescent="0.25">
      <c r="A535" s="31"/>
      <c r="C535" s="248" t="s">
        <v>868</v>
      </c>
      <c r="D535" s="249"/>
      <c r="E535" s="249"/>
      <c r="F535" s="249"/>
      <c r="G535" s="249"/>
      <c r="H535" s="249"/>
      <c r="I535" s="249"/>
      <c r="J535" s="249"/>
      <c r="K535" s="250"/>
    </row>
    <row r="536" spans="1:76" x14ac:dyDescent="0.25">
      <c r="A536" s="31"/>
      <c r="C536" s="34" t="s">
        <v>874</v>
      </c>
      <c r="D536" s="33" t="s">
        <v>875</v>
      </c>
      <c r="F536" s="35">
        <v>88</v>
      </c>
      <c r="K536" s="36"/>
    </row>
    <row r="537" spans="1:76" x14ac:dyDescent="0.25">
      <c r="A537" s="31"/>
      <c r="B537" s="37" t="s">
        <v>85</v>
      </c>
      <c r="C537" s="248" t="s">
        <v>870</v>
      </c>
      <c r="D537" s="249"/>
      <c r="E537" s="249"/>
      <c r="F537" s="249"/>
      <c r="G537" s="249"/>
      <c r="H537" s="249"/>
      <c r="I537" s="249"/>
      <c r="J537" s="249"/>
      <c r="K537" s="250"/>
      <c r="BX537" s="32" t="s">
        <v>870</v>
      </c>
    </row>
    <row r="538" spans="1:76" x14ac:dyDescent="0.25">
      <c r="A538" s="2" t="s">
        <v>876</v>
      </c>
      <c r="B538" s="3" t="s">
        <v>640</v>
      </c>
      <c r="C538" s="230" t="s">
        <v>641</v>
      </c>
      <c r="D538" s="225"/>
      <c r="E538" s="3" t="s">
        <v>380</v>
      </c>
      <c r="F538" s="28">
        <v>870</v>
      </c>
      <c r="G538" s="28">
        <v>0</v>
      </c>
      <c r="H538" s="28">
        <f>ROUND(F538*AO538,2)</f>
        <v>0</v>
      </c>
      <c r="I538" s="28">
        <f>ROUND(F538*AP538,2)</f>
        <v>0</v>
      </c>
      <c r="J538" s="28">
        <f>ROUND(F538*G538,2)</f>
        <v>0</v>
      </c>
      <c r="K538" s="29" t="s">
        <v>70</v>
      </c>
      <c r="Z538" s="28">
        <f>ROUND(IF(AQ538="5",BJ538,0),2)</f>
        <v>0</v>
      </c>
      <c r="AB538" s="28">
        <f>ROUND(IF(AQ538="1",BH538,0),2)</f>
        <v>0</v>
      </c>
      <c r="AC538" s="28">
        <f>ROUND(IF(AQ538="1",BI538,0),2)</f>
        <v>0</v>
      </c>
      <c r="AD538" s="28">
        <f>ROUND(IF(AQ538="7",BH538,0),2)</f>
        <v>0</v>
      </c>
      <c r="AE538" s="28">
        <f>ROUND(IF(AQ538="7",BI538,0),2)</f>
        <v>0</v>
      </c>
      <c r="AF538" s="28">
        <f>ROUND(IF(AQ538="2",BH538,0),2)</f>
        <v>0</v>
      </c>
      <c r="AG538" s="28">
        <f>ROUND(IF(AQ538="2",BI538,0),2)</f>
        <v>0</v>
      </c>
      <c r="AH538" s="28">
        <f>ROUND(IF(AQ538="0",BJ538,0),2)</f>
        <v>0</v>
      </c>
      <c r="AI538" s="10" t="s">
        <v>837</v>
      </c>
      <c r="AJ538" s="28">
        <f>IF(AN538=0,J538,0)</f>
        <v>0</v>
      </c>
      <c r="AK538" s="28">
        <f>IF(AN538=12,J538,0)</f>
        <v>0</v>
      </c>
      <c r="AL538" s="28">
        <f>IF(AN538=21,J538,0)</f>
        <v>0</v>
      </c>
      <c r="AN538" s="28">
        <v>21</v>
      </c>
      <c r="AO538" s="28">
        <f>G538*0</f>
        <v>0</v>
      </c>
      <c r="AP538" s="28">
        <f>G538*(1-0)</f>
        <v>0</v>
      </c>
      <c r="AQ538" s="30" t="s">
        <v>91</v>
      </c>
      <c r="AV538" s="28">
        <f>ROUND(AW538+AX538,2)</f>
        <v>0</v>
      </c>
      <c r="AW538" s="28">
        <f>ROUND(F538*AO538,2)</f>
        <v>0</v>
      </c>
      <c r="AX538" s="28">
        <f>ROUND(F538*AP538,2)</f>
        <v>0</v>
      </c>
      <c r="AY538" s="30" t="s">
        <v>250</v>
      </c>
      <c r="AZ538" s="30" t="s">
        <v>842</v>
      </c>
      <c r="BA538" s="10" t="s">
        <v>843</v>
      </c>
      <c r="BC538" s="28">
        <f>AW538+AX538</f>
        <v>0</v>
      </c>
      <c r="BD538" s="28">
        <f>G538/(100-BE538)*100</f>
        <v>0</v>
      </c>
      <c r="BE538" s="28">
        <v>0</v>
      </c>
      <c r="BF538" s="28">
        <f>538</f>
        <v>538</v>
      </c>
      <c r="BH538" s="28">
        <f>F538*AO538</f>
        <v>0</v>
      </c>
      <c r="BI538" s="28">
        <f>F538*AP538</f>
        <v>0</v>
      </c>
      <c r="BJ538" s="28">
        <f>F538*G538</f>
        <v>0</v>
      </c>
      <c r="BK538" s="28"/>
      <c r="BL538" s="28">
        <v>764</v>
      </c>
      <c r="BW538" s="28">
        <v>21</v>
      </c>
      <c r="BX538" s="4" t="s">
        <v>641</v>
      </c>
    </row>
    <row r="539" spans="1:76" x14ac:dyDescent="0.25">
      <c r="A539" s="31"/>
      <c r="C539" s="34" t="s">
        <v>877</v>
      </c>
      <c r="D539" s="33" t="s">
        <v>52</v>
      </c>
      <c r="F539" s="35">
        <v>870</v>
      </c>
      <c r="K539" s="36"/>
    </row>
    <row r="540" spans="1:76" x14ac:dyDescent="0.25">
      <c r="A540" s="24" t="s">
        <v>52</v>
      </c>
      <c r="B540" s="25" t="s">
        <v>878</v>
      </c>
      <c r="C540" s="246" t="s">
        <v>879</v>
      </c>
      <c r="D540" s="247"/>
      <c r="E540" s="26" t="s">
        <v>33</v>
      </c>
      <c r="F540" s="26" t="s">
        <v>33</v>
      </c>
      <c r="G540" s="26" t="s">
        <v>33</v>
      </c>
      <c r="H540" s="1">
        <f>SUM(H541:H548)</f>
        <v>0</v>
      </c>
      <c r="I540" s="1">
        <f>SUM(I541:I548)</f>
        <v>0</v>
      </c>
      <c r="J540" s="1">
        <f>SUM(J541:J548)</f>
        <v>0</v>
      </c>
      <c r="K540" s="27" t="s">
        <v>52</v>
      </c>
      <c r="AI540" s="10" t="s">
        <v>837</v>
      </c>
      <c r="AS540" s="1">
        <f>SUM(AJ541:AJ548)</f>
        <v>0</v>
      </c>
      <c r="AT540" s="1">
        <f>SUM(AK541:AK548)</f>
        <v>0</v>
      </c>
      <c r="AU540" s="1">
        <f>SUM(AL541:AL548)</f>
        <v>0</v>
      </c>
    </row>
    <row r="541" spans="1:76" x14ac:dyDescent="0.25">
      <c r="A541" s="2" t="s">
        <v>880</v>
      </c>
      <c r="B541" s="3" t="s">
        <v>881</v>
      </c>
      <c r="C541" s="230" t="s">
        <v>882</v>
      </c>
      <c r="D541" s="225"/>
      <c r="E541" s="3" t="s">
        <v>883</v>
      </c>
      <c r="F541" s="28">
        <v>86</v>
      </c>
      <c r="G541" s="28">
        <v>0</v>
      </c>
      <c r="H541" s="28">
        <f>ROUND(F541*AO541,2)</f>
        <v>0</v>
      </c>
      <c r="I541" s="28">
        <f>ROUND(F541*AP541,2)</f>
        <v>0</v>
      </c>
      <c r="J541" s="28">
        <f>ROUND(F541*G541,2)</f>
        <v>0</v>
      </c>
      <c r="K541" s="29" t="s">
        <v>70</v>
      </c>
      <c r="Z541" s="28">
        <f>ROUND(IF(AQ541="5",BJ541,0),2)</f>
        <v>0</v>
      </c>
      <c r="AB541" s="28">
        <f>ROUND(IF(AQ541="1",BH541,0),2)</f>
        <v>0</v>
      </c>
      <c r="AC541" s="28">
        <f>ROUND(IF(AQ541="1",BI541,0),2)</f>
        <v>0</v>
      </c>
      <c r="AD541" s="28">
        <f>ROUND(IF(AQ541="7",BH541,0),2)</f>
        <v>0</v>
      </c>
      <c r="AE541" s="28">
        <f>ROUND(IF(AQ541="7",BI541,0),2)</f>
        <v>0</v>
      </c>
      <c r="AF541" s="28">
        <f>ROUND(IF(AQ541="2",BH541,0),2)</f>
        <v>0</v>
      </c>
      <c r="AG541" s="28">
        <f>ROUND(IF(AQ541="2",BI541,0),2)</f>
        <v>0</v>
      </c>
      <c r="AH541" s="28">
        <f>ROUND(IF(AQ541="0",BJ541,0),2)</f>
        <v>0</v>
      </c>
      <c r="AI541" s="10" t="s">
        <v>837</v>
      </c>
      <c r="AJ541" s="28">
        <f>IF(AN541=0,J541,0)</f>
        <v>0</v>
      </c>
      <c r="AK541" s="28">
        <f>IF(AN541=12,J541,0)</f>
        <v>0</v>
      </c>
      <c r="AL541" s="28">
        <f>IF(AN541=21,J541,0)</f>
        <v>0</v>
      </c>
      <c r="AN541" s="28">
        <v>21</v>
      </c>
      <c r="AO541" s="28">
        <f>G541*0.040481722</f>
        <v>0</v>
      </c>
      <c r="AP541" s="28">
        <f>G541*(1-0.040481722)</f>
        <v>0</v>
      </c>
      <c r="AQ541" s="30" t="s">
        <v>111</v>
      </c>
      <c r="AV541" s="28">
        <f>ROUND(AW541+AX541,2)</f>
        <v>0</v>
      </c>
      <c r="AW541" s="28">
        <f>ROUND(F541*AO541,2)</f>
        <v>0</v>
      </c>
      <c r="AX541" s="28">
        <f>ROUND(F541*AP541,2)</f>
        <v>0</v>
      </c>
      <c r="AY541" s="30" t="s">
        <v>884</v>
      </c>
      <c r="AZ541" s="30" t="s">
        <v>842</v>
      </c>
      <c r="BA541" s="10" t="s">
        <v>843</v>
      </c>
      <c r="BC541" s="28">
        <f>AW541+AX541</f>
        <v>0</v>
      </c>
      <c r="BD541" s="28">
        <f>G541/(100-BE541)*100</f>
        <v>0</v>
      </c>
      <c r="BE541" s="28">
        <v>0</v>
      </c>
      <c r="BF541" s="28">
        <f>541</f>
        <v>541</v>
      </c>
      <c r="BH541" s="28">
        <f>F541*AO541</f>
        <v>0</v>
      </c>
      <c r="BI541" s="28">
        <f>F541*AP541</f>
        <v>0</v>
      </c>
      <c r="BJ541" s="28">
        <f>F541*G541</f>
        <v>0</v>
      </c>
      <c r="BK541" s="28"/>
      <c r="BL541" s="28">
        <v>767</v>
      </c>
      <c r="BW541" s="28">
        <v>21</v>
      </c>
      <c r="BX541" s="4" t="s">
        <v>882</v>
      </c>
    </row>
    <row r="542" spans="1:76" x14ac:dyDescent="0.25">
      <c r="A542" s="31"/>
      <c r="C542" s="34" t="s">
        <v>120</v>
      </c>
      <c r="D542" s="33" t="s">
        <v>885</v>
      </c>
      <c r="F542" s="35">
        <v>10</v>
      </c>
      <c r="K542" s="36"/>
    </row>
    <row r="543" spans="1:76" x14ac:dyDescent="0.25">
      <c r="A543" s="31"/>
      <c r="C543" s="34" t="s">
        <v>491</v>
      </c>
      <c r="D543" s="33" t="s">
        <v>886</v>
      </c>
      <c r="F543" s="35">
        <v>76</v>
      </c>
      <c r="K543" s="36"/>
    </row>
    <row r="544" spans="1:76" x14ac:dyDescent="0.25">
      <c r="A544" s="38" t="s">
        <v>887</v>
      </c>
      <c r="B544" s="39" t="s">
        <v>888</v>
      </c>
      <c r="C544" s="251" t="s">
        <v>889</v>
      </c>
      <c r="D544" s="252"/>
      <c r="E544" s="39" t="s">
        <v>308</v>
      </c>
      <c r="F544" s="41">
        <v>86</v>
      </c>
      <c r="G544" s="41">
        <v>0</v>
      </c>
      <c r="H544" s="41">
        <f>ROUND(F544*AO544,2)</f>
        <v>0</v>
      </c>
      <c r="I544" s="41">
        <f>ROUND(F544*AP544,2)</f>
        <v>0</v>
      </c>
      <c r="J544" s="41">
        <f>ROUND(F544*G544,2)</f>
        <v>0</v>
      </c>
      <c r="K544" s="42" t="s">
        <v>782</v>
      </c>
      <c r="Z544" s="28">
        <f>ROUND(IF(AQ544="5",BJ544,0),2)</f>
        <v>0</v>
      </c>
      <c r="AB544" s="28">
        <f>ROUND(IF(AQ544="1",BH544,0),2)</f>
        <v>0</v>
      </c>
      <c r="AC544" s="28">
        <f>ROUND(IF(AQ544="1",BI544,0),2)</f>
        <v>0</v>
      </c>
      <c r="AD544" s="28">
        <f>ROUND(IF(AQ544="7",BH544,0),2)</f>
        <v>0</v>
      </c>
      <c r="AE544" s="28">
        <f>ROUND(IF(AQ544="7",BI544,0),2)</f>
        <v>0</v>
      </c>
      <c r="AF544" s="28">
        <f>ROUND(IF(AQ544="2",BH544,0),2)</f>
        <v>0</v>
      </c>
      <c r="AG544" s="28">
        <f>ROUND(IF(AQ544="2",BI544,0),2)</f>
        <v>0</v>
      </c>
      <c r="AH544" s="28">
        <f>ROUND(IF(AQ544="0",BJ544,0),2)</f>
        <v>0</v>
      </c>
      <c r="AI544" s="10" t="s">
        <v>837</v>
      </c>
      <c r="AJ544" s="41">
        <f>IF(AN544=0,J544,0)</f>
        <v>0</v>
      </c>
      <c r="AK544" s="41">
        <f>IF(AN544=12,J544,0)</f>
        <v>0</v>
      </c>
      <c r="AL544" s="41">
        <f>IF(AN544=21,J544,0)</f>
        <v>0</v>
      </c>
      <c r="AN544" s="28">
        <v>21</v>
      </c>
      <c r="AO544" s="28">
        <f>G544*1</f>
        <v>0</v>
      </c>
      <c r="AP544" s="28">
        <f>G544*(1-1)</f>
        <v>0</v>
      </c>
      <c r="AQ544" s="43" t="s">
        <v>111</v>
      </c>
      <c r="AV544" s="28">
        <f>ROUND(AW544+AX544,2)</f>
        <v>0</v>
      </c>
      <c r="AW544" s="28">
        <f>ROUND(F544*AO544,2)</f>
        <v>0</v>
      </c>
      <c r="AX544" s="28">
        <f>ROUND(F544*AP544,2)</f>
        <v>0</v>
      </c>
      <c r="AY544" s="30" t="s">
        <v>884</v>
      </c>
      <c r="AZ544" s="30" t="s">
        <v>842</v>
      </c>
      <c r="BA544" s="10" t="s">
        <v>843</v>
      </c>
      <c r="BC544" s="28">
        <f>AW544+AX544</f>
        <v>0</v>
      </c>
      <c r="BD544" s="28">
        <f>G544/(100-BE544)*100</f>
        <v>0</v>
      </c>
      <c r="BE544" s="28">
        <v>0</v>
      </c>
      <c r="BF544" s="28">
        <f>544</f>
        <v>544</v>
      </c>
      <c r="BH544" s="41">
        <f>F544*AO544</f>
        <v>0</v>
      </c>
      <c r="BI544" s="41">
        <f>F544*AP544</f>
        <v>0</v>
      </c>
      <c r="BJ544" s="41">
        <f>F544*G544</f>
        <v>0</v>
      </c>
      <c r="BK544" s="41"/>
      <c r="BL544" s="28">
        <v>767</v>
      </c>
      <c r="BW544" s="28">
        <v>21</v>
      </c>
      <c r="BX544" s="40" t="s">
        <v>889</v>
      </c>
    </row>
    <row r="545" spans="1:76" x14ac:dyDescent="0.25">
      <c r="A545" s="31"/>
      <c r="C545" s="34" t="s">
        <v>120</v>
      </c>
      <c r="D545" s="33" t="s">
        <v>885</v>
      </c>
      <c r="F545" s="35">
        <v>10</v>
      </c>
      <c r="K545" s="36"/>
    </row>
    <row r="546" spans="1:76" x14ac:dyDescent="0.25">
      <c r="A546" s="31"/>
      <c r="C546" s="34" t="s">
        <v>491</v>
      </c>
      <c r="D546" s="33" t="s">
        <v>886</v>
      </c>
      <c r="F546" s="35">
        <v>76</v>
      </c>
      <c r="K546" s="36"/>
    </row>
    <row r="547" spans="1:76" ht="51" x14ac:dyDescent="0.25">
      <c r="A547" s="31"/>
      <c r="B547" s="37" t="s">
        <v>85</v>
      </c>
      <c r="C547" s="248" t="s">
        <v>890</v>
      </c>
      <c r="D547" s="249"/>
      <c r="E547" s="249"/>
      <c r="F547" s="249"/>
      <c r="G547" s="249"/>
      <c r="H547" s="249"/>
      <c r="I547" s="249"/>
      <c r="J547" s="249"/>
      <c r="K547" s="250"/>
      <c r="BX547" s="44" t="s">
        <v>890</v>
      </c>
    </row>
    <row r="548" spans="1:76" x14ac:dyDescent="0.25">
      <c r="A548" s="2" t="s">
        <v>891</v>
      </c>
      <c r="B548" s="3" t="s">
        <v>892</v>
      </c>
      <c r="C548" s="230" t="s">
        <v>893</v>
      </c>
      <c r="D548" s="225"/>
      <c r="E548" s="3" t="s">
        <v>380</v>
      </c>
      <c r="F548" s="28">
        <v>3460</v>
      </c>
      <c r="G548" s="28">
        <v>0</v>
      </c>
      <c r="H548" s="28">
        <f>ROUND(F548*AO548,2)</f>
        <v>0</v>
      </c>
      <c r="I548" s="28">
        <f>ROUND(F548*AP548,2)</f>
        <v>0</v>
      </c>
      <c r="J548" s="28">
        <f>ROUND(F548*G548,2)</f>
        <v>0</v>
      </c>
      <c r="K548" s="29" t="s">
        <v>70</v>
      </c>
      <c r="Z548" s="28">
        <f>ROUND(IF(AQ548="5",BJ548,0),2)</f>
        <v>0</v>
      </c>
      <c r="AB548" s="28">
        <f>ROUND(IF(AQ548="1",BH548,0),2)</f>
        <v>0</v>
      </c>
      <c r="AC548" s="28">
        <f>ROUND(IF(AQ548="1",BI548,0),2)</f>
        <v>0</v>
      </c>
      <c r="AD548" s="28">
        <f>ROUND(IF(AQ548="7",BH548,0),2)</f>
        <v>0</v>
      </c>
      <c r="AE548" s="28">
        <f>ROUND(IF(AQ548="7",BI548,0),2)</f>
        <v>0</v>
      </c>
      <c r="AF548" s="28">
        <f>ROUND(IF(AQ548="2",BH548,0),2)</f>
        <v>0</v>
      </c>
      <c r="AG548" s="28">
        <f>ROUND(IF(AQ548="2",BI548,0),2)</f>
        <v>0</v>
      </c>
      <c r="AH548" s="28">
        <f>ROUND(IF(AQ548="0",BJ548,0),2)</f>
        <v>0</v>
      </c>
      <c r="AI548" s="10" t="s">
        <v>837</v>
      </c>
      <c r="AJ548" s="28">
        <f>IF(AN548=0,J548,0)</f>
        <v>0</v>
      </c>
      <c r="AK548" s="28">
        <f>IF(AN548=12,J548,0)</f>
        <v>0</v>
      </c>
      <c r="AL548" s="28">
        <f>IF(AN548=21,J548,0)</f>
        <v>0</v>
      </c>
      <c r="AN548" s="28">
        <v>21</v>
      </c>
      <c r="AO548" s="28">
        <f>G548*0</f>
        <v>0</v>
      </c>
      <c r="AP548" s="28">
        <f>G548*(1-0)</f>
        <v>0</v>
      </c>
      <c r="AQ548" s="30" t="s">
        <v>91</v>
      </c>
      <c r="AV548" s="28">
        <f>ROUND(AW548+AX548,2)</f>
        <v>0</v>
      </c>
      <c r="AW548" s="28">
        <f>ROUND(F548*AO548,2)</f>
        <v>0</v>
      </c>
      <c r="AX548" s="28">
        <f>ROUND(F548*AP548,2)</f>
        <v>0</v>
      </c>
      <c r="AY548" s="30" t="s">
        <v>884</v>
      </c>
      <c r="AZ548" s="30" t="s">
        <v>842</v>
      </c>
      <c r="BA548" s="10" t="s">
        <v>843</v>
      </c>
      <c r="BC548" s="28">
        <f>AW548+AX548</f>
        <v>0</v>
      </c>
      <c r="BD548" s="28">
        <f>G548/(100-BE548)*100</f>
        <v>0</v>
      </c>
      <c r="BE548" s="28">
        <v>0</v>
      </c>
      <c r="BF548" s="28">
        <f>548</f>
        <v>548</v>
      </c>
      <c r="BH548" s="28">
        <f>F548*AO548</f>
        <v>0</v>
      </c>
      <c r="BI548" s="28">
        <f>F548*AP548</f>
        <v>0</v>
      </c>
      <c r="BJ548" s="28">
        <f>F548*G548</f>
        <v>0</v>
      </c>
      <c r="BK548" s="28"/>
      <c r="BL548" s="28">
        <v>767</v>
      </c>
      <c r="BW548" s="28">
        <v>21</v>
      </c>
      <c r="BX548" s="4" t="s">
        <v>893</v>
      </c>
    </row>
    <row r="549" spans="1:76" x14ac:dyDescent="0.25">
      <c r="A549" s="31"/>
      <c r="C549" s="34" t="s">
        <v>894</v>
      </c>
      <c r="D549" s="33" t="s">
        <v>52</v>
      </c>
      <c r="F549" s="35">
        <v>3460</v>
      </c>
      <c r="K549" s="36"/>
    </row>
    <row r="550" spans="1:76" x14ac:dyDescent="0.25">
      <c r="A550" s="24" t="s">
        <v>52</v>
      </c>
      <c r="B550" s="25" t="s">
        <v>895</v>
      </c>
      <c r="C550" s="246" t="s">
        <v>896</v>
      </c>
      <c r="D550" s="247"/>
      <c r="E550" s="26" t="s">
        <v>33</v>
      </c>
      <c r="F550" s="26" t="s">
        <v>33</v>
      </c>
      <c r="G550" s="26" t="s">
        <v>33</v>
      </c>
      <c r="H550" s="1">
        <f>SUM(H551:H553)</f>
        <v>0</v>
      </c>
      <c r="I550" s="1">
        <f>SUM(I551:I553)</f>
        <v>0</v>
      </c>
      <c r="J550" s="1">
        <f>SUM(J551:J553)</f>
        <v>0</v>
      </c>
      <c r="K550" s="27" t="s">
        <v>52</v>
      </c>
      <c r="AI550" s="10" t="s">
        <v>837</v>
      </c>
      <c r="AS550" s="1">
        <f>SUM(AJ551:AJ553)</f>
        <v>0</v>
      </c>
      <c r="AT550" s="1">
        <f>SUM(AK551:AK553)</f>
        <v>0</v>
      </c>
      <c r="AU550" s="1">
        <f>SUM(AL551:AL553)</f>
        <v>0</v>
      </c>
    </row>
    <row r="551" spans="1:76" x14ac:dyDescent="0.25">
      <c r="A551" s="2" t="s">
        <v>897</v>
      </c>
      <c r="B551" s="3" t="s">
        <v>898</v>
      </c>
      <c r="C551" s="230" t="s">
        <v>899</v>
      </c>
      <c r="D551" s="225"/>
      <c r="E551" s="3" t="s">
        <v>308</v>
      </c>
      <c r="F551" s="28">
        <v>22</v>
      </c>
      <c r="G551" s="28">
        <v>0</v>
      </c>
      <c r="H551" s="28">
        <f>ROUND(F551*AO551,2)</f>
        <v>0</v>
      </c>
      <c r="I551" s="28">
        <f>ROUND(F551*AP551,2)</f>
        <v>0</v>
      </c>
      <c r="J551" s="28">
        <f>ROUND(F551*G551,2)</f>
        <v>0</v>
      </c>
      <c r="K551" s="29" t="s">
        <v>109</v>
      </c>
      <c r="Z551" s="28">
        <f>ROUND(IF(AQ551="5",BJ551,0),2)</f>
        <v>0</v>
      </c>
      <c r="AB551" s="28">
        <f>ROUND(IF(AQ551="1",BH551,0),2)</f>
        <v>0</v>
      </c>
      <c r="AC551" s="28">
        <f>ROUND(IF(AQ551="1",BI551,0),2)</f>
        <v>0</v>
      </c>
      <c r="AD551" s="28">
        <f>ROUND(IF(AQ551="7",BH551,0),2)</f>
        <v>0</v>
      </c>
      <c r="AE551" s="28">
        <f>ROUND(IF(AQ551="7",BI551,0),2)</f>
        <v>0</v>
      </c>
      <c r="AF551" s="28">
        <f>ROUND(IF(AQ551="2",BH551,0),2)</f>
        <v>0</v>
      </c>
      <c r="AG551" s="28">
        <f>ROUND(IF(AQ551="2",BI551,0),2)</f>
        <v>0</v>
      </c>
      <c r="AH551" s="28">
        <f>ROUND(IF(AQ551="0",BJ551,0),2)</f>
        <v>0</v>
      </c>
      <c r="AI551" s="10" t="s">
        <v>837</v>
      </c>
      <c r="AJ551" s="28">
        <f>IF(AN551=0,J551,0)</f>
        <v>0</v>
      </c>
      <c r="AK551" s="28">
        <f>IF(AN551=12,J551,0)</f>
        <v>0</v>
      </c>
      <c r="AL551" s="28">
        <f>IF(AN551=21,J551,0)</f>
        <v>0</v>
      </c>
      <c r="AN551" s="28">
        <v>21</v>
      </c>
      <c r="AO551" s="28">
        <f>G551*0</f>
        <v>0</v>
      </c>
      <c r="AP551" s="28">
        <f>G551*(1-0)</f>
        <v>0</v>
      </c>
      <c r="AQ551" s="30" t="s">
        <v>60</v>
      </c>
      <c r="AV551" s="28">
        <f>ROUND(AW551+AX551,2)</f>
        <v>0</v>
      </c>
      <c r="AW551" s="28">
        <f>ROUND(F551*AO551,2)</f>
        <v>0</v>
      </c>
      <c r="AX551" s="28">
        <f>ROUND(F551*AP551,2)</f>
        <v>0</v>
      </c>
      <c r="AY551" s="30" t="s">
        <v>900</v>
      </c>
      <c r="AZ551" s="30" t="s">
        <v>901</v>
      </c>
      <c r="BA551" s="10" t="s">
        <v>843</v>
      </c>
      <c r="BC551" s="28">
        <f>AW551+AX551</f>
        <v>0</v>
      </c>
      <c r="BD551" s="28">
        <f>G551/(100-BE551)*100</f>
        <v>0</v>
      </c>
      <c r="BE551" s="28">
        <v>0</v>
      </c>
      <c r="BF551" s="28">
        <f>551</f>
        <v>551</v>
      </c>
      <c r="BH551" s="28">
        <f>F551*AO551</f>
        <v>0</v>
      </c>
      <c r="BI551" s="28">
        <f>F551*AP551</f>
        <v>0</v>
      </c>
      <c r="BJ551" s="28">
        <f>F551*G551</f>
        <v>0</v>
      </c>
      <c r="BK551" s="28"/>
      <c r="BL551" s="28"/>
      <c r="BW551" s="28">
        <v>21</v>
      </c>
      <c r="BX551" s="4" t="s">
        <v>899</v>
      </c>
    </row>
    <row r="552" spans="1:76" x14ac:dyDescent="0.25">
      <c r="A552" s="31"/>
      <c r="C552" s="34" t="s">
        <v>176</v>
      </c>
      <c r="D552" s="33" t="s">
        <v>52</v>
      </c>
      <c r="F552" s="35">
        <v>22</v>
      </c>
      <c r="K552" s="36"/>
    </row>
    <row r="553" spans="1:76" x14ac:dyDescent="0.25">
      <c r="A553" s="38" t="s">
        <v>902</v>
      </c>
      <c r="B553" s="39" t="s">
        <v>903</v>
      </c>
      <c r="C553" s="251" t="s">
        <v>904</v>
      </c>
      <c r="D553" s="252"/>
      <c r="E553" s="39" t="s">
        <v>308</v>
      </c>
      <c r="F553" s="41">
        <v>22</v>
      </c>
      <c r="G553" s="41">
        <v>0</v>
      </c>
      <c r="H553" s="41">
        <f>ROUND(F553*AO553,2)</f>
        <v>0</v>
      </c>
      <c r="I553" s="41">
        <f>ROUND(F553*AP553,2)</f>
        <v>0</v>
      </c>
      <c r="J553" s="41">
        <f>ROUND(F553*G553,2)</f>
        <v>0</v>
      </c>
      <c r="K553" s="42" t="s">
        <v>70</v>
      </c>
      <c r="Z553" s="28">
        <f>ROUND(IF(AQ553="5",BJ553,0),2)</f>
        <v>0</v>
      </c>
      <c r="AB553" s="28">
        <f>ROUND(IF(AQ553="1",BH553,0),2)</f>
        <v>0</v>
      </c>
      <c r="AC553" s="28">
        <f>ROUND(IF(AQ553="1",BI553,0),2)</f>
        <v>0</v>
      </c>
      <c r="AD553" s="28">
        <f>ROUND(IF(AQ553="7",BH553,0),2)</f>
        <v>0</v>
      </c>
      <c r="AE553" s="28">
        <f>ROUND(IF(AQ553="7",BI553,0),2)</f>
        <v>0</v>
      </c>
      <c r="AF553" s="28">
        <f>ROUND(IF(AQ553="2",BH553,0),2)</f>
        <v>0</v>
      </c>
      <c r="AG553" s="28">
        <f>ROUND(IF(AQ553="2",BI553,0),2)</f>
        <v>0</v>
      </c>
      <c r="AH553" s="28">
        <f>ROUND(IF(AQ553="0",BJ553,0),2)</f>
        <v>0</v>
      </c>
      <c r="AI553" s="10" t="s">
        <v>837</v>
      </c>
      <c r="AJ553" s="41">
        <f>IF(AN553=0,J553,0)</f>
        <v>0</v>
      </c>
      <c r="AK553" s="41">
        <f>IF(AN553=12,J553,0)</f>
        <v>0</v>
      </c>
      <c r="AL553" s="41">
        <f>IF(AN553=21,J553,0)</f>
        <v>0</v>
      </c>
      <c r="AN553" s="28">
        <v>21</v>
      </c>
      <c r="AO553" s="28">
        <f>G553*1</f>
        <v>0</v>
      </c>
      <c r="AP553" s="28">
        <f>G553*(1-1)</f>
        <v>0</v>
      </c>
      <c r="AQ553" s="43" t="s">
        <v>60</v>
      </c>
      <c r="AV553" s="28">
        <f>ROUND(AW553+AX553,2)</f>
        <v>0</v>
      </c>
      <c r="AW553" s="28">
        <f>ROUND(F553*AO553,2)</f>
        <v>0</v>
      </c>
      <c r="AX553" s="28">
        <f>ROUND(F553*AP553,2)</f>
        <v>0</v>
      </c>
      <c r="AY553" s="30" t="s">
        <v>900</v>
      </c>
      <c r="AZ553" s="30" t="s">
        <v>901</v>
      </c>
      <c r="BA553" s="10" t="s">
        <v>843</v>
      </c>
      <c r="BC553" s="28">
        <f>AW553+AX553</f>
        <v>0</v>
      </c>
      <c r="BD553" s="28">
        <f>G553/(100-BE553)*100</f>
        <v>0</v>
      </c>
      <c r="BE553" s="28">
        <v>0</v>
      </c>
      <c r="BF553" s="28">
        <f>553</f>
        <v>553</v>
      </c>
      <c r="BH553" s="41">
        <f>F553*AO553</f>
        <v>0</v>
      </c>
      <c r="BI553" s="41">
        <f>F553*AP553</f>
        <v>0</v>
      </c>
      <c r="BJ553" s="41">
        <f>F553*G553</f>
        <v>0</v>
      </c>
      <c r="BK553" s="41"/>
      <c r="BL553" s="28"/>
      <c r="BW553" s="28">
        <v>21</v>
      </c>
      <c r="BX553" s="40" t="s">
        <v>904</v>
      </c>
    </row>
    <row r="554" spans="1:76" x14ac:dyDescent="0.25">
      <c r="A554" s="31"/>
      <c r="C554" s="34" t="s">
        <v>176</v>
      </c>
      <c r="D554" s="33" t="s">
        <v>905</v>
      </c>
      <c r="F554" s="35">
        <v>22</v>
      </c>
      <c r="K554" s="36"/>
    </row>
    <row r="555" spans="1:76" ht="76.5" x14ac:dyDescent="0.25">
      <c r="A555" s="31"/>
      <c r="B555" s="37" t="s">
        <v>85</v>
      </c>
      <c r="C555" s="248" t="s">
        <v>906</v>
      </c>
      <c r="D555" s="249"/>
      <c r="E555" s="249"/>
      <c r="F555" s="249"/>
      <c r="G555" s="249"/>
      <c r="H555" s="249"/>
      <c r="I555" s="249"/>
      <c r="J555" s="249"/>
      <c r="K555" s="250"/>
      <c r="BX555" s="44" t="s">
        <v>906</v>
      </c>
    </row>
    <row r="556" spans="1:76" x14ac:dyDescent="0.25">
      <c r="A556" s="24" t="s">
        <v>52</v>
      </c>
      <c r="B556" s="25" t="s">
        <v>52</v>
      </c>
      <c r="C556" s="246" t="s">
        <v>907</v>
      </c>
      <c r="D556" s="247"/>
      <c r="E556" s="26" t="s">
        <v>33</v>
      </c>
      <c r="F556" s="26" t="s">
        <v>33</v>
      </c>
      <c r="G556" s="26" t="s">
        <v>33</v>
      </c>
      <c r="H556" s="1">
        <f>H557+H562+H602</f>
        <v>0</v>
      </c>
      <c r="I556" s="1">
        <f>I557+I562+I602</f>
        <v>0</v>
      </c>
      <c r="J556" s="1">
        <f>J557+J562+J602</f>
        <v>0</v>
      </c>
      <c r="K556" s="27" t="s">
        <v>52</v>
      </c>
    </row>
    <row r="557" spans="1:76" x14ac:dyDescent="0.25">
      <c r="A557" s="24" t="s">
        <v>52</v>
      </c>
      <c r="B557" s="25" t="s">
        <v>424</v>
      </c>
      <c r="C557" s="246" t="s">
        <v>908</v>
      </c>
      <c r="D557" s="247"/>
      <c r="E557" s="26" t="s">
        <v>33</v>
      </c>
      <c r="F557" s="26" t="s">
        <v>33</v>
      </c>
      <c r="G557" s="26" t="s">
        <v>33</v>
      </c>
      <c r="H557" s="1">
        <f>SUM(H558:H558)</f>
        <v>0</v>
      </c>
      <c r="I557" s="1">
        <f>SUM(I558:I558)</f>
        <v>0</v>
      </c>
      <c r="J557" s="1">
        <f>SUM(J558:J558)</f>
        <v>0</v>
      </c>
      <c r="K557" s="27" t="s">
        <v>52</v>
      </c>
      <c r="AI557" s="10" t="s">
        <v>909</v>
      </c>
      <c r="AS557" s="1">
        <f>SUM(AJ558:AJ558)</f>
        <v>0</v>
      </c>
      <c r="AT557" s="1">
        <f>SUM(AK558:AK558)</f>
        <v>0</v>
      </c>
      <c r="AU557" s="1">
        <f>SUM(AL558:AL558)</f>
        <v>0</v>
      </c>
    </row>
    <row r="558" spans="1:76" x14ac:dyDescent="0.25">
      <c r="A558" s="2" t="s">
        <v>910</v>
      </c>
      <c r="B558" s="3" t="s">
        <v>911</v>
      </c>
      <c r="C558" s="230" t="s">
        <v>912</v>
      </c>
      <c r="D558" s="225"/>
      <c r="E558" s="3" t="s">
        <v>205</v>
      </c>
      <c r="F558" s="28">
        <v>11</v>
      </c>
      <c r="G558" s="28">
        <v>0</v>
      </c>
      <c r="H558" s="28">
        <f>ROUND(F558*AO558,2)</f>
        <v>0</v>
      </c>
      <c r="I558" s="28">
        <f>ROUND(F558*AP558,2)</f>
        <v>0</v>
      </c>
      <c r="J558" s="28">
        <f>ROUND(F558*G558,2)</f>
        <v>0</v>
      </c>
      <c r="K558" s="29" t="s">
        <v>70</v>
      </c>
      <c r="Z558" s="28">
        <f>ROUND(IF(AQ558="5",BJ558,0),2)</f>
        <v>0</v>
      </c>
      <c r="AB558" s="28">
        <f>ROUND(IF(AQ558="1",BH558,0),2)</f>
        <v>0</v>
      </c>
      <c r="AC558" s="28">
        <f>ROUND(IF(AQ558="1",BI558,0),2)</f>
        <v>0</v>
      </c>
      <c r="AD558" s="28">
        <f>ROUND(IF(AQ558="7",BH558,0),2)</f>
        <v>0</v>
      </c>
      <c r="AE558" s="28">
        <f>ROUND(IF(AQ558="7",BI558,0),2)</f>
        <v>0</v>
      </c>
      <c r="AF558" s="28">
        <f>ROUND(IF(AQ558="2",BH558,0),2)</f>
        <v>0</v>
      </c>
      <c r="AG558" s="28">
        <f>ROUND(IF(AQ558="2",BI558,0),2)</f>
        <v>0</v>
      </c>
      <c r="AH558" s="28">
        <f>ROUND(IF(AQ558="0",BJ558,0),2)</f>
        <v>0</v>
      </c>
      <c r="AI558" s="10" t="s">
        <v>909</v>
      </c>
      <c r="AJ558" s="28">
        <f>IF(AN558=0,J558,0)</f>
        <v>0</v>
      </c>
      <c r="AK558" s="28">
        <f>IF(AN558=12,J558,0)</f>
        <v>0</v>
      </c>
      <c r="AL558" s="28">
        <f>IF(AN558=21,J558,0)</f>
        <v>0</v>
      </c>
      <c r="AN558" s="28">
        <v>21</v>
      </c>
      <c r="AO558" s="28">
        <f>G558*0.214765101</f>
        <v>0</v>
      </c>
      <c r="AP558" s="28">
        <f>G558*(1-0.214765101)</f>
        <v>0</v>
      </c>
      <c r="AQ558" s="30" t="s">
        <v>57</v>
      </c>
      <c r="AV558" s="28">
        <f>ROUND(AW558+AX558,2)</f>
        <v>0</v>
      </c>
      <c r="AW558" s="28">
        <f>ROUND(F558*AO558,2)</f>
        <v>0</v>
      </c>
      <c r="AX558" s="28">
        <f>ROUND(F558*AP558,2)</f>
        <v>0</v>
      </c>
      <c r="AY558" s="30" t="s">
        <v>913</v>
      </c>
      <c r="AZ558" s="30" t="s">
        <v>914</v>
      </c>
      <c r="BA558" s="10" t="s">
        <v>915</v>
      </c>
      <c r="BC558" s="28">
        <f>AW558+AX558</f>
        <v>0</v>
      </c>
      <c r="BD558" s="28">
        <f>G558/(100-BE558)*100</f>
        <v>0</v>
      </c>
      <c r="BE558" s="28">
        <v>0</v>
      </c>
      <c r="BF558" s="28">
        <f>558</f>
        <v>558</v>
      </c>
      <c r="BH558" s="28">
        <f>F558*AO558</f>
        <v>0</v>
      </c>
      <c r="BI558" s="28">
        <f>F558*AP558</f>
        <v>0</v>
      </c>
      <c r="BJ558" s="28">
        <f>F558*G558</f>
        <v>0</v>
      </c>
      <c r="BK558" s="28"/>
      <c r="BL558" s="28">
        <v>62</v>
      </c>
      <c r="BW558" s="28">
        <v>21</v>
      </c>
      <c r="BX558" s="4" t="s">
        <v>912</v>
      </c>
    </row>
    <row r="559" spans="1:76" ht="27" customHeight="1" x14ac:dyDescent="0.25">
      <c r="A559" s="31"/>
      <c r="C559" s="248" t="s">
        <v>916</v>
      </c>
      <c r="D559" s="249"/>
      <c r="E559" s="249"/>
      <c r="F559" s="249"/>
      <c r="G559" s="249"/>
      <c r="H559" s="249"/>
      <c r="I559" s="249"/>
      <c r="J559" s="249"/>
      <c r="K559" s="250"/>
    </row>
    <row r="560" spans="1:76" x14ac:dyDescent="0.25">
      <c r="A560" s="31"/>
      <c r="C560" s="34" t="s">
        <v>917</v>
      </c>
      <c r="D560" s="33" t="s">
        <v>875</v>
      </c>
      <c r="F560" s="35">
        <v>11</v>
      </c>
      <c r="K560" s="36"/>
    </row>
    <row r="561" spans="1:76" x14ac:dyDescent="0.25">
      <c r="A561" s="31"/>
      <c r="B561" s="37" t="s">
        <v>85</v>
      </c>
      <c r="C561" s="248" t="s">
        <v>918</v>
      </c>
      <c r="D561" s="249"/>
      <c r="E561" s="249"/>
      <c r="F561" s="249"/>
      <c r="G561" s="249"/>
      <c r="H561" s="249"/>
      <c r="I561" s="249"/>
      <c r="J561" s="249"/>
      <c r="K561" s="250"/>
      <c r="BX561" s="32" t="s">
        <v>918</v>
      </c>
    </row>
    <row r="562" spans="1:76" x14ac:dyDescent="0.25">
      <c r="A562" s="24" t="s">
        <v>52</v>
      </c>
      <c r="B562" s="25" t="s">
        <v>712</v>
      </c>
      <c r="C562" s="246" t="s">
        <v>713</v>
      </c>
      <c r="D562" s="247"/>
      <c r="E562" s="26" t="s">
        <v>33</v>
      </c>
      <c r="F562" s="26" t="s">
        <v>33</v>
      </c>
      <c r="G562" s="26" t="s">
        <v>33</v>
      </c>
      <c r="H562" s="1">
        <f>SUM(H563:H599)</f>
        <v>0</v>
      </c>
      <c r="I562" s="1">
        <f>SUM(I563:I599)</f>
        <v>0</v>
      </c>
      <c r="J562" s="1">
        <f>SUM(J563:J599)</f>
        <v>0</v>
      </c>
      <c r="K562" s="27" t="s">
        <v>52</v>
      </c>
      <c r="AI562" s="10" t="s">
        <v>909</v>
      </c>
      <c r="AS562" s="1">
        <f>SUM(AJ563:AJ599)</f>
        <v>0</v>
      </c>
      <c r="AT562" s="1">
        <f>SUM(AK563:AK599)</f>
        <v>0</v>
      </c>
      <c r="AU562" s="1">
        <f>SUM(AL563:AL599)</f>
        <v>0</v>
      </c>
    </row>
    <row r="563" spans="1:76" x14ac:dyDescent="0.25">
      <c r="A563" s="2" t="s">
        <v>919</v>
      </c>
      <c r="B563" s="3" t="s">
        <v>920</v>
      </c>
      <c r="C563" s="230" t="s">
        <v>921</v>
      </c>
      <c r="D563" s="225"/>
      <c r="E563" s="3" t="s">
        <v>717</v>
      </c>
      <c r="F563" s="28">
        <v>1</v>
      </c>
      <c r="G563" s="28">
        <v>0</v>
      </c>
      <c r="H563" s="28">
        <f>ROUND(F563*AO563,2)</f>
        <v>0</v>
      </c>
      <c r="I563" s="28">
        <f>ROUND(F563*AP563,2)</f>
        <v>0</v>
      </c>
      <c r="J563" s="28">
        <f>ROUND(F563*G563,2)</f>
        <v>0</v>
      </c>
      <c r="K563" s="29" t="s">
        <v>109</v>
      </c>
      <c r="Z563" s="28">
        <f>ROUND(IF(AQ563="5",BJ563,0),2)</f>
        <v>0</v>
      </c>
      <c r="AB563" s="28">
        <f>ROUND(IF(AQ563="1",BH563,0),2)</f>
        <v>0</v>
      </c>
      <c r="AC563" s="28">
        <f>ROUND(IF(AQ563="1",BI563,0),2)</f>
        <v>0</v>
      </c>
      <c r="AD563" s="28">
        <f>ROUND(IF(AQ563="7",BH563,0),2)</f>
        <v>0</v>
      </c>
      <c r="AE563" s="28">
        <f>ROUND(IF(AQ563="7",BI563,0),2)</f>
        <v>0</v>
      </c>
      <c r="AF563" s="28">
        <f>ROUND(IF(AQ563="2",BH563,0),2)</f>
        <v>0</v>
      </c>
      <c r="AG563" s="28">
        <f>ROUND(IF(AQ563="2",BI563,0),2)</f>
        <v>0</v>
      </c>
      <c r="AH563" s="28">
        <f>ROUND(IF(AQ563="0",BJ563,0),2)</f>
        <v>0</v>
      </c>
      <c r="AI563" s="10" t="s">
        <v>909</v>
      </c>
      <c r="AJ563" s="28">
        <f>IF(AN563=0,J563,0)</f>
        <v>0</v>
      </c>
      <c r="AK563" s="28">
        <f>IF(AN563=12,J563,0)</f>
        <v>0</v>
      </c>
      <c r="AL563" s="28">
        <f>IF(AN563=21,J563,0)</f>
        <v>0</v>
      </c>
      <c r="AN563" s="28">
        <v>21</v>
      </c>
      <c r="AO563" s="28">
        <f>G563*0.098515862</f>
        <v>0</v>
      </c>
      <c r="AP563" s="28">
        <f>G563*(1-0.098515862)</f>
        <v>0</v>
      </c>
      <c r="AQ563" s="30" t="s">
        <v>60</v>
      </c>
      <c r="AV563" s="28">
        <f>ROUND(AW563+AX563,2)</f>
        <v>0</v>
      </c>
      <c r="AW563" s="28">
        <f>ROUND(F563*AO563,2)</f>
        <v>0</v>
      </c>
      <c r="AX563" s="28">
        <f>ROUND(F563*AP563,2)</f>
        <v>0</v>
      </c>
      <c r="AY563" s="30" t="s">
        <v>718</v>
      </c>
      <c r="AZ563" s="30" t="s">
        <v>922</v>
      </c>
      <c r="BA563" s="10" t="s">
        <v>915</v>
      </c>
      <c r="BC563" s="28">
        <f>AW563+AX563</f>
        <v>0</v>
      </c>
      <c r="BD563" s="28">
        <f>G563/(100-BE563)*100</f>
        <v>0</v>
      </c>
      <c r="BE563" s="28">
        <v>0</v>
      </c>
      <c r="BF563" s="28">
        <f>563</f>
        <v>563</v>
      </c>
      <c r="BH563" s="28">
        <f>F563*AO563</f>
        <v>0</v>
      </c>
      <c r="BI563" s="28">
        <f>F563*AP563</f>
        <v>0</v>
      </c>
      <c r="BJ563" s="28">
        <f>F563*G563</f>
        <v>0</v>
      </c>
      <c r="BK563" s="28"/>
      <c r="BL563" s="28"/>
      <c r="BW563" s="28">
        <v>21</v>
      </c>
      <c r="BX563" s="4" t="s">
        <v>921</v>
      </c>
    </row>
    <row r="564" spans="1:76" ht="13.5" customHeight="1" x14ac:dyDescent="0.25">
      <c r="A564" s="31"/>
      <c r="C564" s="248" t="s">
        <v>923</v>
      </c>
      <c r="D564" s="249"/>
      <c r="E564" s="249"/>
      <c r="F564" s="249"/>
      <c r="G564" s="249"/>
      <c r="H564" s="249"/>
      <c r="I564" s="249"/>
      <c r="J564" s="249"/>
      <c r="K564" s="250"/>
    </row>
    <row r="565" spans="1:76" x14ac:dyDescent="0.25">
      <c r="A565" s="31"/>
      <c r="C565" s="34" t="s">
        <v>57</v>
      </c>
      <c r="D565" s="33" t="s">
        <v>52</v>
      </c>
      <c r="F565" s="35">
        <v>1</v>
      </c>
      <c r="K565" s="36"/>
    </row>
    <row r="566" spans="1:76" x14ac:dyDescent="0.25">
      <c r="A566" s="2" t="s">
        <v>924</v>
      </c>
      <c r="B566" s="3" t="s">
        <v>925</v>
      </c>
      <c r="C566" s="230" t="s">
        <v>921</v>
      </c>
      <c r="D566" s="225"/>
      <c r="E566" s="3" t="s">
        <v>717</v>
      </c>
      <c r="F566" s="28">
        <v>1</v>
      </c>
      <c r="G566" s="28">
        <v>0</v>
      </c>
      <c r="H566" s="28">
        <f>ROUND(F566*AO566,2)</f>
        <v>0</v>
      </c>
      <c r="I566" s="28">
        <f>ROUND(F566*AP566,2)</f>
        <v>0</v>
      </c>
      <c r="J566" s="28">
        <f>ROUND(F566*G566,2)</f>
        <v>0</v>
      </c>
      <c r="K566" s="29" t="s">
        <v>109</v>
      </c>
      <c r="Z566" s="28">
        <f>ROUND(IF(AQ566="5",BJ566,0),2)</f>
        <v>0</v>
      </c>
      <c r="AB566" s="28">
        <f>ROUND(IF(AQ566="1",BH566,0),2)</f>
        <v>0</v>
      </c>
      <c r="AC566" s="28">
        <f>ROUND(IF(AQ566="1",BI566,0),2)</f>
        <v>0</v>
      </c>
      <c r="AD566" s="28">
        <f>ROUND(IF(AQ566="7",BH566,0),2)</f>
        <v>0</v>
      </c>
      <c r="AE566" s="28">
        <f>ROUND(IF(AQ566="7",BI566,0),2)</f>
        <v>0</v>
      </c>
      <c r="AF566" s="28">
        <f>ROUND(IF(AQ566="2",BH566,0),2)</f>
        <v>0</v>
      </c>
      <c r="AG566" s="28">
        <f>ROUND(IF(AQ566="2",BI566,0),2)</f>
        <v>0</v>
      </c>
      <c r="AH566" s="28">
        <f>ROUND(IF(AQ566="0",BJ566,0),2)</f>
        <v>0</v>
      </c>
      <c r="AI566" s="10" t="s">
        <v>909</v>
      </c>
      <c r="AJ566" s="28">
        <f>IF(AN566=0,J566,0)</f>
        <v>0</v>
      </c>
      <c r="AK566" s="28">
        <f>IF(AN566=12,J566,0)</f>
        <v>0</v>
      </c>
      <c r="AL566" s="28">
        <f>IF(AN566=21,J566,0)</f>
        <v>0</v>
      </c>
      <c r="AN566" s="28">
        <v>21</v>
      </c>
      <c r="AO566" s="28">
        <f>G566*0.098515652</f>
        <v>0</v>
      </c>
      <c r="AP566" s="28">
        <f>G566*(1-0.098515652)</f>
        <v>0</v>
      </c>
      <c r="AQ566" s="30" t="s">
        <v>60</v>
      </c>
      <c r="AV566" s="28">
        <f>ROUND(AW566+AX566,2)</f>
        <v>0</v>
      </c>
      <c r="AW566" s="28">
        <f>ROUND(F566*AO566,2)</f>
        <v>0</v>
      </c>
      <c r="AX566" s="28">
        <f>ROUND(F566*AP566,2)</f>
        <v>0</v>
      </c>
      <c r="AY566" s="30" t="s">
        <v>718</v>
      </c>
      <c r="AZ566" s="30" t="s">
        <v>922</v>
      </c>
      <c r="BA566" s="10" t="s">
        <v>915</v>
      </c>
      <c r="BC566" s="28">
        <f>AW566+AX566</f>
        <v>0</v>
      </c>
      <c r="BD566" s="28">
        <f>G566/(100-BE566)*100</f>
        <v>0</v>
      </c>
      <c r="BE566" s="28">
        <v>0</v>
      </c>
      <c r="BF566" s="28">
        <f>566</f>
        <v>566</v>
      </c>
      <c r="BH566" s="28">
        <f>F566*AO566</f>
        <v>0</v>
      </c>
      <c r="BI566" s="28">
        <f>F566*AP566</f>
        <v>0</v>
      </c>
      <c r="BJ566" s="28">
        <f>F566*G566</f>
        <v>0</v>
      </c>
      <c r="BK566" s="28"/>
      <c r="BL566" s="28"/>
      <c r="BW566" s="28">
        <v>21</v>
      </c>
      <c r="BX566" s="4" t="s">
        <v>921</v>
      </c>
    </row>
    <row r="567" spans="1:76" ht="40.5" customHeight="1" x14ac:dyDescent="0.25">
      <c r="A567" s="31"/>
      <c r="C567" s="248" t="s">
        <v>926</v>
      </c>
      <c r="D567" s="249"/>
      <c r="E567" s="249"/>
      <c r="F567" s="249"/>
      <c r="G567" s="249"/>
      <c r="H567" s="249"/>
      <c r="I567" s="249"/>
      <c r="J567" s="249"/>
      <c r="K567" s="250"/>
    </row>
    <row r="568" spans="1:76" x14ac:dyDescent="0.25">
      <c r="A568" s="31"/>
      <c r="C568" s="34" t="s">
        <v>57</v>
      </c>
      <c r="D568" s="33" t="s">
        <v>52</v>
      </c>
      <c r="F568" s="35">
        <v>1</v>
      </c>
      <c r="K568" s="36"/>
    </row>
    <row r="569" spans="1:76" x14ac:dyDescent="0.25">
      <c r="A569" s="2" t="s">
        <v>927</v>
      </c>
      <c r="B569" s="3" t="s">
        <v>928</v>
      </c>
      <c r="C569" s="230" t="s">
        <v>921</v>
      </c>
      <c r="D569" s="225"/>
      <c r="E569" s="3" t="s">
        <v>717</v>
      </c>
      <c r="F569" s="28">
        <v>1</v>
      </c>
      <c r="G569" s="28">
        <v>0</v>
      </c>
      <c r="H569" s="28">
        <f>ROUND(F569*AO569,2)</f>
        <v>0</v>
      </c>
      <c r="I569" s="28">
        <f>ROUND(F569*AP569,2)</f>
        <v>0</v>
      </c>
      <c r="J569" s="28">
        <f>ROUND(F569*G569,2)</f>
        <v>0</v>
      </c>
      <c r="K569" s="29" t="s">
        <v>109</v>
      </c>
      <c r="Z569" s="28">
        <f>ROUND(IF(AQ569="5",BJ569,0),2)</f>
        <v>0</v>
      </c>
      <c r="AB569" s="28">
        <f>ROUND(IF(AQ569="1",BH569,0),2)</f>
        <v>0</v>
      </c>
      <c r="AC569" s="28">
        <f>ROUND(IF(AQ569="1",BI569,0),2)</f>
        <v>0</v>
      </c>
      <c r="AD569" s="28">
        <f>ROUND(IF(AQ569="7",BH569,0),2)</f>
        <v>0</v>
      </c>
      <c r="AE569" s="28">
        <f>ROUND(IF(AQ569="7",BI569,0),2)</f>
        <v>0</v>
      </c>
      <c r="AF569" s="28">
        <f>ROUND(IF(AQ569="2",BH569,0),2)</f>
        <v>0</v>
      </c>
      <c r="AG569" s="28">
        <f>ROUND(IF(AQ569="2",BI569,0),2)</f>
        <v>0</v>
      </c>
      <c r="AH569" s="28">
        <f>ROUND(IF(AQ569="0",BJ569,0),2)</f>
        <v>0</v>
      </c>
      <c r="AI569" s="10" t="s">
        <v>909</v>
      </c>
      <c r="AJ569" s="28">
        <f>IF(AN569=0,J569,0)</f>
        <v>0</v>
      </c>
      <c r="AK569" s="28">
        <f>IF(AN569=12,J569,0)</f>
        <v>0</v>
      </c>
      <c r="AL569" s="28">
        <f>IF(AN569=21,J569,0)</f>
        <v>0</v>
      </c>
      <c r="AN569" s="28">
        <v>21</v>
      </c>
      <c r="AO569" s="28">
        <f>G569*0.098515862</f>
        <v>0</v>
      </c>
      <c r="AP569" s="28">
        <f>G569*(1-0.098515862)</f>
        <v>0</v>
      </c>
      <c r="AQ569" s="30" t="s">
        <v>60</v>
      </c>
      <c r="AV569" s="28">
        <f>ROUND(AW569+AX569,2)</f>
        <v>0</v>
      </c>
      <c r="AW569" s="28">
        <f>ROUND(F569*AO569,2)</f>
        <v>0</v>
      </c>
      <c r="AX569" s="28">
        <f>ROUND(F569*AP569,2)</f>
        <v>0</v>
      </c>
      <c r="AY569" s="30" t="s">
        <v>718</v>
      </c>
      <c r="AZ569" s="30" t="s">
        <v>922</v>
      </c>
      <c r="BA569" s="10" t="s">
        <v>915</v>
      </c>
      <c r="BC569" s="28">
        <f>AW569+AX569</f>
        <v>0</v>
      </c>
      <c r="BD569" s="28">
        <f>G569/(100-BE569)*100</f>
        <v>0</v>
      </c>
      <c r="BE569" s="28">
        <v>0</v>
      </c>
      <c r="BF569" s="28">
        <f>569</f>
        <v>569</v>
      </c>
      <c r="BH569" s="28">
        <f>F569*AO569</f>
        <v>0</v>
      </c>
      <c r="BI569" s="28">
        <f>F569*AP569</f>
        <v>0</v>
      </c>
      <c r="BJ569" s="28">
        <f>F569*G569</f>
        <v>0</v>
      </c>
      <c r="BK569" s="28"/>
      <c r="BL569" s="28"/>
      <c r="BW569" s="28">
        <v>21</v>
      </c>
      <c r="BX569" s="4" t="s">
        <v>921</v>
      </c>
    </row>
    <row r="570" spans="1:76" ht="54" customHeight="1" x14ac:dyDescent="0.25">
      <c r="A570" s="31"/>
      <c r="C570" s="248" t="s">
        <v>929</v>
      </c>
      <c r="D570" s="249"/>
      <c r="E570" s="249"/>
      <c r="F570" s="249"/>
      <c r="G570" s="249"/>
      <c r="H570" s="249"/>
      <c r="I570" s="249"/>
      <c r="J570" s="249"/>
      <c r="K570" s="250"/>
    </row>
    <row r="571" spans="1:76" x14ac:dyDescent="0.25">
      <c r="A571" s="31"/>
      <c r="C571" s="34" t="s">
        <v>57</v>
      </c>
      <c r="D571" s="33" t="s">
        <v>52</v>
      </c>
      <c r="F571" s="35">
        <v>1</v>
      </c>
      <c r="K571" s="36"/>
    </row>
    <row r="572" spans="1:76" ht="25.5" x14ac:dyDescent="0.25">
      <c r="A572" s="2" t="s">
        <v>930</v>
      </c>
      <c r="B572" s="3" t="s">
        <v>931</v>
      </c>
      <c r="C572" s="230" t="s">
        <v>932</v>
      </c>
      <c r="D572" s="225"/>
      <c r="E572" s="3" t="s">
        <v>717</v>
      </c>
      <c r="F572" s="28">
        <v>197</v>
      </c>
      <c r="G572" s="28">
        <v>0</v>
      </c>
      <c r="H572" s="28">
        <f>ROUND(F572*AO572,2)</f>
        <v>0</v>
      </c>
      <c r="I572" s="28">
        <f>ROUND(F572*AP572,2)</f>
        <v>0</v>
      </c>
      <c r="J572" s="28">
        <f>ROUND(F572*G572,2)</f>
        <v>0</v>
      </c>
      <c r="K572" s="29" t="s">
        <v>109</v>
      </c>
      <c r="Z572" s="28">
        <f>ROUND(IF(AQ572="5",BJ572,0),2)</f>
        <v>0</v>
      </c>
      <c r="AB572" s="28">
        <f>ROUND(IF(AQ572="1",BH572,0),2)</f>
        <v>0</v>
      </c>
      <c r="AC572" s="28">
        <f>ROUND(IF(AQ572="1",BI572,0),2)</f>
        <v>0</v>
      </c>
      <c r="AD572" s="28">
        <f>ROUND(IF(AQ572="7",BH572,0),2)</f>
        <v>0</v>
      </c>
      <c r="AE572" s="28">
        <f>ROUND(IF(AQ572="7",BI572,0),2)</f>
        <v>0</v>
      </c>
      <c r="AF572" s="28">
        <f>ROUND(IF(AQ572="2",BH572,0),2)</f>
        <v>0</v>
      </c>
      <c r="AG572" s="28">
        <f>ROUND(IF(AQ572="2",BI572,0),2)</f>
        <v>0</v>
      </c>
      <c r="AH572" s="28">
        <f>ROUND(IF(AQ572="0",BJ572,0),2)</f>
        <v>0</v>
      </c>
      <c r="AI572" s="10" t="s">
        <v>909</v>
      </c>
      <c r="AJ572" s="28">
        <f>IF(AN572=0,J572,0)</f>
        <v>0</v>
      </c>
      <c r="AK572" s="28">
        <f>IF(AN572=12,J572,0)</f>
        <v>0</v>
      </c>
      <c r="AL572" s="28">
        <f>IF(AN572=21,J572,0)</f>
        <v>0</v>
      </c>
      <c r="AN572" s="28">
        <v>21</v>
      </c>
      <c r="AO572" s="28">
        <f>G572*0.098482759</f>
        <v>0</v>
      </c>
      <c r="AP572" s="28">
        <f>G572*(1-0.098482759)</f>
        <v>0</v>
      </c>
      <c r="AQ572" s="30" t="s">
        <v>60</v>
      </c>
      <c r="AV572" s="28">
        <f>ROUND(AW572+AX572,2)</f>
        <v>0</v>
      </c>
      <c r="AW572" s="28">
        <f>ROUND(F572*AO572,2)</f>
        <v>0</v>
      </c>
      <c r="AX572" s="28">
        <f>ROUND(F572*AP572,2)</f>
        <v>0</v>
      </c>
      <c r="AY572" s="30" t="s">
        <v>718</v>
      </c>
      <c r="AZ572" s="30" t="s">
        <v>922</v>
      </c>
      <c r="BA572" s="10" t="s">
        <v>915</v>
      </c>
      <c r="BC572" s="28">
        <f>AW572+AX572</f>
        <v>0</v>
      </c>
      <c r="BD572" s="28">
        <f>G572/(100-BE572)*100</f>
        <v>0</v>
      </c>
      <c r="BE572" s="28">
        <v>0</v>
      </c>
      <c r="BF572" s="28">
        <f>572</f>
        <v>572</v>
      </c>
      <c r="BH572" s="28">
        <f>F572*AO572</f>
        <v>0</v>
      </c>
      <c r="BI572" s="28">
        <f>F572*AP572</f>
        <v>0</v>
      </c>
      <c r="BJ572" s="28">
        <f>F572*G572</f>
        <v>0</v>
      </c>
      <c r="BK572" s="28"/>
      <c r="BL572" s="28"/>
      <c r="BW572" s="28">
        <v>21</v>
      </c>
      <c r="BX572" s="4" t="s">
        <v>932</v>
      </c>
    </row>
    <row r="573" spans="1:76" ht="13.5" customHeight="1" x14ac:dyDescent="0.25">
      <c r="A573" s="31"/>
      <c r="C573" s="248" t="s">
        <v>933</v>
      </c>
      <c r="D573" s="249"/>
      <c r="E573" s="249"/>
      <c r="F573" s="249"/>
      <c r="G573" s="249"/>
      <c r="H573" s="249"/>
      <c r="I573" s="249"/>
      <c r="J573" s="249"/>
      <c r="K573" s="250"/>
    </row>
    <row r="574" spans="1:76" x14ac:dyDescent="0.25">
      <c r="A574" s="31"/>
      <c r="C574" s="34" t="s">
        <v>934</v>
      </c>
      <c r="D574" s="33" t="s">
        <v>52</v>
      </c>
      <c r="F574" s="35">
        <v>197</v>
      </c>
      <c r="K574" s="36"/>
    </row>
    <row r="575" spans="1:76" ht="25.5" x14ac:dyDescent="0.25">
      <c r="A575" s="2" t="s">
        <v>935</v>
      </c>
      <c r="B575" s="3" t="s">
        <v>936</v>
      </c>
      <c r="C575" s="230" t="s">
        <v>932</v>
      </c>
      <c r="D575" s="225"/>
      <c r="E575" s="3" t="s">
        <v>717</v>
      </c>
      <c r="F575" s="28">
        <v>2</v>
      </c>
      <c r="G575" s="28">
        <v>0</v>
      </c>
      <c r="H575" s="28">
        <f>ROUND(F575*AO575,2)</f>
        <v>0</v>
      </c>
      <c r="I575" s="28">
        <f>ROUND(F575*AP575,2)</f>
        <v>0</v>
      </c>
      <c r="J575" s="28">
        <f>ROUND(F575*G575,2)</f>
        <v>0</v>
      </c>
      <c r="K575" s="29" t="s">
        <v>109</v>
      </c>
      <c r="Z575" s="28">
        <f>ROUND(IF(AQ575="5",BJ575,0),2)</f>
        <v>0</v>
      </c>
      <c r="AB575" s="28">
        <f>ROUND(IF(AQ575="1",BH575,0),2)</f>
        <v>0</v>
      </c>
      <c r="AC575" s="28">
        <f>ROUND(IF(AQ575="1",BI575,0),2)</f>
        <v>0</v>
      </c>
      <c r="AD575" s="28">
        <f>ROUND(IF(AQ575="7",BH575,0),2)</f>
        <v>0</v>
      </c>
      <c r="AE575" s="28">
        <f>ROUND(IF(AQ575="7",BI575,0),2)</f>
        <v>0</v>
      </c>
      <c r="AF575" s="28">
        <f>ROUND(IF(AQ575="2",BH575,0),2)</f>
        <v>0</v>
      </c>
      <c r="AG575" s="28">
        <f>ROUND(IF(AQ575="2",BI575,0),2)</f>
        <v>0</v>
      </c>
      <c r="AH575" s="28">
        <f>ROUND(IF(AQ575="0",BJ575,0),2)</f>
        <v>0</v>
      </c>
      <c r="AI575" s="10" t="s">
        <v>909</v>
      </c>
      <c r="AJ575" s="28">
        <f>IF(AN575=0,J575,0)</f>
        <v>0</v>
      </c>
      <c r="AK575" s="28">
        <f>IF(AN575=12,J575,0)</f>
        <v>0</v>
      </c>
      <c r="AL575" s="28">
        <f>IF(AN575=21,J575,0)</f>
        <v>0</v>
      </c>
      <c r="AN575" s="28">
        <v>21</v>
      </c>
      <c r="AO575" s="28">
        <f>G575*0.098493506</f>
        <v>0</v>
      </c>
      <c r="AP575" s="28">
        <f>G575*(1-0.098493506)</f>
        <v>0</v>
      </c>
      <c r="AQ575" s="30" t="s">
        <v>60</v>
      </c>
      <c r="AV575" s="28">
        <f>ROUND(AW575+AX575,2)</f>
        <v>0</v>
      </c>
      <c r="AW575" s="28">
        <f>ROUND(F575*AO575,2)</f>
        <v>0</v>
      </c>
      <c r="AX575" s="28">
        <f>ROUND(F575*AP575,2)</f>
        <v>0</v>
      </c>
      <c r="AY575" s="30" t="s">
        <v>718</v>
      </c>
      <c r="AZ575" s="30" t="s">
        <v>922</v>
      </c>
      <c r="BA575" s="10" t="s">
        <v>915</v>
      </c>
      <c r="BC575" s="28">
        <f>AW575+AX575</f>
        <v>0</v>
      </c>
      <c r="BD575" s="28">
        <f>G575/(100-BE575)*100</f>
        <v>0</v>
      </c>
      <c r="BE575" s="28">
        <v>0</v>
      </c>
      <c r="BF575" s="28">
        <f>575</f>
        <v>575</v>
      </c>
      <c r="BH575" s="28">
        <f>F575*AO575</f>
        <v>0</v>
      </c>
      <c r="BI575" s="28">
        <f>F575*AP575</f>
        <v>0</v>
      </c>
      <c r="BJ575" s="28">
        <f>F575*G575</f>
        <v>0</v>
      </c>
      <c r="BK575" s="28"/>
      <c r="BL575" s="28"/>
      <c r="BW575" s="28">
        <v>21</v>
      </c>
      <c r="BX575" s="4" t="s">
        <v>932</v>
      </c>
    </row>
    <row r="576" spans="1:76" ht="13.5" customHeight="1" x14ac:dyDescent="0.25">
      <c r="A576" s="31"/>
      <c r="C576" s="248" t="s">
        <v>937</v>
      </c>
      <c r="D576" s="249"/>
      <c r="E576" s="249"/>
      <c r="F576" s="249"/>
      <c r="G576" s="249"/>
      <c r="H576" s="249"/>
      <c r="I576" s="249"/>
      <c r="J576" s="249"/>
      <c r="K576" s="250"/>
    </row>
    <row r="577" spans="1:76" x14ac:dyDescent="0.25">
      <c r="A577" s="31"/>
      <c r="C577" s="34" t="s">
        <v>60</v>
      </c>
      <c r="D577" s="33" t="s">
        <v>52</v>
      </c>
      <c r="F577" s="35">
        <v>2</v>
      </c>
      <c r="K577" s="36"/>
    </row>
    <row r="578" spans="1:76" ht="25.5" x14ac:dyDescent="0.25">
      <c r="A578" s="2" t="s">
        <v>938</v>
      </c>
      <c r="B578" s="3" t="s">
        <v>939</v>
      </c>
      <c r="C578" s="230" t="s">
        <v>940</v>
      </c>
      <c r="D578" s="225"/>
      <c r="E578" s="3" t="s">
        <v>205</v>
      </c>
      <c r="F578" s="28">
        <v>8</v>
      </c>
      <c r="G578" s="28">
        <v>0</v>
      </c>
      <c r="H578" s="28">
        <f>ROUND(F578*AO578,2)</f>
        <v>0</v>
      </c>
      <c r="I578" s="28">
        <f>ROUND(F578*AP578,2)</f>
        <v>0</v>
      </c>
      <c r="J578" s="28">
        <f>ROUND(F578*G578,2)</f>
        <v>0</v>
      </c>
      <c r="K578" s="29" t="s">
        <v>109</v>
      </c>
      <c r="Z578" s="28">
        <f>ROUND(IF(AQ578="5",BJ578,0),2)</f>
        <v>0</v>
      </c>
      <c r="AB578" s="28">
        <f>ROUND(IF(AQ578="1",BH578,0),2)</f>
        <v>0</v>
      </c>
      <c r="AC578" s="28">
        <f>ROUND(IF(AQ578="1",BI578,0),2)</f>
        <v>0</v>
      </c>
      <c r="AD578" s="28">
        <f>ROUND(IF(AQ578="7",BH578,0),2)</f>
        <v>0</v>
      </c>
      <c r="AE578" s="28">
        <f>ROUND(IF(AQ578="7",BI578,0),2)</f>
        <v>0</v>
      </c>
      <c r="AF578" s="28">
        <f>ROUND(IF(AQ578="2",BH578,0),2)</f>
        <v>0</v>
      </c>
      <c r="AG578" s="28">
        <f>ROUND(IF(AQ578="2",BI578,0),2)</f>
        <v>0</v>
      </c>
      <c r="AH578" s="28">
        <f>ROUND(IF(AQ578="0",BJ578,0),2)</f>
        <v>0</v>
      </c>
      <c r="AI578" s="10" t="s">
        <v>909</v>
      </c>
      <c r="AJ578" s="28">
        <f>IF(AN578=0,J578,0)</f>
        <v>0</v>
      </c>
      <c r="AK578" s="28">
        <f>IF(AN578=12,J578,0)</f>
        <v>0</v>
      </c>
      <c r="AL578" s="28">
        <f>IF(AN578=21,J578,0)</f>
        <v>0</v>
      </c>
      <c r="AN578" s="28">
        <v>21</v>
      </c>
      <c r="AO578" s="28">
        <f>G578*0.098494297</f>
        <v>0</v>
      </c>
      <c r="AP578" s="28">
        <f>G578*(1-0.098494297)</f>
        <v>0</v>
      </c>
      <c r="AQ578" s="30" t="s">
        <v>60</v>
      </c>
      <c r="AV578" s="28">
        <f>ROUND(AW578+AX578,2)</f>
        <v>0</v>
      </c>
      <c r="AW578" s="28">
        <f>ROUND(F578*AO578,2)</f>
        <v>0</v>
      </c>
      <c r="AX578" s="28">
        <f>ROUND(F578*AP578,2)</f>
        <v>0</v>
      </c>
      <c r="AY578" s="30" t="s">
        <v>718</v>
      </c>
      <c r="AZ578" s="30" t="s">
        <v>922</v>
      </c>
      <c r="BA578" s="10" t="s">
        <v>915</v>
      </c>
      <c r="BC578" s="28">
        <f>AW578+AX578</f>
        <v>0</v>
      </c>
      <c r="BD578" s="28">
        <f>G578/(100-BE578)*100</f>
        <v>0</v>
      </c>
      <c r="BE578" s="28">
        <v>0</v>
      </c>
      <c r="BF578" s="28">
        <f>578</f>
        <v>578</v>
      </c>
      <c r="BH578" s="28">
        <f>F578*AO578</f>
        <v>0</v>
      </c>
      <c r="BI578" s="28">
        <f>F578*AP578</f>
        <v>0</v>
      </c>
      <c r="BJ578" s="28">
        <f>F578*G578</f>
        <v>0</v>
      </c>
      <c r="BK578" s="28"/>
      <c r="BL578" s="28"/>
      <c r="BW578" s="28">
        <v>21</v>
      </c>
      <c r="BX578" s="4" t="s">
        <v>940</v>
      </c>
    </row>
    <row r="579" spans="1:76" ht="13.5" customHeight="1" x14ac:dyDescent="0.25">
      <c r="A579" s="31"/>
      <c r="C579" s="248" t="s">
        <v>941</v>
      </c>
      <c r="D579" s="249"/>
      <c r="E579" s="249"/>
      <c r="F579" s="249"/>
      <c r="G579" s="249"/>
      <c r="H579" s="249"/>
      <c r="I579" s="249"/>
      <c r="J579" s="249"/>
      <c r="K579" s="250"/>
    </row>
    <row r="580" spans="1:76" x14ac:dyDescent="0.25">
      <c r="A580" s="31"/>
      <c r="C580" s="34" t="s">
        <v>114</v>
      </c>
      <c r="D580" s="33" t="s">
        <v>52</v>
      </c>
      <c r="F580" s="35">
        <v>8</v>
      </c>
      <c r="K580" s="36"/>
    </row>
    <row r="581" spans="1:76" ht="25.5" x14ac:dyDescent="0.25">
      <c r="A581" s="2" t="s">
        <v>942</v>
      </c>
      <c r="B581" s="3" t="s">
        <v>943</v>
      </c>
      <c r="C581" s="230" t="s">
        <v>940</v>
      </c>
      <c r="D581" s="225"/>
      <c r="E581" s="3" t="s">
        <v>205</v>
      </c>
      <c r="F581" s="28">
        <v>20</v>
      </c>
      <c r="G581" s="28">
        <v>0</v>
      </c>
      <c r="H581" s="28">
        <f>ROUND(F581*AO581,2)</f>
        <v>0</v>
      </c>
      <c r="I581" s="28">
        <f>ROUND(F581*AP581,2)</f>
        <v>0</v>
      </c>
      <c r="J581" s="28">
        <f>ROUND(F581*G581,2)</f>
        <v>0</v>
      </c>
      <c r="K581" s="29" t="s">
        <v>109</v>
      </c>
      <c r="Z581" s="28">
        <f>ROUND(IF(AQ581="5",BJ581,0),2)</f>
        <v>0</v>
      </c>
      <c r="AB581" s="28">
        <f>ROUND(IF(AQ581="1",BH581,0),2)</f>
        <v>0</v>
      </c>
      <c r="AC581" s="28">
        <f>ROUND(IF(AQ581="1",BI581,0),2)</f>
        <v>0</v>
      </c>
      <c r="AD581" s="28">
        <f>ROUND(IF(AQ581="7",BH581,0),2)</f>
        <v>0</v>
      </c>
      <c r="AE581" s="28">
        <f>ROUND(IF(AQ581="7",BI581,0),2)</f>
        <v>0</v>
      </c>
      <c r="AF581" s="28">
        <f>ROUND(IF(AQ581="2",BH581,0),2)</f>
        <v>0</v>
      </c>
      <c r="AG581" s="28">
        <f>ROUND(IF(AQ581="2",BI581,0),2)</f>
        <v>0</v>
      </c>
      <c r="AH581" s="28">
        <f>ROUND(IF(AQ581="0",BJ581,0),2)</f>
        <v>0</v>
      </c>
      <c r="AI581" s="10" t="s">
        <v>909</v>
      </c>
      <c r="AJ581" s="28">
        <f>IF(AN581=0,J581,0)</f>
        <v>0</v>
      </c>
      <c r="AK581" s="28">
        <f>IF(AN581=12,J581,0)</f>
        <v>0</v>
      </c>
      <c r="AL581" s="28">
        <f>IF(AN581=21,J581,0)</f>
        <v>0</v>
      </c>
      <c r="AN581" s="28">
        <v>21</v>
      </c>
      <c r="AO581" s="28">
        <f>G581*0.098459384</f>
        <v>0</v>
      </c>
      <c r="AP581" s="28">
        <f>G581*(1-0.098459384)</f>
        <v>0</v>
      </c>
      <c r="AQ581" s="30" t="s">
        <v>60</v>
      </c>
      <c r="AV581" s="28">
        <f>ROUND(AW581+AX581,2)</f>
        <v>0</v>
      </c>
      <c r="AW581" s="28">
        <f>ROUND(F581*AO581,2)</f>
        <v>0</v>
      </c>
      <c r="AX581" s="28">
        <f>ROUND(F581*AP581,2)</f>
        <v>0</v>
      </c>
      <c r="AY581" s="30" t="s">
        <v>718</v>
      </c>
      <c r="AZ581" s="30" t="s">
        <v>922</v>
      </c>
      <c r="BA581" s="10" t="s">
        <v>915</v>
      </c>
      <c r="BC581" s="28">
        <f>AW581+AX581</f>
        <v>0</v>
      </c>
      <c r="BD581" s="28">
        <f>G581/(100-BE581)*100</f>
        <v>0</v>
      </c>
      <c r="BE581" s="28">
        <v>0</v>
      </c>
      <c r="BF581" s="28">
        <f>581</f>
        <v>581</v>
      </c>
      <c r="BH581" s="28">
        <f>F581*AO581</f>
        <v>0</v>
      </c>
      <c r="BI581" s="28">
        <f>F581*AP581</f>
        <v>0</v>
      </c>
      <c r="BJ581" s="28">
        <f>F581*G581</f>
        <v>0</v>
      </c>
      <c r="BK581" s="28"/>
      <c r="BL581" s="28"/>
      <c r="BW581" s="28">
        <v>21</v>
      </c>
      <c r="BX581" s="4" t="s">
        <v>940</v>
      </c>
    </row>
    <row r="582" spans="1:76" ht="13.5" customHeight="1" x14ac:dyDescent="0.25">
      <c r="A582" s="31"/>
      <c r="C582" s="248" t="s">
        <v>944</v>
      </c>
      <c r="D582" s="249"/>
      <c r="E582" s="249"/>
      <c r="F582" s="249"/>
      <c r="G582" s="249"/>
      <c r="H582" s="249"/>
      <c r="I582" s="249"/>
      <c r="J582" s="249"/>
      <c r="K582" s="250"/>
    </row>
    <row r="583" spans="1:76" x14ac:dyDescent="0.25">
      <c r="A583" s="31"/>
      <c r="C583" s="34" t="s">
        <v>163</v>
      </c>
      <c r="D583" s="33" t="s">
        <v>52</v>
      </c>
      <c r="F583" s="35">
        <v>20</v>
      </c>
      <c r="K583" s="36"/>
    </row>
    <row r="584" spans="1:76" ht="25.5" x14ac:dyDescent="0.25">
      <c r="A584" s="2" t="s">
        <v>945</v>
      </c>
      <c r="B584" s="3" t="s">
        <v>946</v>
      </c>
      <c r="C584" s="230" t="s">
        <v>940</v>
      </c>
      <c r="D584" s="225"/>
      <c r="E584" s="3" t="s">
        <v>205</v>
      </c>
      <c r="F584" s="28">
        <v>250</v>
      </c>
      <c r="G584" s="28">
        <v>0</v>
      </c>
      <c r="H584" s="28">
        <f>ROUND(F584*AO584,2)</f>
        <v>0</v>
      </c>
      <c r="I584" s="28">
        <f>ROUND(F584*AP584,2)</f>
        <v>0</v>
      </c>
      <c r="J584" s="28">
        <f>ROUND(F584*G584,2)</f>
        <v>0</v>
      </c>
      <c r="K584" s="29" t="s">
        <v>109</v>
      </c>
      <c r="Z584" s="28">
        <f>ROUND(IF(AQ584="5",BJ584,0),2)</f>
        <v>0</v>
      </c>
      <c r="AB584" s="28">
        <f>ROUND(IF(AQ584="1",BH584,0),2)</f>
        <v>0</v>
      </c>
      <c r="AC584" s="28">
        <f>ROUND(IF(AQ584="1",BI584,0),2)</f>
        <v>0</v>
      </c>
      <c r="AD584" s="28">
        <f>ROUND(IF(AQ584="7",BH584,0),2)</f>
        <v>0</v>
      </c>
      <c r="AE584" s="28">
        <f>ROUND(IF(AQ584="7",BI584,0),2)</f>
        <v>0</v>
      </c>
      <c r="AF584" s="28">
        <f>ROUND(IF(AQ584="2",BH584,0),2)</f>
        <v>0</v>
      </c>
      <c r="AG584" s="28">
        <f>ROUND(IF(AQ584="2",BI584,0),2)</f>
        <v>0</v>
      </c>
      <c r="AH584" s="28">
        <f>ROUND(IF(AQ584="0",BJ584,0),2)</f>
        <v>0</v>
      </c>
      <c r="AI584" s="10" t="s">
        <v>909</v>
      </c>
      <c r="AJ584" s="28">
        <f>IF(AN584=0,J584,0)</f>
        <v>0</v>
      </c>
      <c r="AK584" s="28">
        <f>IF(AN584=12,J584,0)</f>
        <v>0</v>
      </c>
      <c r="AL584" s="28">
        <f>IF(AN584=21,J584,0)</f>
        <v>0</v>
      </c>
      <c r="AN584" s="28">
        <v>21</v>
      </c>
      <c r="AO584" s="28">
        <f>G584*0.098571429</f>
        <v>0</v>
      </c>
      <c r="AP584" s="28">
        <f>G584*(1-0.098571429)</f>
        <v>0</v>
      </c>
      <c r="AQ584" s="30" t="s">
        <v>60</v>
      </c>
      <c r="AV584" s="28">
        <f>ROUND(AW584+AX584,2)</f>
        <v>0</v>
      </c>
      <c r="AW584" s="28">
        <f>ROUND(F584*AO584,2)</f>
        <v>0</v>
      </c>
      <c r="AX584" s="28">
        <f>ROUND(F584*AP584,2)</f>
        <v>0</v>
      </c>
      <c r="AY584" s="30" t="s">
        <v>718</v>
      </c>
      <c r="AZ584" s="30" t="s">
        <v>922</v>
      </c>
      <c r="BA584" s="10" t="s">
        <v>915</v>
      </c>
      <c r="BC584" s="28">
        <f>AW584+AX584</f>
        <v>0</v>
      </c>
      <c r="BD584" s="28">
        <f>G584/(100-BE584)*100</f>
        <v>0</v>
      </c>
      <c r="BE584" s="28">
        <v>0</v>
      </c>
      <c r="BF584" s="28">
        <f>584</f>
        <v>584</v>
      </c>
      <c r="BH584" s="28">
        <f>F584*AO584</f>
        <v>0</v>
      </c>
      <c r="BI584" s="28">
        <f>F584*AP584</f>
        <v>0</v>
      </c>
      <c r="BJ584" s="28">
        <f>F584*G584</f>
        <v>0</v>
      </c>
      <c r="BK584" s="28"/>
      <c r="BL584" s="28"/>
      <c r="BW584" s="28">
        <v>21</v>
      </c>
      <c r="BX584" s="4" t="s">
        <v>940</v>
      </c>
    </row>
    <row r="585" spans="1:76" ht="13.5" customHeight="1" x14ac:dyDescent="0.25">
      <c r="A585" s="31"/>
      <c r="C585" s="248" t="s">
        <v>947</v>
      </c>
      <c r="D585" s="249"/>
      <c r="E585" s="249"/>
      <c r="F585" s="249"/>
      <c r="G585" s="249"/>
      <c r="H585" s="249"/>
      <c r="I585" s="249"/>
      <c r="J585" s="249"/>
      <c r="K585" s="250"/>
    </row>
    <row r="586" spans="1:76" x14ac:dyDescent="0.25">
      <c r="A586" s="31"/>
      <c r="C586" s="34" t="s">
        <v>948</v>
      </c>
      <c r="D586" s="33" t="s">
        <v>52</v>
      </c>
      <c r="F586" s="35">
        <v>250</v>
      </c>
      <c r="K586" s="36"/>
    </row>
    <row r="587" spans="1:76" ht="25.5" x14ac:dyDescent="0.25">
      <c r="A587" s="2" t="s">
        <v>949</v>
      </c>
      <c r="B587" s="3" t="s">
        <v>950</v>
      </c>
      <c r="C587" s="230" t="s">
        <v>951</v>
      </c>
      <c r="D587" s="225"/>
      <c r="E587" s="3" t="s">
        <v>205</v>
      </c>
      <c r="F587" s="28">
        <v>450</v>
      </c>
      <c r="G587" s="28">
        <v>0</v>
      </c>
      <c r="H587" s="28">
        <f>ROUND(F587*AO587,2)</f>
        <v>0</v>
      </c>
      <c r="I587" s="28">
        <f>ROUND(F587*AP587,2)</f>
        <v>0</v>
      </c>
      <c r="J587" s="28">
        <f>ROUND(F587*G587,2)</f>
        <v>0</v>
      </c>
      <c r="K587" s="29" t="s">
        <v>109</v>
      </c>
      <c r="Z587" s="28">
        <f>ROUND(IF(AQ587="5",BJ587,0),2)</f>
        <v>0</v>
      </c>
      <c r="AB587" s="28">
        <f>ROUND(IF(AQ587="1",BH587,0),2)</f>
        <v>0</v>
      </c>
      <c r="AC587" s="28">
        <f>ROUND(IF(AQ587="1",BI587,0),2)</f>
        <v>0</v>
      </c>
      <c r="AD587" s="28">
        <f>ROUND(IF(AQ587="7",BH587,0),2)</f>
        <v>0</v>
      </c>
      <c r="AE587" s="28">
        <f>ROUND(IF(AQ587="7",BI587,0),2)</f>
        <v>0</v>
      </c>
      <c r="AF587" s="28">
        <f>ROUND(IF(AQ587="2",BH587,0),2)</f>
        <v>0</v>
      </c>
      <c r="AG587" s="28">
        <f>ROUND(IF(AQ587="2",BI587,0),2)</f>
        <v>0</v>
      </c>
      <c r="AH587" s="28">
        <f>ROUND(IF(AQ587="0",BJ587,0),2)</f>
        <v>0</v>
      </c>
      <c r="AI587" s="10" t="s">
        <v>909</v>
      </c>
      <c r="AJ587" s="28">
        <f>IF(AN587=0,J587,0)</f>
        <v>0</v>
      </c>
      <c r="AK587" s="28">
        <f>IF(AN587=12,J587,0)</f>
        <v>0</v>
      </c>
      <c r="AL587" s="28">
        <f>IF(AN587=21,J587,0)</f>
        <v>0</v>
      </c>
      <c r="AN587" s="28">
        <v>21</v>
      </c>
      <c r="AO587" s="28">
        <f>G587*0.098598131</f>
        <v>0</v>
      </c>
      <c r="AP587" s="28">
        <f>G587*(1-0.098598131)</f>
        <v>0</v>
      </c>
      <c r="AQ587" s="30" t="s">
        <v>60</v>
      </c>
      <c r="AV587" s="28">
        <f>ROUND(AW587+AX587,2)</f>
        <v>0</v>
      </c>
      <c r="AW587" s="28">
        <f>ROUND(F587*AO587,2)</f>
        <v>0</v>
      </c>
      <c r="AX587" s="28">
        <f>ROUND(F587*AP587,2)</f>
        <v>0</v>
      </c>
      <c r="AY587" s="30" t="s">
        <v>718</v>
      </c>
      <c r="AZ587" s="30" t="s">
        <v>922</v>
      </c>
      <c r="BA587" s="10" t="s">
        <v>915</v>
      </c>
      <c r="BC587" s="28">
        <f>AW587+AX587</f>
        <v>0</v>
      </c>
      <c r="BD587" s="28">
        <f>G587/(100-BE587)*100</f>
        <v>0</v>
      </c>
      <c r="BE587" s="28">
        <v>0</v>
      </c>
      <c r="BF587" s="28">
        <f>587</f>
        <v>587</v>
      </c>
      <c r="BH587" s="28">
        <f>F587*AO587</f>
        <v>0</v>
      </c>
      <c r="BI587" s="28">
        <f>F587*AP587</f>
        <v>0</v>
      </c>
      <c r="BJ587" s="28">
        <f>F587*G587</f>
        <v>0</v>
      </c>
      <c r="BK587" s="28"/>
      <c r="BL587" s="28"/>
      <c r="BW587" s="28">
        <v>21</v>
      </c>
      <c r="BX587" s="4" t="s">
        <v>951</v>
      </c>
    </row>
    <row r="588" spans="1:76" ht="13.5" customHeight="1" x14ac:dyDescent="0.25">
      <c r="A588" s="31"/>
      <c r="C588" s="248" t="s">
        <v>952</v>
      </c>
      <c r="D588" s="249"/>
      <c r="E588" s="249"/>
      <c r="F588" s="249"/>
      <c r="G588" s="249"/>
      <c r="H588" s="249"/>
      <c r="I588" s="249"/>
      <c r="J588" s="249"/>
      <c r="K588" s="250"/>
    </row>
    <row r="589" spans="1:76" x14ac:dyDescent="0.25">
      <c r="A589" s="31"/>
      <c r="C589" s="34" t="s">
        <v>953</v>
      </c>
      <c r="D589" s="33" t="s">
        <v>52</v>
      </c>
      <c r="F589" s="35">
        <v>450</v>
      </c>
      <c r="K589" s="36"/>
    </row>
    <row r="590" spans="1:76" ht="25.5" x14ac:dyDescent="0.25">
      <c r="A590" s="2" t="s">
        <v>954</v>
      </c>
      <c r="B590" s="3" t="s">
        <v>955</v>
      </c>
      <c r="C590" s="230" t="s">
        <v>951</v>
      </c>
      <c r="D590" s="225"/>
      <c r="E590" s="3" t="s">
        <v>205</v>
      </c>
      <c r="F590" s="28">
        <v>6</v>
      </c>
      <c r="G590" s="28">
        <v>0</v>
      </c>
      <c r="H590" s="28">
        <f>ROUND(F590*AO590,2)</f>
        <v>0</v>
      </c>
      <c r="I590" s="28">
        <f>ROUND(F590*AP590,2)</f>
        <v>0</v>
      </c>
      <c r="J590" s="28">
        <f>ROUND(F590*G590,2)</f>
        <v>0</v>
      </c>
      <c r="K590" s="29" t="s">
        <v>109</v>
      </c>
      <c r="Z590" s="28">
        <f>ROUND(IF(AQ590="5",BJ590,0),2)</f>
        <v>0</v>
      </c>
      <c r="AB590" s="28">
        <f>ROUND(IF(AQ590="1",BH590,0),2)</f>
        <v>0</v>
      </c>
      <c r="AC590" s="28">
        <f>ROUND(IF(AQ590="1",BI590,0),2)</f>
        <v>0</v>
      </c>
      <c r="AD590" s="28">
        <f>ROUND(IF(AQ590="7",BH590,0),2)</f>
        <v>0</v>
      </c>
      <c r="AE590" s="28">
        <f>ROUND(IF(AQ590="7",BI590,0),2)</f>
        <v>0</v>
      </c>
      <c r="AF590" s="28">
        <f>ROUND(IF(AQ590="2",BH590,0),2)</f>
        <v>0</v>
      </c>
      <c r="AG590" s="28">
        <f>ROUND(IF(AQ590="2",BI590,0),2)</f>
        <v>0</v>
      </c>
      <c r="AH590" s="28">
        <f>ROUND(IF(AQ590="0",BJ590,0),2)</f>
        <v>0</v>
      </c>
      <c r="AI590" s="10" t="s">
        <v>909</v>
      </c>
      <c r="AJ590" s="28">
        <f>IF(AN590=0,J590,0)</f>
        <v>0</v>
      </c>
      <c r="AK590" s="28">
        <f>IF(AN590=12,J590,0)</f>
        <v>0</v>
      </c>
      <c r="AL590" s="28">
        <f>IF(AN590=21,J590,0)</f>
        <v>0</v>
      </c>
      <c r="AN590" s="28">
        <v>21</v>
      </c>
      <c r="AO590" s="28">
        <f>G590*0.098595506</f>
        <v>0</v>
      </c>
      <c r="AP590" s="28">
        <f>G590*(1-0.098595506)</f>
        <v>0</v>
      </c>
      <c r="AQ590" s="30" t="s">
        <v>60</v>
      </c>
      <c r="AV590" s="28">
        <f>ROUND(AW590+AX590,2)</f>
        <v>0</v>
      </c>
      <c r="AW590" s="28">
        <f>ROUND(F590*AO590,2)</f>
        <v>0</v>
      </c>
      <c r="AX590" s="28">
        <f>ROUND(F590*AP590,2)</f>
        <v>0</v>
      </c>
      <c r="AY590" s="30" t="s">
        <v>718</v>
      </c>
      <c r="AZ590" s="30" t="s">
        <v>922</v>
      </c>
      <c r="BA590" s="10" t="s">
        <v>915</v>
      </c>
      <c r="BC590" s="28">
        <f>AW590+AX590</f>
        <v>0</v>
      </c>
      <c r="BD590" s="28">
        <f>G590/(100-BE590)*100</f>
        <v>0</v>
      </c>
      <c r="BE590" s="28">
        <v>0</v>
      </c>
      <c r="BF590" s="28">
        <f>590</f>
        <v>590</v>
      </c>
      <c r="BH590" s="28">
        <f>F590*AO590</f>
        <v>0</v>
      </c>
      <c r="BI590" s="28">
        <f>F590*AP590</f>
        <v>0</v>
      </c>
      <c r="BJ590" s="28">
        <f>F590*G590</f>
        <v>0</v>
      </c>
      <c r="BK590" s="28"/>
      <c r="BL590" s="28"/>
      <c r="BW590" s="28">
        <v>21</v>
      </c>
      <c r="BX590" s="4" t="s">
        <v>951</v>
      </c>
    </row>
    <row r="591" spans="1:76" ht="13.5" customHeight="1" x14ac:dyDescent="0.25">
      <c r="A591" s="31"/>
      <c r="C591" s="248" t="s">
        <v>956</v>
      </c>
      <c r="D591" s="249"/>
      <c r="E591" s="249"/>
      <c r="F591" s="249"/>
      <c r="G591" s="249"/>
      <c r="H591" s="249"/>
      <c r="I591" s="249"/>
      <c r="J591" s="249"/>
      <c r="K591" s="250"/>
    </row>
    <row r="592" spans="1:76" x14ac:dyDescent="0.25">
      <c r="A592" s="31"/>
      <c r="C592" s="34" t="s">
        <v>105</v>
      </c>
      <c r="D592" s="33" t="s">
        <v>52</v>
      </c>
      <c r="F592" s="35">
        <v>6</v>
      </c>
      <c r="K592" s="36"/>
    </row>
    <row r="593" spans="1:76" x14ac:dyDescent="0.25">
      <c r="A593" s="2" t="s">
        <v>957</v>
      </c>
      <c r="B593" s="3" t="s">
        <v>958</v>
      </c>
      <c r="C593" s="230" t="s">
        <v>959</v>
      </c>
      <c r="D593" s="225"/>
      <c r="E593" s="3" t="s">
        <v>205</v>
      </c>
      <c r="F593" s="28">
        <v>535</v>
      </c>
      <c r="G593" s="28">
        <v>0</v>
      </c>
      <c r="H593" s="28">
        <f>ROUND(F593*AO593,2)</f>
        <v>0</v>
      </c>
      <c r="I593" s="28">
        <f>ROUND(F593*AP593,2)</f>
        <v>0</v>
      </c>
      <c r="J593" s="28">
        <f>ROUND(F593*G593,2)</f>
        <v>0</v>
      </c>
      <c r="K593" s="29" t="s">
        <v>109</v>
      </c>
      <c r="Z593" s="28">
        <f>ROUND(IF(AQ593="5",BJ593,0),2)</f>
        <v>0</v>
      </c>
      <c r="AB593" s="28">
        <f>ROUND(IF(AQ593="1",BH593,0),2)</f>
        <v>0</v>
      </c>
      <c r="AC593" s="28">
        <f>ROUND(IF(AQ593="1",BI593,0),2)</f>
        <v>0</v>
      </c>
      <c r="AD593" s="28">
        <f>ROUND(IF(AQ593="7",BH593,0),2)</f>
        <v>0</v>
      </c>
      <c r="AE593" s="28">
        <f>ROUND(IF(AQ593="7",BI593,0),2)</f>
        <v>0</v>
      </c>
      <c r="AF593" s="28">
        <f>ROUND(IF(AQ593="2",BH593,0),2)</f>
        <v>0</v>
      </c>
      <c r="AG593" s="28">
        <f>ROUND(IF(AQ593="2",BI593,0),2)</f>
        <v>0</v>
      </c>
      <c r="AH593" s="28">
        <f>ROUND(IF(AQ593="0",BJ593,0),2)</f>
        <v>0</v>
      </c>
      <c r="AI593" s="10" t="s">
        <v>909</v>
      </c>
      <c r="AJ593" s="28">
        <f>IF(AN593=0,J593,0)</f>
        <v>0</v>
      </c>
      <c r="AK593" s="28">
        <f>IF(AN593=12,J593,0)</f>
        <v>0</v>
      </c>
      <c r="AL593" s="28">
        <f>IF(AN593=21,J593,0)</f>
        <v>0</v>
      </c>
      <c r="AN593" s="28">
        <v>21</v>
      </c>
      <c r="AO593" s="28">
        <f>G593*0.0986053</f>
        <v>0</v>
      </c>
      <c r="AP593" s="28">
        <f>G593*(1-0.0986053)</f>
        <v>0</v>
      </c>
      <c r="AQ593" s="30" t="s">
        <v>60</v>
      </c>
      <c r="AV593" s="28">
        <f>ROUND(AW593+AX593,2)</f>
        <v>0</v>
      </c>
      <c r="AW593" s="28">
        <f>ROUND(F593*AO593,2)</f>
        <v>0</v>
      </c>
      <c r="AX593" s="28">
        <f>ROUND(F593*AP593,2)</f>
        <v>0</v>
      </c>
      <c r="AY593" s="30" t="s">
        <v>718</v>
      </c>
      <c r="AZ593" s="30" t="s">
        <v>922</v>
      </c>
      <c r="BA593" s="10" t="s">
        <v>915</v>
      </c>
      <c r="BC593" s="28">
        <f>AW593+AX593</f>
        <v>0</v>
      </c>
      <c r="BD593" s="28">
        <f>G593/(100-BE593)*100</f>
        <v>0</v>
      </c>
      <c r="BE593" s="28">
        <v>0</v>
      </c>
      <c r="BF593" s="28">
        <f>593</f>
        <v>593</v>
      </c>
      <c r="BH593" s="28">
        <f>F593*AO593</f>
        <v>0</v>
      </c>
      <c r="BI593" s="28">
        <f>F593*AP593</f>
        <v>0</v>
      </c>
      <c r="BJ593" s="28">
        <f>F593*G593</f>
        <v>0</v>
      </c>
      <c r="BK593" s="28"/>
      <c r="BL593" s="28"/>
      <c r="BW593" s="28">
        <v>21</v>
      </c>
      <c r="BX593" s="4" t="s">
        <v>959</v>
      </c>
    </row>
    <row r="594" spans="1:76" ht="13.5" customHeight="1" x14ac:dyDescent="0.25">
      <c r="A594" s="31"/>
      <c r="C594" s="248" t="s">
        <v>960</v>
      </c>
      <c r="D594" s="249"/>
      <c r="E594" s="249"/>
      <c r="F594" s="249"/>
      <c r="G594" s="249"/>
      <c r="H594" s="249"/>
      <c r="I594" s="249"/>
      <c r="J594" s="249"/>
      <c r="K594" s="250"/>
    </row>
    <row r="595" spans="1:76" x14ac:dyDescent="0.25">
      <c r="A595" s="31"/>
      <c r="C595" s="34" t="s">
        <v>961</v>
      </c>
      <c r="D595" s="33" t="s">
        <v>52</v>
      </c>
      <c r="F595" s="35">
        <v>535</v>
      </c>
      <c r="K595" s="36"/>
    </row>
    <row r="596" spans="1:76" ht="25.5" x14ac:dyDescent="0.25">
      <c r="A596" s="2" t="s">
        <v>962</v>
      </c>
      <c r="B596" s="3" t="s">
        <v>963</v>
      </c>
      <c r="C596" s="230" t="s">
        <v>964</v>
      </c>
      <c r="D596" s="225"/>
      <c r="E596" s="3" t="s">
        <v>205</v>
      </c>
      <c r="F596" s="28">
        <v>75</v>
      </c>
      <c r="G596" s="28">
        <v>0</v>
      </c>
      <c r="H596" s="28">
        <f>ROUND(F596*AO596,2)</f>
        <v>0</v>
      </c>
      <c r="I596" s="28">
        <f>ROUND(F596*AP596,2)</f>
        <v>0</v>
      </c>
      <c r="J596" s="28">
        <f>ROUND(F596*G596,2)</f>
        <v>0</v>
      </c>
      <c r="K596" s="29" t="s">
        <v>109</v>
      </c>
      <c r="Z596" s="28">
        <f>ROUND(IF(AQ596="5",BJ596,0),2)</f>
        <v>0</v>
      </c>
      <c r="AB596" s="28">
        <f>ROUND(IF(AQ596="1",BH596,0),2)</f>
        <v>0</v>
      </c>
      <c r="AC596" s="28">
        <f>ROUND(IF(AQ596="1",BI596,0),2)</f>
        <v>0</v>
      </c>
      <c r="AD596" s="28">
        <f>ROUND(IF(AQ596="7",BH596,0),2)</f>
        <v>0</v>
      </c>
      <c r="AE596" s="28">
        <f>ROUND(IF(AQ596="7",BI596,0),2)</f>
        <v>0</v>
      </c>
      <c r="AF596" s="28">
        <f>ROUND(IF(AQ596="2",BH596,0),2)</f>
        <v>0</v>
      </c>
      <c r="AG596" s="28">
        <f>ROUND(IF(AQ596="2",BI596,0),2)</f>
        <v>0</v>
      </c>
      <c r="AH596" s="28">
        <f>ROUND(IF(AQ596="0",BJ596,0),2)</f>
        <v>0</v>
      </c>
      <c r="AI596" s="10" t="s">
        <v>909</v>
      </c>
      <c r="AJ596" s="28">
        <f>IF(AN596=0,J596,0)</f>
        <v>0</v>
      </c>
      <c r="AK596" s="28">
        <f>IF(AN596=12,J596,0)</f>
        <v>0</v>
      </c>
      <c r="AL596" s="28">
        <f>IF(AN596=21,J596,0)</f>
        <v>0</v>
      </c>
      <c r="AN596" s="28">
        <v>21</v>
      </c>
      <c r="AO596" s="28">
        <f>G596*0.098537477</f>
        <v>0</v>
      </c>
      <c r="AP596" s="28">
        <f>G596*(1-0.098537477)</f>
        <v>0</v>
      </c>
      <c r="AQ596" s="30" t="s">
        <v>60</v>
      </c>
      <c r="AV596" s="28">
        <f>ROUND(AW596+AX596,2)</f>
        <v>0</v>
      </c>
      <c r="AW596" s="28">
        <f>ROUND(F596*AO596,2)</f>
        <v>0</v>
      </c>
      <c r="AX596" s="28">
        <f>ROUND(F596*AP596,2)</f>
        <v>0</v>
      </c>
      <c r="AY596" s="30" t="s">
        <v>718</v>
      </c>
      <c r="AZ596" s="30" t="s">
        <v>922</v>
      </c>
      <c r="BA596" s="10" t="s">
        <v>915</v>
      </c>
      <c r="BC596" s="28">
        <f>AW596+AX596</f>
        <v>0</v>
      </c>
      <c r="BD596" s="28">
        <f>G596/(100-BE596)*100</f>
        <v>0</v>
      </c>
      <c r="BE596" s="28">
        <v>0</v>
      </c>
      <c r="BF596" s="28">
        <f>596</f>
        <v>596</v>
      </c>
      <c r="BH596" s="28">
        <f>F596*AO596</f>
        <v>0</v>
      </c>
      <c r="BI596" s="28">
        <f>F596*AP596</f>
        <v>0</v>
      </c>
      <c r="BJ596" s="28">
        <f>F596*G596</f>
        <v>0</v>
      </c>
      <c r="BK596" s="28"/>
      <c r="BL596" s="28"/>
      <c r="BW596" s="28">
        <v>21</v>
      </c>
      <c r="BX596" s="4" t="s">
        <v>964</v>
      </c>
    </row>
    <row r="597" spans="1:76" ht="13.5" customHeight="1" x14ac:dyDescent="0.25">
      <c r="A597" s="31"/>
      <c r="C597" s="248" t="s">
        <v>960</v>
      </c>
      <c r="D597" s="249"/>
      <c r="E597" s="249"/>
      <c r="F597" s="249"/>
      <c r="G597" s="249"/>
      <c r="H597" s="249"/>
      <c r="I597" s="249"/>
      <c r="J597" s="249"/>
      <c r="K597" s="250"/>
    </row>
    <row r="598" spans="1:76" x14ac:dyDescent="0.25">
      <c r="A598" s="31"/>
      <c r="C598" s="34" t="s">
        <v>484</v>
      </c>
      <c r="D598" s="33" t="s">
        <v>52</v>
      </c>
      <c r="F598" s="35">
        <v>75</v>
      </c>
      <c r="K598" s="36"/>
    </row>
    <row r="599" spans="1:76" x14ac:dyDescent="0.25">
      <c r="A599" s="2" t="s">
        <v>965</v>
      </c>
      <c r="B599" s="3" t="s">
        <v>966</v>
      </c>
      <c r="C599" s="230" t="s">
        <v>967</v>
      </c>
      <c r="D599" s="225"/>
      <c r="E599" s="3" t="s">
        <v>205</v>
      </c>
      <c r="F599" s="28">
        <v>285</v>
      </c>
      <c r="G599" s="28">
        <v>0</v>
      </c>
      <c r="H599" s="28">
        <f>ROUND(F599*AO599,2)</f>
        <v>0</v>
      </c>
      <c r="I599" s="28">
        <f>ROUND(F599*AP599,2)</f>
        <v>0</v>
      </c>
      <c r="J599" s="28">
        <f>ROUND(F599*G599,2)</f>
        <v>0</v>
      </c>
      <c r="K599" s="29" t="s">
        <v>109</v>
      </c>
      <c r="Z599" s="28">
        <f>ROUND(IF(AQ599="5",BJ599,0),2)</f>
        <v>0</v>
      </c>
      <c r="AB599" s="28">
        <f>ROUND(IF(AQ599="1",BH599,0),2)</f>
        <v>0</v>
      </c>
      <c r="AC599" s="28">
        <f>ROUND(IF(AQ599="1",BI599,0),2)</f>
        <v>0</v>
      </c>
      <c r="AD599" s="28">
        <f>ROUND(IF(AQ599="7",BH599,0),2)</f>
        <v>0</v>
      </c>
      <c r="AE599" s="28">
        <f>ROUND(IF(AQ599="7",BI599,0),2)</f>
        <v>0</v>
      </c>
      <c r="AF599" s="28">
        <f>ROUND(IF(AQ599="2",BH599,0),2)</f>
        <v>0</v>
      </c>
      <c r="AG599" s="28">
        <f>ROUND(IF(AQ599="2",BI599,0),2)</f>
        <v>0</v>
      </c>
      <c r="AH599" s="28">
        <f>ROUND(IF(AQ599="0",BJ599,0),2)</f>
        <v>0</v>
      </c>
      <c r="AI599" s="10" t="s">
        <v>909</v>
      </c>
      <c r="AJ599" s="28">
        <f>IF(AN599=0,J599,0)</f>
        <v>0</v>
      </c>
      <c r="AK599" s="28">
        <f>IF(AN599=12,J599,0)</f>
        <v>0</v>
      </c>
      <c r="AL599" s="28">
        <f>IF(AN599=21,J599,0)</f>
        <v>0</v>
      </c>
      <c r="AN599" s="28">
        <v>21</v>
      </c>
      <c r="AO599" s="28">
        <f>G599*0.098496241</f>
        <v>0</v>
      </c>
      <c r="AP599" s="28">
        <f>G599*(1-0.098496241)</f>
        <v>0</v>
      </c>
      <c r="AQ599" s="30" t="s">
        <v>60</v>
      </c>
      <c r="AV599" s="28">
        <f>ROUND(AW599+AX599,2)</f>
        <v>0</v>
      </c>
      <c r="AW599" s="28">
        <f>ROUND(F599*AO599,2)</f>
        <v>0</v>
      </c>
      <c r="AX599" s="28">
        <f>ROUND(F599*AP599,2)</f>
        <v>0</v>
      </c>
      <c r="AY599" s="30" t="s">
        <v>718</v>
      </c>
      <c r="AZ599" s="30" t="s">
        <v>922</v>
      </c>
      <c r="BA599" s="10" t="s">
        <v>915</v>
      </c>
      <c r="BC599" s="28">
        <f>AW599+AX599</f>
        <v>0</v>
      </c>
      <c r="BD599" s="28">
        <f>G599/(100-BE599)*100</f>
        <v>0</v>
      </c>
      <c r="BE599" s="28">
        <v>0</v>
      </c>
      <c r="BF599" s="28">
        <f>599</f>
        <v>599</v>
      </c>
      <c r="BH599" s="28">
        <f>F599*AO599</f>
        <v>0</v>
      </c>
      <c r="BI599" s="28">
        <f>F599*AP599</f>
        <v>0</v>
      </c>
      <c r="BJ599" s="28">
        <f>F599*G599</f>
        <v>0</v>
      </c>
      <c r="BK599" s="28"/>
      <c r="BL599" s="28"/>
      <c r="BW599" s="28">
        <v>21</v>
      </c>
      <c r="BX599" s="4" t="s">
        <v>967</v>
      </c>
    </row>
    <row r="600" spans="1:76" ht="13.5" customHeight="1" x14ac:dyDescent="0.25">
      <c r="A600" s="31"/>
      <c r="C600" s="248" t="s">
        <v>968</v>
      </c>
      <c r="D600" s="249"/>
      <c r="E600" s="249"/>
      <c r="F600" s="249"/>
      <c r="G600" s="249"/>
      <c r="H600" s="249"/>
      <c r="I600" s="249"/>
      <c r="J600" s="249"/>
      <c r="K600" s="250"/>
    </row>
    <row r="601" spans="1:76" x14ac:dyDescent="0.25">
      <c r="A601" s="31"/>
      <c r="C601" s="34" t="s">
        <v>969</v>
      </c>
      <c r="D601" s="33" t="s">
        <v>52</v>
      </c>
      <c r="F601" s="35">
        <v>285</v>
      </c>
      <c r="K601" s="36"/>
    </row>
    <row r="602" spans="1:76" x14ac:dyDescent="0.25">
      <c r="A602" s="24" t="s">
        <v>52</v>
      </c>
      <c r="B602" s="25" t="s">
        <v>970</v>
      </c>
      <c r="C602" s="246" t="s">
        <v>971</v>
      </c>
      <c r="D602" s="247"/>
      <c r="E602" s="26" t="s">
        <v>33</v>
      </c>
      <c r="F602" s="26" t="s">
        <v>33</v>
      </c>
      <c r="G602" s="26" t="s">
        <v>33</v>
      </c>
      <c r="H602" s="1">
        <f>SUM(H603:H701)</f>
        <v>0</v>
      </c>
      <c r="I602" s="1">
        <f>SUM(I603:I701)</f>
        <v>0</v>
      </c>
      <c r="J602" s="1">
        <f>SUM(J603:J701)</f>
        <v>0</v>
      </c>
      <c r="K602" s="27" t="s">
        <v>52</v>
      </c>
      <c r="AI602" s="10" t="s">
        <v>909</v>
      </c>
      <c r="AS602" s="1">
        <f>SUM(AJ603:AJ701)</f>
        <v>0</v>
      </c>
      <c r="AT602" s="1">
        <f>SUM(AK603:AK701)</f>
        <v>0</v>
      </c>
      <c r="AU602" s="1">
        <f>SUM(AL603:AL701)</f>
        <v>0</v>
      </c>
    </row>
    <row r="603" spans="1:76" ht="25.5" x14ac:dyDescent="0.25">
      <c r="A603" s="2" t="s">
        <v>972</v>
      </c>
      <c r="B603" s="3" t="s">
        <v>973</v>
      </c>
      <c r="C603" s="230" t="s">
        <v>974</v>
      </c>
      <c r="D603" s="225"/>
      <c r="E603" s="3" t="s">
        <v>717</v>
      </c>
      <c r="F603" s="28">
        <v>3</v>
      </c>
      <c r="G603" s="28">
        <v>0</v>
      </c>
      <c r="H603" s="28">
        <f>ROUND(F603*AO603,2)</f>
        <v>0</v>
      </c>
      <c r="I603" s="28">
        <f>ROUND(F603*AP603,2)</f>
        <v>0</v>
      </c>
      <c r="J603" s="28">
        <f>ROUND(F603*G603,2)</f>
        <v>0</v>
      </c>
      <c r="K603" s="29" t="s">
        <v>109</v>
      </c>
      <c r="Z603" s="28">
        <f>ROUND(IF(AQ603="5",BJ603,0),2)</f>
        <v>0</v>
      </c>
      <c r="AB603" s="28">
        <f>ROUND(IF(AQ603="1",BH603,0),2)</f>
        <v>0</v>
      </c>
      <c r="AC603" s="28">
        <f>ROUND(IF(AQ603="1",BI603,0),2)</f>
        <v>0</v>
      </c>
      <c r="AD603" s="28">
        <f>ROUND(IF(AQ603="7",BH603,0),2)</f>
        <v>0</v>
      </c>
      <c r="AE603" s="28">
        <f>ROUND(IF(AQ603="7",BI603,0),2)</f>
        <v>0</v>
      </c>
      <c r="AF603" s="28">
        <f>ROUND(IF(AQ603="2",BH603,0),2)</f>
        <v>0</v>
      </c>
      <c r="AG603" s="28">
        <f>ROUND(IF(AQ603="2",BI603,0),2)</f>
        <v>0</v>
      </c>
      <c r="AH603" s="28">
        <f>ROUND(IF(AQ603="0",BJ603,0),2)</f>
        <v>0</v>
      </c>
      <c r="AI603" s="10" t="s">
        <v>909</v>
      </c>
      <c r="AJ603" s="28">
        <f>IF(AN603=0,J603,0)</f>
        <v>0</v>
      </c>
      <c r="AK603" s="28">
        <f>IF(AN603=12,J603,0)</f>
        <v>0</v>
      </c>
      <c r="AL603" s="28">
        <f>IF(AN603=21,J603,0)</f>
        <v>0</v>
      </c>
      <c r="AN603" s="28">
        <v>21</v>
      </c>
      <c r="AO603" s="28">
        <f>G603*0.098496716</f>
        <v>0</v>
      </c>
      <c r="AP603" s="28">
        <f>G603*(1-0.098496716)</f>
        <v>0</v>
      </c>
      <c r="AQ603" s="30" t="s">
        <v>60</v>
      </c>
      <c r="AV603" s="28">
        <f>ROUND(AW603+AX603,2)</f>
        <v>0</v>
      </c>
      <c r="AW603" s="28">
        <f>ROUND(F603*AO603,2)</f>
        <v>0</v>
      </c>
      <c r="AX603" s="28">
        <f>ROUND(F603*AP603,2)</f>
        <v>0</v>
      </c>
      <c r="AY603" s="30" t="s">
        <v>975</v>
      </c>
      <c r="AZ603" s="30" t="s">
        <v>922</v>
      </c>
      <c r="BA603" s="10" t="s">
        <v>915</v>
      </c>
      <c r="BC603" s="28">
        <f>AW603+AX603</f>
        <v>0</v>
      </c>
      <c r="BD603" s="28">
        <f>G603/(100-BE603)*100</f>
        <v>0</v>
      </c>
      <c r="BE603" s="28">
        <v>0</v>
      </c>
      <c r="BF603" s="28">
        <f>603</f>
        <v>603</v>
      </c>
      <c r="BH603" s="28">
        <f>F603*AO603</f>
        <v>0</v>
      </c>
      <c r="BI603" s="28">
        <f>F603*AP603</f>
        <v>0</v>
      </c>
      <c r="BJ603" s="28">
        <f>F603*G603</f>
        <v>0</v>
      </c>
      <c r="BK603" s="28"/>
      <c r="BL603" s="28"/>
      <c r="BW603" s="28">
        <v>21</v>
      </c>
      <c r="BX603" s="4" t="s">
        <v>974</v>
      </c>
    </row>
    <row r="604" spans="1:76" ht="13.5" customHeight="1" x14ac:dyDescent="0.25">
      <c r="A604" s="31"/>
      <c r="C604" s="248" t="s">
        <v>976</v>
      </c>
      <c r="D604" s="249"/>
      <c r="E604" s="249"/>
      <c r="F604" s="249"/>
      <c r="G604" s="249"/>
      <c r="H604" s="249"/>
      <c r="I604" s="249"/>
      <c r="J604" s="249"/>
      <c r="K604" s="250"/>
    </row>
    <row r="605" spans="1:76" x14ac:dyDescent="0.25">
      <c r="A605" s="31"/>
      <c r="C605" s="34" t="s">
        <v>87</v>
      </c>
      <c r="D605" s="33" t="s">
        <v>52</v>
      </c>
      <c r="F605" s="35">
        <v>3</v>
      </c>
      <c r="K605" s="36"/>
    </row>
    <row r="606" spans="1:76" ht="38.25" x14ac:dyDescent="0.25">
      <c r="A606" s="31"/>
      <c r="B606" s="37" t="s">
        <v>85</v>
      </c>
      <c r="C606" s="248" t="s">
        <v>977</v>
      </c>
      <c r="D606" s="249"/>
      <c r="E606" s="249"/>
      <c r="F606" s="249"/>
      <c r="G606" s="249"/>
      <c r="H606" s="249"/>
      <c r="I606" s="249"/>
      <c r="J606" s="249"/>
      <c r="K606" s="250"/>
      <c r="BX606" s="32" t="s">
        <v>977</v>
      </c>
    </row>
    <row r="607" spans="1:76" ht="25.5" x14ac:dyDescent="0.25">
      <c r="A607" s="2" t="s">
        <v>978</v>
      </c>
      <c r="B607" s="3" t="s">
        <v>979</v>
      </c>
      <c r="C607" s="230" t="s">
        <v>980</v>
      </c>
      <c r="D607" s="225"/>
      <c r="E607" s="3" t="s">
        <v>717</v>
      </c>
      <c r="F607" s="28">
        <v>5</v>
      </c>
      <c r="G607" s="28">
        <v>0</v>
      </c>
      <c r="H607" s="28">
        <f>ROUND(F607*AO607,2)</f>
        <v>0</v>
      </c>
      <c r="I607" s="28">
        <f>ROUND(F607*AP607,2)</f>
        <v>0</v>
      </c>
      <c r="J607" s="28">
        <f>ROUND(F607*G607,2)</f>
        <v>0</v>
      </c>
      <c r="K607" s="29" t="s">
        <v>109</v>
      </c>
      <c r="Z607" s="28">
        <f>ROUND(IF(AQ607="5",BJ607,0),2)</f>
        <v>0</v>
      </c>
      <c r="AB607" s="28">
        <f>ROUND(IF(AQ607="1",BH607,0),2)</f>
        <v>0</v>
      </c>
      <c r="AC607" s="28">
        <f>ROUND(IF(AQ607="1",BI607,0),2)</f>
        <v>0</v>
      </c>
      <c r="AD607" s="28">
        <f>ROUND(IF(AQ607="7",BH607,0),2)</f>
        <v>0</v>
      </c>
      <c r="AE607" s="28">
        <f>ROUND(IF(AQ607="7",BI607,0),2)</f>
        <v>0</v>
      </c>
      <c r="AF607" s="28">
        <f>ROUND(IF(AQ607="2",BH607,0),2)</f>
        <v>0</v>
      </c>
      <c r="AG607" s="28">
        <f>ROUND(IF(AQ607="2",BI607,0),2)</f>
        <v>0</v>
      </c>
      <c r="AH607" s="28">
        <f>ROUND(IF(AQ607="0",BJ607,0),2)</f>
        <v>0</v>
      </c>
      <c r="AI607" s="10" t="s">
        <v>909</v>
      </c>
      <c r="AJ607" s="28">
        <f>IF(AN607=0,J607,0)</f>
        <v>0</v>
      </c>
      <c r="AK607" s="28">
        <f>IF(AN607=12,J607,0)</f>
        <v>0</v>
      </c>
      <c r="AL607" s="28">
        <f>IF(AN607=21,J607,0)</f>
        <v>0</v>
      </c>
      <c r="AN607" s="28">
        <v>21</v>
      </c>
      <c r="AO607" s="28">
        <f>G607*0.098497003</f>
        <v>0</v>
      </c>
      <c r="AP607" s="28">
        <f>G607*(1-0.098497003)</f>
        <v>0</v>
      </c>
      <c r="AQ607" s="30" t="s">
        <v>60</v>
      </c>
      <c r="AV607" s="28">
        <f>ROUND(AW607+AX607,2)</f>
        <v>0</v>
      </c>
      <c r="AW607" s="28">
        <f>ROUND(F607*AO607,2)</f>
        <v>0</v>
      </c>
      <c r="AX607" s="28">
        <f>ROUND(F607*AP607,2)</f>
        <v>0</v>
      </c>
      <c r="AY607" s="30" t="s">
        <v>975</v>
      </c>
      <c r="AZ607" s="30" t="s">
        <v>922</v>
      </c>
      <c r="BA607" s="10" t="s">
        <v>915</v>
      </c>
      <c r="BC607" s="28">
        <f>AW607+AX607</f>
        <v>0</v>
      </c>
      <c r="BD607" s="28">
        <f>G607/(100-BE607)*100</f>
        <v>0</v>
      </c>
      <c r="BE607" s="28">
        <v>0</v>
      </c>
      <c r="BF607" s="28">
        <f>607</f>
        <v>607</v>
      </c>
      <c r="BH607" s="28">
        <f>F607*AO607</f>
        <v>0</v>
      </c>
      <c r="BI607" s="28">
        <f>F607*AP607</f>
        <v>0</v>
      </c>
      <c r="BJ607" s="28">
        <f>F607*G607</f>
        <v>0</v>
      </c>
      <c r="BK607" s="28"/>
      <c r="BL607" s="28"/>
      <c r="BW607" s="28">
        <v>21</v>
      </c>
      <c r="BX607" s="4" t="s">
        <v>980</v>
      </c>
    </row>
    <row r="608" spans="1:76" ht="13.5" customHeight="1" x14ac:dyDescent="0.25">
      <c r="A608" s="31"/>
      <c r="C608" s="248" t="s">
        <v>976</v>
      </c>
      <c r="D608" s="249"/>
      <c r="E608" s="249"/>
      <c r="F608" s="249"/>
      <c r="G608" s="249"/>
      <c r="H608" s="249"/>
      <c r="I608" s="249"/>
      <c r="J608" s="249"/>
      <c r="K608" s="250"/>
    </row>
    <row r="609" spans="1:76" x14ac:dyDescent="0.25">
      <c r="A609" s="31"/>
      <c r="C609" s="34" t="s">
        <v>91</v>
      </c>
      <c r="D609" s="33" t="s">
        <v>52</v>
      </c>
      <c r="F609" s="35">
        <v>5</v>
      </c>
      <c r="K609" s="36"/>
    </row>
    <row r="610" spans="1:76" ht="25.5" x14ac:dyDescent="0.25">
      <c r="A610" s="2" t="s">
        <v>981</v>
      </c>
      <c r="B610" s="3" t="s">
        <v>982</v>
      </c>
      <c r="C610" s="230" t="s">
        <v>983</v>
      </c>
      <c r="D610" s="225"/>
      <c r="E610" s="3" t="s">
        <v>717</v>
      </c>
      <c r="F610" s="28">
        <v>16</v>
      </c>
      <c r="G610" s="28">
        <v>0</v>
      </c>
      <c r="H610" s="28">
        <f>ROUND(F610*AO610,2)</f>
        <v>0</v>
      </c>
      <c r="I610" s="28">
        <f>ROUND(F610*AP610,2)</f>
        <v>0</v>
      </c>
      <c r="J610" s="28">
        <f>ROUND(F610*G610,2)</f>
        <v>0</v>
      </c>
      <c r="K610" s="29" t="s">
        <v>109</v>
      </c>
      <c r="Z610" s="28">
        <f>ROUND(IF(AQ610="5",BJ610,0),2)</f>
        <v>0</v>
      </c>
      <c r="AB610" s="28">
        <f>ROUND(IF(AQ610="1",BH610,0),2)</f>
        <v>0</v>
      </c>
      <c r="AC610" s="28">
        <f>ROUND(IF(AQ610="1",BI610,0),2)</f>
        <v>0</v>
      </c>
      <c r="AD610" s="28">
        <f>ROUND(IF(AQ610="7",BH610,0),2)</f>
        <v>0</v>
      </c>
      <c r="AE610" s="28">
        <f>ROUND(IF(AQ610="7",BI610,0),2)</f>
        <v>0</v>
      </c>
      <c r="AF610" s="28">
        <f>ROUND(IF(AQ610="2",BH610,0),2)</f>
        <v>0</v>
      </c>
      <c r="AG610" s="28">
        <f>ROUND(IF(AQ610="2",BI610,0),2)</f>
        <v>0</v>
      </c>
      <c r="AH610" s="28">
        <f>ROUND(IF(AQ610="0",BJ610,0),2)</f>
        <v>0</v>
      </c>
      <c r="AI610" s="10" t="s">
        <v>909</v>
      </c>
      <c r="AJ610" s="28">
        <f>IF(AN610=0,J610,0)</f>
        <v>0</v>
      </c>
      <c r="AK610" s="28">
        <f>IF(AN610=12,J610,0)</f>
        <v>0</v>
      </c>
      <c r="AL610" s="28">
        <f>IF(AN610=21,J610,0)</f>
        <v>0</v>
      </c>
      <c r="AN610" s="28">
        <v>21</v>
      </c>
      <c r="AO610" s="28">
        <f>G610*0.098492792</f>
        <v>0</v>
      </c>
      <c r="AP610" s="28">
        <f>G610*(1-0.098492792)</f>
        <v>0</v>
      </c>
      <c r="AQ610" s="30" t="s">
        <v>60</v>
      </c>
      <c r="AV610" s="28">
        <f>ROUND(AW610+AX610,2)</f>
        <v>0</v>
      </c>
      <c r="AW610" s="28">
        <f>ROUND(F610*AO610,2)</f>
        <v>0</v>
      </c>
      <c r="AX610" s="28">
        <f>ROUND(F610*AP610,2)</f>
        <v>0</v>
      </c>
      <c r="AY610" s="30" t="s">
        <v>975</v>
      </c>
      <c r="AZ610" s="30" t="s">
        <v>922</v>
      </c>
      <c r="BA610" s="10" t="s">
        <v>915</v>
      </c>
      <c r="BC610" s="28">
        <f>AW610+AX610</f>
        <v>0</v>
      </c>
      <c r="BD610" s="28">
        <f>G610/(100-BE610)*100</f>
        <v>0</v>
      </c>
      <c r="BE610" s="28">
        <v>0</v>
      </c>
      <c r="BF610" s="28">
        <f>610</f>
        <v>610</v>
      </c>
      <c r="BH610" s="28">
        <f>F610*AO610</f>
        <v>0</v>
      </c>
      <c r="BI610" s="28">
        <f>F610*AP610</f>
        <v>0</v>
      </c>
      <c r="BJ610" s="28">
        <f>F610*G610</f>
        <v>0</v>
      </c>
      <c r="BK610" s="28"/>
      <c r="BL610" s="28"/>
      <c r="BW610" s="28">
        <v>21</v>
      </c>
      <c r="BX610" s="4" t="s">
        <v>983</v>
      </c>
    </row>
    <row r="611" spans="1:76" ht="13.5" customHeight="1" x14ac:dyDescent="0.25">
      <c r="A611" s="31"/>
      <c r="C611" s="248" t="s">
        <v>976</v>
      </c>
      <c r="D611" s="249"/>
      <c r="E611" s="249"/>
      <c r="F611" s="249"/>
      <c r="G611" s="249"/>
      <c r="H611" s="249"/>
      <c r="I611" s="249"/>
      <c r="J611" s="249"/>
      <c r="K611" s="250"/>
    </row>
    <row r="612" spans="1:76" x14ac:dyDescent="0.25">
      <c r="A612" s="31"/>
      <c r="C612" s="34" t="s">
        <v>143</v>
      </c>
      <c r="D612" s="33" t="s">
        <v>52</v>
      </c>
      <c r="F612" s="35">
        <v>16</v>
      </c>
      <c r="K612" s="36"/>
    </row>
    <row r="613" spans="1:76" x14ac:dyDescent="0.25">
      <c r="A613" s="2" t="s">
        <v>984</v>
      </c>
      <c r="B613" s="3" t="s">
        <v>985</v>
      </c>
      <c r="C613" s="230" t="s">
        <v>986</v>
      </c>
      <c r="D613" s="225"/>
      <c r="E613" s="3" t="s">
        <v>717</v>
      </c>
      <c r="F613" s="28">
        <v>8</v>
      </c>
      <c r="G613" s="28">
        <v>0</v>
      </c>
      <c r="H613" s="28">
        <f>ROUND(F613*AO613,2)</f>
        <v>0</v>
      </c>
      <c r="I613" s="28">
        <f>ROUND(F613*AP613,2)</f>
        <v>0</v>
      </c>
      <c r="J613" s="28">
        <f>ROUND(F613*G613,2)</f>
        <v>0</v>
      </c>
      <c r="K613" s="29" t="s">
        <v>109</v>
      </c>
      <c r="Z613" s="28">
        <f>ROUND(IF(AQ613="5",BJ613,0),2)</f>
        <v>0</v>
      </c>
      <c r="AB613" s="28">
        <f>ROUND(IF(AQ613="1",BH613,0),2)</f>
        <v>0</v>
      </c>
      <c r="AC613" s="28">
        <f>ROUND(IF(AQ613="1",BI613,0),2)</f>
        <v>0</v>
      </c>
      <c r="AD613" s="28">
        <f>ROUND(IF(AQ613="7",BH613,0),2)</f>
        <v>0</v>
      </c>
      <c r="AE613" s="28">
        <f>ROUND(IF(AQ613="7",BI613,0),2)</f>
        <v>0</v>
      </c>
      <c r="AF613" s="28">
        <f>ROUND(IF(AQ613="2",BH613,0),2)</f>
        <v>0</v>
      </c>
      <c r="AG613" s="28">
        <f>ROUND(IF(AQ613="2",BI613,0),2)</f>
        <v>0</v>
      </c>
      <c r="AH613" s="28">
        <f>ROUND(IF(AQ613="0",BJ613,0),2)</f>
        <v>0</v>
      </c>
      <c r="AI613" s="10" t="s">
        <v>909</v>
      </c>
      <c r="AJ613" s="28">
        <f>IF(AN613=0,J613,0)</f>
        <v>0</v>
      </c>
      <c r="AK613" s="28">
        <f>IF(AN613=12,J613,0)</f>
        <v>0</v>
      </c>
      <c r="AL613" s="28">
        <f>IF(AN613=21,J613,0)</f>
        <v>0</v>
      </c>
      <c r="AN613" s="28">
        <v>21</v>
      </c>
      <c r="AO613" s="28">
        <f>G613*0.098491228</f>
        <v>0</v>
      </c>
      <c r="AP613" s="28">
        <f>G613*(1-0.098491228)</f>
        <v>0</v>
      </c>
      <c r="AQ613" s="30" t="s">
        <v>60</v>
      </c>
      <c r="AV613" s="28">
        <f>ROUND(AW613+AX613,2)</f>
        <v>0</v>
      </c>
      <c r="AW613" s="28">
        <f>ROUND(F613*AO613,2)</f>
        <v>0</v>
      </c>
      <c r="AX613" s="28">
        <f>ROUND(F613*AP613,2)</f>
        <v>0</v>
      </c>
      <c r="AY613" s="30" t="s">
        <v>975</v>
      </c>
      <c r="AZ613" s="30" t="s">
        <v>922</v>
      </c>
      <c r="BA613" s="10" t="s">
        <v>915</v>
      </c>
      <c r="BC613" s="28">
        <f>AW613+AX613</f>
        <v>0</v>
      </c>
      <c r="BD613" s="28">
        <f>G613/(100-BE613)*100</f>
        <v>0</v>
      </c>
      <c r="BE613" s="28">
        <v>0</v>
      </c>
      <c r="BF613" s="28">
        <f>613</f>
        <v>613</v>
      </c>
      <c r="BH613" s="28">
        <f>F613*AO613</f>
        <v>0</v>
      </c>
      <c r="BI613" s="28">
        <f>F613*AP613</f>
        <v>0</v>
      </c>
      <c r="BJ613" s="28">
        <f>F613*G613</f>
        <v>0</v>
      </c>
      <c r="BK613" s="28"/>
      <c r="BL613" s="28"/>
      <c r="BW613" s="28">
        <v>21</v>
      </c>
      <c r="BX613" s="4" t="s">
        <v>986</v>
      </c>
    </row>
    <row r="614" spans="1:76" ht="13.5" customHeight="1" x14ac:dyDescent="0.25">
      <c r="A614" s="31"/>
      <c r="C614" s="248" t="s">
        <v>976</v>
      </c>
      <c r="D614" s="249"/>
      <c r="E614" s="249"/>
      <c r="F614" s="249"/>
      <c r="G614" s="249"/>
      <c r="H614" s="249"/>
      <c r="I614" s="249"/>
      <c r="J614" s="249"/>
      <c r="K614" s="250"/>
    </row>
    <row r="615" spans="1:76" x14ac:dyDescent="0.25">
      <c r="A615" s="31"/>
      <c r="C615" s="34" t="s">
        <v>114</v>
      </c>
      <c r="D615" s="33" t="s">
        <v>52</v>
      </c>
      <c r="F615" s="35">
        <v>8</v>
      </c>
      <c r="K615" s="36"/>
    </row>
    <row r="616" spans="1:76" ht="51" x14ac:dyDescent="0.25">
      <c r="A616" s="31"/>
      <c r="B616" s="37" t="s">
        <v>85</v>
      </c>
      <c r="C616" s="248" t="s">
        <v>987</v>
      </c>
      <c r="D616" s="249"/>
      <c r="E616" s="249"/>
      <c r="F616" s="249"/>
      <c r="G616" s="249"/>
      <c r="H616" s="249"/>
      <c r="I616" s="249"/>
      <c r="J616" s="249"/>
      <c r="K616" s="250"/>
      <c r="BX616" s="32" t="s">
        <v>987</v>
      </c>
    </row>
    <row r="617" spans="1:76" x14ac:dyDescent="0.25">
      <c r="A617" s="2" t="s">
        <v>988</v>
      </c>
      <c r="B617" s="3" t="s">
        <v>989</v>
      </c>
      <c r="C617" s="230" t="s">
        <v>990</v>
      </c>
      <c r="D617" s="225"/>
      <c r="E617" s="3" t="s">
        <v>717</v>
      </c>
      <c r="F617" s="28">
        <v>12</v>
      </c>
      <c r="G617" s="28">
        <v>0</v>
      </c>
      <c r="H617" s="28">
        <f>ROUND(F617*AO617,2)</f>
        <v>0</v>
      </c>
      <c r="I617" s="28">
        <f>ROUND(F617*AP617,2)</f>
        <v>0</v>
      </c>
      <c r="J617" s="28">
        <f>ROUND(F617*G617,2)</f>
        <v>0</v>
      </c>
      <c r="K617" s="29" t="s">
        <v>109</v>
      </c>
      <c r="Z617" s="28">
        <f>ROUND(IF(AQ617="5",BJ617,0),2)</f>
        <v>0</v>
      </c>
      <c r="AB617" s="28">
        <f>ROUND(IF(AQ617="1",BH617,0),2)</f>
        <v>0</v>
      </c>
      <c r="AC617" s="28">
        <f>ROUND(IF(AQ617="1",BI617,0),2)</f>
        <v>0</v>
      </c>
      <c r="AD617" s="28">
        <f>ROUND(IF(AQ617="7",BH617,0),2)</f>
        <v>0</v>
      </c>
      <c r="AE617" s="28">
        <f>ROUND(IF(AQ617="7",BI617,0),2)</f>
        <v>0</v>
      </c>
      <c r="AF617" s="28">
        <f>ROUND(IF(AQ617="2",BH617,0),2)</f>
        <v>0</v>
      </c>
      <c r="AG617" s="28">
        <f>ROUND(IF(AQ617="2",BI617,0),2)</f>
        <v>0</v>
      </c>
      <c r="AH617" s="28">
        <f>ROUND(IF(AQ617="0",BJ617,0),2)</f>
        <v>0</v>
      </c>
      <c r="AI617" s="10" t="s">
        <v>909</v>
      </c>
      <c r="AJ617" s="28">
        <f>IF(AN617=0,J617,0)</f>
        <v>0</v>
      </c>
      <c r="AK617" s="28">
        <f>IF(AN617=12,J617,0)</f>
        <v>0</v>
      </c>
      <c r="AL617" s="28">
        <f>IF(AN617=21,J617,0)</f>
        <v>0</v>
      </c>
      <c r="AN617" s="28">
        <v>21</v>
      </c>
      <c r="AO617" s="28">
        <f>G617*0.098492462</f>
        <v>0</v>
      </c>
      <c r="AP617" s="28">
        <f>G617*(1-0.098492462)</f>
        <v>0</v>
      </c>
      <c r="AQ617" s="30" t="s">
        <v>60</v>
      </c>
      <c r="AV617" s="28">
        <f>ROUND(AW617+AX617,2)</f>
        <v>0</v>
      </c>
      <c r="AW617" s="28">
        <f>ROUND(F617*AO617,2)</f>
        <v>0</v>
      </c>
      <c r="AX617" s="28">
        <f>ROUND(F617*AP617,2)</f>
        <v>0</v>
      </c>
      <c r="AY617" s="30" t="s">
        <v>975</v>
      </c>
      <c r="AZ617" s="30" t="s">
        <v>922</v>
      </c>
      <c r="BA617" s="10" t="s">
        <v>915</v>
      </c>
      <c r="BC617" s="28">
        <f>AW617+AX617</f>
        <v>0</v>
      </c>
      <c r="BD617" s="28">
        <f>G617/(100-BE617)*100</f>
        <v>0</v>
      </c>
      <c r="BE617" s="28">
        <v>0</v>
      </c>
      <c r="BF617" s="28">
        <f>617</f>
        <v>617</v>
      </c>
      <c r="BH617" s="28">
        <f>F617*AO617</f>
        <v>0</v>
      </c>
      <c r="BI617" s="28">
        <f>F617*AP617</f>
        <v>0</v>
      </c>
      <c r="BJ617" s="28">
        <f>F617*G617</f>
        <v>0</v>
      </c>
      <c r="BK617" s="28"/>
      <c r="BL617" s="28"/>
      <c r="BW617" s="28">
        <v>21</v>
      </c>
      <c r="BX617" s="4" t="s">
        <v>990</v>
      </c>
    </row>
    <row r="618" spans="1:76" ht="13.5" customHeight="1" x14ac:dyDescent="0.25">
      <c r="A618" s="31"/>
      <c r="C618" s="248" t="s">
        <v>976</v>
      </c>
      <c r="D618" s="249"/>
      <c r="E618" s="249"/>
      <c r="F618" s="249"/>
      <c r="G618" s="249"/>
      <c r="H618" s="249"/>
      <c r="I618" s="249"/>
      <c r="J618" s="249"/>
      <c r="K618" s="250"/>
    </row>
    <row r="619" spans="1:76" x14ac:dyDescent="0.25">
      <c r="A619" s="31"/>
      <c r="C619" s="34" t="s">
        <v>126</v>
      </c>
      <c r="D619" s="33" t="s">
        <v>52</v>
      </c>
      <c r="F619" s="35">
        <v>12</v>
      </c>
      <c r="K619" s="36"/>
    </row>
    <row r="620" spans="1:76" ht="63.75" x14ac:dyDescent="0.25">
      <c r="A620" s="31"/>
      <c r="B620" s="37" t="s">
        <v>85</v>
      </c>
      <c r="C620" s="248" t="s">
        <v>991</v>
      </c>
      <c r="D620" s="249"/>
      <c r="E620" s="249"/>
      <c r="F620" s="249"/>
      <c r="G620" s="249"/>
      <c r="H620" s="249"/>
      <c r="I620" s="249"/>
      <c r="J620" s="249"/>
      <c r="K620" s="250"/>
      <c r="BX620" s="32" t="s">
        <v>991</v>
      </c>
    </row>
    <row r="621" spans="1:76" x14ac:dyDescent="0.25">
      <c r="A621" s="2" t="s">
        <v>992</v>
      </c>
      <c r="B621" s="3" t="s">
        <v>993</v>
      </c>
      <c r="C621" s="230" t="s">
        <v>994</v>
      </c>
      <c r="D621" s="225"/>
      <c r="E621" s="3" t="s">
        <v>717</v>
      </c>
      <c r="F621" s="28">
        <v>8</v>
      </c>
      <c r="G621" s="28">
        <v>0</v>
      </c>
      <c r="H621" s="28">
        <f>ROUND(F621*AO621,2)</f>
        <v>0</v>
      </c>
      <c r="I621" s="28">
        <f>ROUND(F621*AP621,2)</f>
        <v>0</v>
      </c>
      <c r="J621" s="28">
        <f>ROUND(F621*G621,2)</f>
        <v>0</v>
      </c>
      <c r="K621" s="29" t="s">
        <v>109</v>
      </c>
      <c r="Z621" s="28">
        <f>ROUND(IF(AQ621="5",BJ621,0),2)</f>
        <v>0</v>
      </c>
      <c r="AB621" s="28">
        <f>ROUND(IF(AQ621="1",BH621,0),2)</f>
        <v>0</v>
      </c>
      <c r="AC621" s="28">
        <f>ROUND(IF(AQ621="1",BI621,0),2)</f>
        <v>0</v>
      </c>
      <c r="AD621" s="28">
        <f>ROUND(IF(AQ621="7",BH621,0),2)</f>
        <v>0</v>
      </c>
      <c r="AE621" s="28">
        <f>ROUND(IF(AQ621="7",BI621,0),2)</f>
        <v>0</v>
      </c>
      <c r="AF621" s="28">
        <f>ROUND(IF(AQ621="2",BH621,0),2)</f>
        <v>0</v>
      </c>
      <c r="AG621" s="28">
        <f>ROUND(IF(AQ621="2",BI621,0),2)</f>
        <v>0</v>
      </c>
      <c r="AH621" s="28">
        <f>ROUND(IF(AQ621="0",BJ621,0),2)</f>
        <v>0</v>
      </c>
      <c r="AI621" s="10" t="s">
        <v>909</v>
      </c>
      <c r="AJ621" s="28">
        <f>IF(AN621=0,J621,0)</f>
        <v>0</v>
      </c>
      <c r="AK621" s="28">
        <f>IF(AN621=12,J621,0)</f>
        <v>0</v>
      </c>
      <c r="AL621" s="28">
        <f>IF(AN621=21,J621,0)</f>
        <v>0</v>
      </c>
      <c r="AN621" s="28">
        <v>21</v>
      </c>
      <c r="AO621" s="28">
        <f>G621*0.098461538</f>
        <v>0</v>
      </c>
      <c r="AP621" s="28">
        <f>G621*(1-0.098461538)</f>
        <v>0</v>
      </c>
      <c r="AQ621" s="30" t="s">
        <v>60</v>
      </c>
      <c r="AV621" s="28">
        <f>ROUND(AW621+AX621,2)</f>
        <v>0</v>
      </c>
      <c r="AW621" s="28">
        <f>ROUND(F621*AO621,2)</f>
        <v>0</v>
      </c>
      <c r="AX621" s="28">
        <f>ROUND(F621*AP621,2)</f>
        <v>0</v>
      </c>
      <c r="AY621" s="30" t="s">
        <v>975</v>
      </c>
      <c r="AZ621" s="30" t="s">
        <v>922</v>
      </c>
      <c r="BA621" s="10" t="s">
        <v>915</v>
      </c>
      <c r="BC621" s="28">
        <f>AW621+AX621</f>
        <v>0</v>
      </c>
      <c r="BD621" s="28">
        <f>G621/(100-BE621)*100</f>
        <v>0</v>
      </c>
      <c r="BE621" s="28">
        <v>0</v>
      </c>
      <c r="BF621" s="28">
        <f>621</f>
        <v>621</v>
      </c>
      <c r="BH621" s="28">
        <f>F621*AO621</f>
        <v>0</v>
      </c>
      <c r="BI621" s="28">
        <f>F621*AP621</f>
        <v>0</v>
      </c>
      <c r="BJ621" s="28">
        <f>F621*G621</f>
        <v>0</v>
      </c>
      <c r="BK621" s="28"/>
      <c r="BL621" s="28"/>
      <c r="BW621" s="28">
        <v>21</v>
      </c>
      <c r="BX621" s="4" t="s">
        <v>994</v>
      </c>
    </row>
    <row r="622" spans="1:76" ht="13.5" customHeight="1" x14ac:dyDescent="0.25">
      <c r="A622" s="31"/>
      <c r="C622" s="248" t="s">
        <v>976</v>
      </c>
      <c r="D622" s="249"/>
      <c r="E622" s="249"/>
      <c r="F622" s="249"/>
      <c r="G622" s="249"/>
      <c r="H622" s="249"/>
      <c r="I622" s="249"/>
      <c r="J622" s="249"/>
      <c r="K622" s="250"/>
    </row>
    <row r="623" spans="1:76" x14ac:dyDescent="0.25">
      <c r="A623" s="31"/>
      <c r="C623" s="34" t="s">
        <v>114</v>
      </c>
      <c r="D623" s="33" t="s">
        <v>52</v>
      </c>
      <c r="F623" s="35">
        <v>8</v>
      </c>
      <c r="K623" s="36"/>
    </row>
    <row r="624" spans="1:76" ht="25.5" x14ac:dyDescent="0.25">
      <c r="A624" s="2" t="s">
        <v>995</v>
      </c>
      <c r="B624" s="3" t="s">
        <v>996</v>
      </c>
      <c r="C624" s="230" t="s">
        <v>997</v>
      </c>
      <c r="D624" s="225"/>
      <c r="E624" s="3" t="s">
        <v>717</v>
      </c>
      <c r="F624" s="28">
        <v>8</v>
      </c>
      <c r="G624" s="28">
        <v>0</v>
      </c>
      <c r="H624" s="28">
        <f>ROUND(F624*AO624,2)</f>
        <v>0</v>
      </c>
      <c r="I624" s="28">
        <f>ROUND(F624*AP624,2)</f>
        <v>0</v>
      </c>
      <c r="J624" s="28">
        <f>ROUND(F624*G624,2)</f>
        <v>0</v>
      </c>
      <c r="K624" s="29" t="s">
        <v>109</v>
      </c>
      <c r="Z624" s="28">
        <f>ROUND(IF(AQ624="5",BJ624,0),2)</f>
        <v>0</v>
      </c>
      <c r="AB624" s="28">
        <f>ROUND(IF(AQ624="1",BH624,0),2)</f>
        <v>0</v>
      </c>
      <c r="AC624" s="28">
        <f>ROUND(IF(AQ624="1",BI624,0),2)</f>
        <v>0</v>
      </c>
      <c r="AD624" s="28">
        <f>ROUND(IF(AQ624="7",BH624,0),2)</f>
        <v>0</v>
      </c>
      <c r="AE624" s="28">
        <f>ROUND(IF(AQ624="7",BI624,0),2)</f>
        <v>0</v>
      </c>
      <c r="AF624" s="28">
        <f>ROUND(IF(AQ624="2",BH624,0),2)</f>
        <v>0</v>
      </c>
      <c r="AG624" s="28">
        <f>ROUND(IF(AQ624="2",BI624,0),2)</f>
        <v>0</v>
      </c>
      <c r="AH624" s="28">
        <f>ROUND(IF(AQ624="0",BJ624,0),2)</f>
        <v>0</v>
      </c>
      <c r="AI624" s="10" t="s">
        <v>909</v>
      </c>
      <c r="AJ624" s="28">
        <f>IF(AN624=0,J624,0)</f>
        <v>0</v>
      </c>
      <c r="AK624" s="28">
        <f>IF(AN624=12,J624,0)</f>
        <v>0</v>
      </c>
      <c r="AL624" s="28">
        <f>IF(AN624=21,J624,0)</f>
        <v>0</v>
      </c>
      <c r="AN624" s="28">
        <v>21</v>
      </c>
      <c r="AO624" s="28">
        <f>G624*0.098459459</f>
        <v>0</v>
      </c>
      <c r="AP624" s="28">
        <f>G624*(1-0.098459459)</f>
        <v>0</v>
      </c>
      <c r="AQ624" s="30" t="s">
        <v>60</v>
      </c>
      <c r="AV624" s="28">
        <f>ROUND(AW624+AX624,2)</f>
        <v>0</v>
      </c>
      <c r="AW624" s="28">
        <f>ROUND(F624*AO624,2)</f>
        <v>0</v>
      </c>
      <c r="AX624" s="28">
        <f>ROUND(F624*AP624,2)</f>
        <v>0</v>
      </c>
      <c r="AY624" s="30" t="s">
        <v>975</v>
      </c>
      <c r="AZ624" s="30" t="s">
        <v>922</v>
      </c>
      <c r="BA624" s="10" t="s">
        <v>915</v>
      </c>
      <c r="BC624" s="28">
        <f>AW624+AX624</f>
        <v>0</v>
      </c>
      <c r="BD624" s="28">
        <f>G624/(100-BE624)*100</f>
        <v>0</v>
      </c>
      <c r="BE624" s="28">
        <v>0</v>
      </c>
      <c r="BF624" s="28">
        <f>624</f>
        <v>624</v>
      </c>
      <c r="BH624" s="28">
        <f>F624*AO624</f>
        <v>0</v>
      </c>
      <c r="BI624" s="28">
        <f>F624*AP624</f>
        <v>0</v>
      </c>
      <c r="BJ624" s="28">
        <f>F624*G624</f>
        <v>0</v>
      </c>
      <c r="BK624" s="28"/>
      <c r="BL624" s="28"/>
      <c r="BW624" s="28">
        <v>21</v>
      </c>
      <c r="BX624" s="4" t="s">
        <v>997</v>
      </c>
    </row>
    <row r="625" spans="1:76" ht="13.5" customHeight="1" x14ac:dyDescent="0.25">
      <c r="A625" s="31"/>
      <c r="C625" s="248" t="s">
        <v>976</v>
      </c>
      <c r="D625" s="249"/>
      <c r="E625" s="249"/>
      <c r="F625" s="249"/>
      <c r="G625" s="249"/>
      <c r="H625" s="249"/>
      <c r="I625" s="249"/>
      <c r="J625" s="249"/>
      <c r="K625" s="250"/>
    </row>
    <row r="626" spans="1:76" x14ac:dyDescent="0.25">
      <c r="A626" s="31"/>
      <c r="C626" s="34" t="s">
        <v>114</v>
      </c>
      <c r="D626" s="33" t="s">
        <v>52</v>
      </c>
      <c r="F626" s="35">
        <v>8</v>
      </c>
      <c r="K626" s="36"/>
    </row>
    <row r="627" spans="1:76" x14ac:dyDescent="0.25">
      <c r="A627" s="2" t="s">
        <v>998</v>
      </c>
      <c r="B627" s="3" t="s">
        <v>999</v>
      </c>
      <c r="C627" s="230" t="s">
        <v>1000</v>
      </c>
      <c r="D627" s="225"/>
      <c r="E627" s="3" t="s">
        <v>205</v>
      </c>
      <c r="F627" s="28">
        <v>350</v>
      </c>
      <c r="G627" s="28">
        <v>0</v>
      </c>
      <c r="H627" s="28">
        <f>ROUND(F627*AO627,2)</f>
        <v>0</v>
      </c>
      <c r="I627" s="28">
        <f>ROUND(F627*AP627,2)</f>
        <v>0</v>
      </c>
      <c r="J627" s="28">
        <f>ROUND(F627*G627,2)</f>
        <v>0</v>
      </c>
      <c r="K627" s="29" t="s">
        <v>109</v>
      </c>
      <c r="Z627" s="28">
        <f>ROUND(IF(AQ627="5",BJ627,0),2)</f>
        <v>0</v>
      </c>
      <c r="AB627" s="28">
        <f>ROUND(IF(AQ627="1",BH627,0),2)</f>
        <v>0</v>
      </c>
      <c r="AC627" s="28">
        <f>ROUND(IF(AQ627="1",BI627,0),2)</f>
        <v>0</v>
      </c>
      <c r="AD627" s="28">
        <f>ROUND(IF(AQ627="7",BH627,0),2)</f>
        <v>0</v>
      </c>
      <c r="AE627" s="28">
        <f>ROUND(IF(AQ627="7",BI627,0),2)</f>
        <v>0</v>
      </c>
      <c r="AF627" s="28">
        <f>ROUND(IF(AQ627="2",BH627,0),2)</f>
        <v>0</v>
      </c>
      <c r="AG627" s="28">
        <f>ROUND(IF(AQ627="2",BI627,0),2)</f>
        <v>0</v>
      </c>
      <c r="AH627" s="28">
        <f>ROUND(IF(AQ627="0",BJ627,0),2)</f>
        <v>0</v>
      </c>
      <c r="AI627" s="10" t="s">
        <v>909</v>
      </c>
      <c r="AJ627" s="28">
        <f>IF(AN627=0,J627,0)</f>
        <v>0</v>
      </c>
      <c r="AK627" s="28">
        <f>IF(AN627=12,J627,0)</f>
        <v>0</v>
      </c>
      <c r="AL627" s="28">
        <f>IF(AN627=21,J627,0)</f>
        <v>0</v>
      </c>
      <c r="AN627" s="28">
        <v>21</v>
      </c>
      <c r="AO627" s="28">
        <f>G627*0.098457447</f>
        <v>0</v>
      </c>
      <c r="AP627" s="28">
        <f>G627*(1-0.098457447)</f>
        <v>0</v>
      </c>
      <c r="AQ627" s="30" t="s">
        <v>60</v>
      </c>
      <c r="AV627" s="28">
        <f>ROUND(AW627+AX627,2)</f>
        <v>0</v>
      </c>
      <c r="AW627" s="28">
        <f>ROUND(F627*AO627,2)</f>
        <v>0</v>
      </c>
      <c r="AX627" s="28">
        <f>ROUND(F627*AP627,2)</f>
        <v>0</v>
      </c>
      <c r="AY627" s="30" t="s">
        <v>975</v>
      </c>
      <c r="AZ627" s="30" t="s">
        <v>922</v>
      </c>
      <c r="BA627" s="10" t="s">
        <v>915</v>
      </c>
      <c r="BC627" s="28">
        <f>AW627+AX627</f>
        <v>0</v>
      </c>
      <c r="BD627" s="28">
        <f>G627/(100-BE627)*100</f>
        <v>0</v>
      </c>
      <c r="BE627" s="28">
        <v>0</v>
      </c>
      <c r="BF627" s="28">
        <f>627</f>
        <v>627</v>
      </c>
      <c r="BH627" s="28">
        <f>F627*AO627</f>
        <v>0</v>
      </c>
      <c r="BI627" s="28">
        <f>F627*AP627</f>
        <v>0</v>
      </c>
      <c r="BJ627" s="28">
        <f>F627*G627</f>
        <v>0</v>
      </c>
      <c r="BK627" s="28"/>
      <c r="BL627" s="28"/>
      <c r="BW627" s="28">
        <v>21</v>
      </c>
      <c r="BX627" s="4" t="s">
        <v>1000</v>
      </c>
    </row>
    <row r="628" spans="1:76" ht="13.5" customHeight="1" x14ac:dyDescent="0.25">
      <c r="A628" s="31"/>
      <c r="C628" s="248" t="s">
        <v>976</v>
      </c>
      <c r="D628" s="249"/>
      <c r="E628" s="249"/>
      <c r="F628" s="249"/>
      <c r="G628" s="249"/>
      <c r="H628" s="249"/>
      <c r="I628" s="249"/>
      <c r="J628" s="249"/>
      <c r="K628" s="250"/>
    </row>
    <row r="629" spans="1:76" x14ac:dyDescent="0.25">
      <c r="A629" s="31"/>
      <c r="C629" s="34" t="s">
        <v>1001</v>
      </c>
      <c r="D629" s="33" t="s">
        <v>52</v>
      </c>
      <c r="F629" s="35">
        <v>350</v>
      </c>
      <c r="K629" s="36"/>
    </row>
    <row r="630" spans="1:76" ht="25.5" x14ac:dyDescent="0.25">
      <c r="A630" s="2" t="s">
        <v>1002</v>
      </c>
      <c r="B630" s="3" t="s">
        <v>1003</v>
      </c>
      <c r="C630" s="230" t="s">
        <v>1004</v>
      </c>
      <c r="D630" s="225"/>
      <c r="E630" s="3" t="s">
        <v>717</v>
      </c>
      <c r="F630" s="28">
        <v>152</v>
      </c>
      <c r="G630" s="28">
        <v>0</v>
      </c>
      <c r="H630" s="28">
        <f>ROUND(F630*AO630,2)</f>
        <v>0</v>
      </c>
      <c r="I630" s="28">
        <f>ROUND(F630*AP630,2)</f>
        <v>0</v>
      </c>
      <c r="J630" s="28">
        <f>ROUND(F630*G630,2)</f>
        <v>0</v>
      </c>
      <c r="K630" s="29" t="s">
        <v>109</v>
      </c>
      <c r="Z630" s="28">
        <f>ROUND(IF(AQ630="5",BJ630,0),2)</f>
        <v>0</v>
      </c>
      <c r="AB630" s="28">
        <f>ROUND(IF(AQ630="1",BH630,0),2)</f>
        <v>0</v>
      </c>
      <c r="AC630" s="28">
        <f>ROUND(IF(AQ630="1",BI630,0),2)</f>
        <v>0</v>
      </c>
      <c r="AD630" s="28">
        <f>ROUND(IF(AQ630="7",BH630,0),2)</f>
        <v>0</v>
      </c>
      <c r="AE630" s="28">
        <f>ROUND(IF(AQ630="7",BI630,0),2)</f>
        <v>0</v>
      </c>
      <c r="AF630" s="28">
        <f>ROUND(IF(AQ630="2",BH630,0),2)</f>
        <v>0</v>
      </c>
      <c r="AG630" s="28">
        <f>ROUND(IF(AQ630="2",BI630,0),2)</f>
        <v>0</v>
      </c>
      <c r="AH630" s="28">
        <f>ROUND(IF(AQ630="0",BJ630,0),2)</f>
        <v>0</v>
      </c>
      <c r="AI630" s="10" t="s">
        <v>909</v>
      </c>
      <c r="AJ630" s="28">
        <f>IF(AN630=0,J630,0)</f>
        <v>0</v>
      </c>
      <c r="AK630" s="28">
        <f>IF(AN630=12,J630,0)</f>
        <v>0</v>
      </c>
      <c r="AL630" s="28">
        <f>IF(AN630=21,J630,0)</f>
        <v>0</v>
      </c>
      <c r="AN630" s="28">
        <v>21</v>
      </c>
      <c r="AO630" s="28">
        <f>G630*0.098455446</f>
        <v>0</v>
      </c>
      <c r="AP630" s="28">
        <f>G630*(1-0.098455446)</f>
        <v>0</v>
      </c>
      <c r="AQ630" s="30" t="s">
        <v>60</v>
      </c>
      <c r="AV630" s="28">
        <f>ROUND(AW630+AX630,2)</f>
        <v>0</v>
      </c>
      <c r="AW630" s="28">
        <f>ROUND(F630*AO630,2)</f>
        <v>0</v>
      </c>
      <c r="AX630" s="28">
        <f>ROUND(F630*AP630,2)</f>
        <v>0</v>
      </c>
      <c r="AY630" s="30" t="s">
        <v>975</v>
      </c>
      <c r="AZ630" s="30" t="s">
        <v>922</v>
      </c>
      <c r="BA630" s="10" t="s">
        <v>915</v>
      </c>
      <c r="BC630" s="28">
        <f>AW630+AX630</f>
        <v>0</v>
      </c>
      <c r="BD630" s="28">
        <f>G630/(100-BE630)*100</f>
        <v>0</v>
      </c>
      <c r="BE630" s="28">
        <v>0</v>
      </c>
      <c r="BF630" s="28">
        <f>630</f>
        <v>630</v>
      </c>
      <c r="BH630" s="28">
        <f>F630*AO630</f>
        <v>0</v>
      </c>
      <c r="BI630" s="28">
        <f>F630*AP630</f>
        <v>0</v>
      </c>
      <c r="BJ630" s="28">
        <f>F630*G630</f>
        <v>0</v>
      </c>
      <c r="BK630" s="28"/>
      <c r="BL630" s="28"/>
      <c r="BW630" s="28">
        <v>21</v>
      </c>
      <c r="BX630" s="4" t="s">
        <v>1004</v>
      </c>
    </row>
    <row r="631" spans="1:76" ht="13.5" customHeight="1" x14ac:dyDescent="0.25">
      <c r="A631" s="31"/>
      <c r="C631" s="248" t="s">
        <v>976</v>
      </c>
      <c r="D631" s="249"/>
      <c r="E631" s="249"/>
      <c r="F631" s="249"/>
      <c r="G631" s="249"/>
      <c r="H631" s="249"/>
      <c r="I631" s="249"/>
      <c r="J631" s="249"/>
      <c r="K631" s="250"/>
    </row>
    <row r="632" spans="1:76" x14ac:dyDescent="0.25">
      <c r="A632" s="31"/>
      <c r="C632" s="34" t="s">
        <v>880</v>
      </c>
      <c r="D632" s="33" t="s">
        <v>52</v>
      </c>
      <c r="F632" s="35">
        <v>152</v>
      </c>
      <c r="K632" s="36"/>
    </row>
    <row r="633" spans="1:76" x14ac:dyDescent="0.25">
      <c r="A633" s="2" t="s">
        <v>1005</v>
      </c>
      <c r="B633" s="3" t="s">
        <v>1006</v>
      </c>
      <c r="C633" s="230" t="s">
        <v>1007</v>
      </c>
      <c r="D633" s="225"/>
      <c r="E633" s="3" t="s">
        <v>717</v>
      </c>
      <c r="F633" s="28">
        <v>115</v>
      </c>
      <c r="G633" s="28">
        <v>0</v>
      </c>
      <c r="H633" s="28">
        <f>ROUND(F633*AO633,2)</f>
        <v>0</v>
      </c>
      <c r="I633" s="28">
        <f>ROUND(F633*AP633,2)</f>
        <v>0</v>
      </c>
      <c r="J633" s="28">
        <f>ROUND(F633*G633,2)</f>
        <v>0</v>
      </c>
      <c r="K633" s="29" t="s">
        <v>109</v>
      </c>
      <c r="Z633" s="28">
        <f>ROUND(IF(AQ633="5",BJ633,0),2)</f>
        <v>0</v>
      </c>
      <c r="AB633" s="28">
        <f>ROUND(IF(AQ633="1",BH633,0),2)</f>
        <v>0</v>
      </c>
      <c r="AC633" s="28">
        <f>ROUND(IF(AQ633="1",BI633,0),2)</f>
        <v>0</v>
      </c>
      <c r="AD633" s="28">
        <f>ROUND(IF(AQ633="7",BH633,0),2)</f>
        <v>0</v>
      </c>
      <c r="AE633" s="28">
        <f>ROUND(IF(AQ633="7",BI633,0),2)</f>
        <v>0</v>
      </c>
      <c r="AF633" s="28">
        <f>ROUND(IF(AQ633="2",BH633,0),2)</f>
        <v>0</v>
      </c>
      <c r="AG633" s="28">
        <f>ROUND(IF(AQ633="2",BI633,0),2)</f>
        <v>0</v>
      </c>
      <c r="AH633" s="28">
        <f>ROUND(IF(AQ633="0",BJ633,0),2)</f>
        <v>0</v>
      </c>
      <c r="AI633" s="10" t="s">
        <v>909</v>
      </c>
      <c r="AJ633" s="28">
        <f>IF(AN633=0,J633,0)</f>
        <v>0</v>
      </c>
      <c r="AK633" s="28">
        <f>IF(AN633=12,J633,0)</f>
        <v>0</v>
      </c>
      <c r="AL633" s="28">
        <f>IF(AN633=21,J633,0)</f>
        <v>0</v>
      </c>
      <c r="AN633" s="28">
        <v>21</v>
      </c>
      <c r="AO633" s="28">
        <f>G633*0.098455497</f>
        <v>0</v>
      </c>
      <c r="AP633" s="28">
        <f>G633*(1-0.098455497)</f>
        <v>0</v>
      </c>
      <c r="AQ633" s="30" t="s">
        <v>60</v>
      </c>
      <c r="AV633" s="28">
        <f>ROUND(AW633+AX633,2)</f>
        <v>0</v>
      </c>
      <c r="AW633" s="28">
        <f>ROUND(F633*AO633,2)</f>
        <v>0</v>
      </c>
      <c r="AX633" s="28">
        <f>ROUND(F633*AP633,2)</f>
        <v>0</v>
      </c>
      <c r="AY633" s="30" t="s">
        <v>975</v>
      </c>
      <c r="AZ633" s="30" t="s">
        <v>922</v>
      </c>
      <c r="BA633" s="10" t="s">
        <v>915</v>
      </c>
      <c r="BC633" s="28">
        <f>AW633+AX633</f>
        <v>0</v>
      </c>
      <c r="BD633" s="28">
        <f>G633/(100-BE633)*100</f>
        <v>0</v>
      </c>
      <c r="BE633" s="28">
        <v>0</v>
      </c>
      <c r="BF633" s="28">
        <f>633</f>
        <v>633</v>
      </c>
      <c r="BH633" s="28">
        <f>F633*AO633</f>
        <v>0</v>
      </c>
      <c r="BI633" s="28">
        <f>F633*AP633</f>
        <v>0</v>
      </c>
      <c r="BJ633" s="28">
        <f>F633*G633</f>
        <v>0</v>
      </c>
      <c r="BK633" s="28"/>
      <c r="BL633" s="28"/>
      <c r="BW633" s="28">
        <v>21</v>
      </c>
      <c r="BX633" s="4" t="s">
        <v>1007</v>
      </c>
    </row>
    <row r="634" spans="1:76" ht="13.5" customHeight="1" x14ac:dyDescent="0.25">
      <c r="A634" s="31"/>
      <c r="C634" s="248" t="s">
        <v>976</v>
      </c>
      <c r="D634" s="249"/>
      <c r="E634" s="249"/>
      <c r="F634" s="249"/>
      <c r="G634" s="249"/>
      <c r="H634" s="249"/>
      <c r="I634" s="249"/>
      <c r="J634" s="249"/>
      <c r="K634" s="250"/>
    </row>
    <row r="635" spans="1:76" x14ac:dyDescent="0.25">
      <c r="A635" s="31"/>
      <c r="C635" s="34" t="s">
        <v>649</v>
      </c>
      <c r="D635" s="33" t="s">
        <v>52</v>
      </c>
      <c r="F635" s="35">
        <v>115</v>
      </c>
      <c r="K635" s="36"/>
    </row>
    <row r="636" spans="1:76" ht="25.5" x14ac:dyDescent="0.25">
      <c r="A636" s="2" t="s">
        <v>1008</v>
      </c>
      <c r="B636" s="3" t="s">
        <v>1009</v>
      </c>
      <c r="C636" s="230" t="s">
        <v>1010</v>
      </c>
      <c r="D636" s="225"/>
      <c r="E636" s="3" t="s">
        <v>69</v>
      </c>
      <c r="F636" s="28">
        <v>25</v>
      </c>
      <c r="G636" s="28">
        <v>0</v>
      </c>
      <c r="H636" s="28">
        <f>ROUND(F636*AO636,2)</f>
        <v>0</v>
      </c>
      <c r="I636" s="28">
        <f>ROUND(F636*AP636,2)</f>
        <v>0</v>
      </c>
      <c r="J636" s="28">
        <f>ROUND(F636*G636,2)</f>
        <v>0</v>
      </c>
      <c r="K636" s="29" t="s">
        <v>109</v>
      </c>
      <c r="Z636" s="28">
        <f>ROUND(IF(AQ636="5",BJ636,0),2)</f>
        <v>0</v>
      </c>
      <c r="AB636" s="28">
        <f>ROUND(IF(AQ636="1",BH636,0),2)</f>
        <v>0</v>
      </c>
      <c r="AC636" s="28">
        <f>ROUND(IF(AQ636="1",BI636,0),2)</f>
        <v>0</v>
      </c>
      <c r="AD636" s="28">
        <f>ROUND(IF(AQ636="7",BH636,0),2)</f>
        <v>0</v>
      </c>
      <c r="AE636" s="28">
        <f>ROUND(IF(AQ636="7",BI636,0),2)</f>
        <v>0</v>
      </c>
      <c r="AF636" s="28">
        <f>ROUND(IF(AQ636="2",BH636,0),2)</f>
        <v>0</v>
      </c>
      <c r="AG636" s="28">
        <f>ROUND(IF(AQ636="2",BI636,0),2)</f>
        <v>0</v>
      </c>
      <c r="AH636" s="28">
        <f>ROUND(IF(AQ636="0",BJ636,0),2)</f>
        <v>0</v>
      </c>
      <c r="AI636" s="10" t="s">
        <v>909</v>
      </c>
      <c r="AJ636" s="28">
        <f>IF(AN636=0,J636,0)</f>
        <v>0</v>
      </c>
      <c r="AK636" s="28">
        <f>IF(AN636=12,J636,0)</f>
        <v>0</v>
      </c>
      <c r="AL636" s="28">
        <f>IF(AN636=21,J636,0)</f>
        <v>0</v>
      </c>
      <c r="AN636" s="28">
        <v>21</v>
      </c>
      <c r="AO636" s="28">
        <f>G636*0.098434783</f>
        <v>0</v>
      </c>
      <c r="AP636" s="28">
        <f>G636*(1-0.098434783)</f>
        <v>0</v>
      </c>
      <c r="AQ636" s="30" t="s">
        <v>60</v>
      </c>
      <c r="AV636" s="28">
        <f>ROUND(AW636+AX636,2)</f>
        <v>0</v>
      </c>
      <c r="AW636" s="28">
        <f>ROUND(F636*AO636,2)</f>
        <v>0</v>
      </c>
      <c r="AX636" s="28">
        <f>ROUND(F636*AP636,2)</f>
        <v>0</v>
      </c>
      <c r="AY636" s="30" t="s">
        <v>975</v>
      </c>
      <c r="AZ636" s="30" t="s">
        <v>922</v>
      </c>
      <c r="BA636" s="10" t="s">
        <v>915</v>
      </c>
      <c r="BC636" s="28">
        <f>AW636+AX636</f>
        <v>0</v>
      </c>
      <c r="BD636" s="28">
        <f>G636/(100-BE636)*100</f>
        <v>0</v>
      </c>
      <c r="BE636" s="28">
        <v>0</v>
      </c>
      <c r="BF636" s="28">
        <f>636</f>
        <v>636</v>
      </c>
      <c r="BH636" s="28">
        <f>F636*AO636</f>
        <v>0</v>
      </c>
      <c r="BI636" s="28">
        <f>F636*AP636</f>
        <v>0</v>
      </c>
      <c r="BJ636" s="28">
        <f>F636*G636</f>
        <v>0</v>
      </c>
      <c r="BK636" s="28"/>
      <c r="BL636" s="28"/>
      <c r="BW636" s="28">
        <v>21</v>
      </c>
      <c r="BX636" s="4" t="s">
        <v>1010</v>
      </c>
    </row>
    <row r="637" spans="1:76" ht="13.5" customHeight="1" x14ac:dyDescent="0.25">
      <c r="A637" s="31"/>
      <c r="C637" s="248" t="s">
        <v>976</v>
      </c>
      <c r="D637" s="249"/>
      <c r="E637" s="249"/>
      <c r="F637" s="249"/>
      <c r="G637" s="249"/>
      <c r="H637" s="249"/>
      <c r="I637" s="249"/>
      <c r="J637" s="249"/>
      <c r="K637" s="250"/>
    </row>
    <row r="638" spans="1:76" x14ac:dyDescent="0.25">
      <c r="A638" s="31"/>
      <c r="C638" s="34" t="s">
        <v>202</v>
      </c>
      <c r="D638" s="33" t="s">
        <v>52</v>
      </c>
      <c r="F638" s="35">
        <v>25</v>
      </c>
      <c r="K638" s="36"/>
    </row>
    <row r="639" spans="1:76" ht="25.5" x14ac:dyDescent="0.25">
      <c r="A639" s="2" t="s">
        <v>1011</v>
      </c>
      <c r="B639" s="3" t="s">
        <v>1012</v>
      </c>
      <c r="C639" s="230" t="s">
        <v>1013</v>
      </c>
      <c r="D639" s="225"/>
      <c r="E639" s="3" t="s">
        <v>717</v>
      </c>
      <c r="F639" s="28">
        <v>8</v>
      </c>
      <c r="G639" s="28">
        <v>0</v>
      </c>
      <c r="H639" s="28">
        <f>ROUND(F639*AO639,2)</f>
        <v>0</v>
      </c>
      <c r="I639" s="28">
        <f>ROUND(F639*AP639,2)</f>
        <v>0</v>
      </c>
      <c r="J639" s="28">
        <f>ROUND(F639*G639,2)</f>
        <v>0</v>
      </c>
      <c r="K639" s="29" t="s">
        <v>109</v>
      </c>
      <c r="Z639" s="28">
        <f>ROUND(IF(AQ639="5",BJ639,0),2)</f>
        <v>0</v>
      </c>
      <c r="AB639" s="28">
        <f>ROUND(IF(AQ639="1",BH639,0),2)</f>
        <v>0</v>
      </c>
      <c r="AC639" s="28">
        <f>ROUND(IF(AQ639="1",BI639,0),2)</f>
        <v>0</v>
      </c>
      <c r="AD639" s="28">
        <f>ROUND(IF(AQ639="7",BH639,0),2)</f>
        <v>0</v>
      </c>
      <c r="AE639" s="28">
        <f>ROUND(IF(AQ639="7",BI639,0),2)</f>
        <v>0</v>
      </c>
      <c r="AF639" s="28">
        <f>ROUND(IF(AQ639="2",BH639,0),2)</f>
        <v>0</v>
      </c>
      <c r="AG639" s="28">
        <f>ROUND(IF(AQ639="2",BI639,0),2)</f>
        <v>0</v>
      </c>
      <c r="AH639" s="28">
        <f>ROUND(IF(AQ639="0",BJ639,0),2)</f>
        <v>0</v>
      </c>
      <c r="AI639" s="10" t="s">
        <v>909</v>
      </c>
      <c r="AJ639" s="28">
        <f>IF(AN639=0,J639,0)</f>
        <v>0</v>
      </c>
      <c r="AK639" s="28">
        <f>IF(AN639=12,J639,0)</f>
        <v>0</v>
      </c>
      <c r="AL639" s="28">
        <f>IF(AN639=21,J639,0)</f>
        <v>0</v>
      </c>
      <c r="AN639" s="28">
        <v>21</v>
      </c>
      <c r="AO639" s="28">
        <f>G639*0.098450704</f>
        <v>0</v>
      </c>
      <c r="AP639" s="28">
        <f>G639*(1-0.098450704)</f>
        <v>0</v>
      </c>
      <c r="AQ639" s="30" t="s">
        <v>60</v>
      </c>
      <c r="AV639" s="28">
        <f>ROUND(AW639+AX639,2)</f>
        <v>0</v>
      </c>
      <c r="AW639" s="28">
        <f>ROUND(F639*AO639,2)</f>
        <v>0</v>
      </c>
      <c r="AX639" s="28">
        <f>ROUND(F639*AP639,2)</f>
        <v>0</v>
      </c>
      <c r="AY639" s="30" t="s">
        <v>975</v>
      </c>
      <c r="AZ639" s="30" t="s">
        <v>922</v>
      </c>
      <c r="BA639" s="10" t="s">
        <v>915</v>
      </c>
      <c r="BC639" s="28">
        <f>AW639+AX639</f>
        <v>0</v>
      </c>
      <c r="BD639" s="28">
        <f>G639/(100-BE639)*100</f>
        <v>0</v>
      </c>
      <c r="BE639" s="28">
        <v>0</v>
      </c>
      <c r="BF639" s="28">
        <f>639</f>
        <v>639</v>
      </c>
      <c r="BH639" s="28">
        <f>F639*AO639</f>
        <v>0</v>
      </c>
      <c r="BI639" s="28">
        <f>F639*AP639</f>
        <v>0</v>
      </c>
      <c r="BJ639" s="28">
        <f>F639*G639</f>
        <v>0</v>
      </c>
      <c r="BK639" s="28"/>
      <c r="BL639" s="28"/>
      <c r="BW639" s="28">
        <v>21</v>
      </c>
      <c r="BX639" s="4" t="s">
        <v>1013</v>
      </c>
    </row>
    <row r="640" spans="1:76" ht="54" customHeight="1" x14ac:dyDescent="0.25">
      <c r="A640" s="31"/>
      <c r="C640" s="248" t="s">
        <v>1014</v>
      </c>
      <c r="D640" s="249"/>
      <c r="E640" s="249"/>
      <c r="F640" s="249"/>
      <c r="G640" s="249"/>
      <c r="H640" s="249"/>
      <c r="I640" s="249"/>
      <c r="J640" s="249"/>
      <c r="K640" s="250"/>
    </row>
    <row r="641" spans="1:76" x14ac:dyDescent="0.25">
      <c r="A641" s="31"/>
      <c r="C641" s="34" t="s">
        <v>114</v>
      </c>
      <c r="D641" s="33" t="s">
        <v>52</v>
      </c>
      <c r="F641" s="35">
        <v>8</v>
      </c>
      <c r="K641" s="36"/>
    </row>
    <row r="642" spans="1:76" x14ac:dyDescent="0.25">
      <c r="A642" s="2" t="s">
        <v>1015</v>
      </c>
      <c r="B642" s="3" t="s">
        <v>1016</v>
      </c>
      <c r="C642" s="230" t="s">
        <v>1017</v>
      </c>
      <c r="D642" s="225"/>
      <c r="E642" s="3" t="s">
        <v>717</v>
      </c>
      <c r="F642" s="28">
        <v>8</v>
      </c>
      <c r="G642" s="28">
        <v>0</v>
      </c>
      <c r="H642" s="28">
        <f>ROUND(F642*AO642,2)</f>
        <v>0</v>
      </c>
      <c r="I642" s="28">
        <f>ROUND(F642*AP642,2)</f>
        <v>0</v>
      </c>
      <c r="J642" s="28">
        <f>ROUND(F642*G642,2)</f>
        <v>0</v>
      </c>
      <c r="K642" s="29" t="s">
        <v>109</v>
      </c>
      <c r="Z642" s="28">
        <f>ROUND(IF(AQ642="5",BJ642,0),2)</f>
        <v>0</v>
      </c>
      <c r="AB642" s="28">
        <f>ROUND(IF(AQ642="1",BH642,0),2)</f>
        <v>0</v>
      </c>
      <c r="AC642" s="28">
        <f>ROUND(IF(AQ642="1",BI642,0),2)</f>
        <v>0</v>
      </c>
      <c r="AD642" s="28">
        <f>ROUND(IF(AQ642="7",BH642,0),2)</f>
        <v>0</v>
      </c>
      <c r="AE642" s="28">
        <f>ROUND(IF(AQ642="7",BI642,0),2)</f>
        <v>0</v>
      </c>
      <c r="AF642" s="28">
        <f>ROUND(IF(AQ642="2",BH642,0),2)</f>
        <v>0</v>
      </c>
      <c r="AG642" s="28">
        <f>ROUND(IF(AQ642="2",BI642,0),2)</f>
        <v>0</v>
      </c>
      <c r="AH642" s="28">
        <f>ROUND(IF(AQ642="0",BJ642,0),2)</f>
        <v>0</v>
      </c>
      <c r="AI642" s="10" t="s">
        <v>909</v>
      </c>
      <c r="AJ642" s="28">
        <f>IF(AN642=0,J642,0)</f>
        <v>0</v>
      </c>
      <c r="AK642" s="28">
        <f>IF(AN642=12,J642,0)</f>
        <v>0</v>
      </c>
      <c r="AL642" s="28">
        <f>IF(AN642=21,J642,0)</f>
        <v>0</v>
      </c>
      <c r="AN642" s="28">
        <v>21</v>
      </c>
      <c r="AO642" s="28">
        <f>G642*0.09844</f>
        <v>0</v>
      </c>
      <c r="AP642" s="28">
        <f>G642*(1-0.09844)</f>
        <v>0</v>
      </c>
      <c r="AQ642" s="30" t="s">
        <v>60</v>
      </c>
      <c r="AV642" s="28">
        <f>ROUND(AW642+AX642,2)</f>
        <v>0</v>
      </c>
      <c r="AW642" s="28">
        <f>ROUND(F642*AO642,2)</f>
        <v>0</v>
      </c>
      <c r="AX642" s="28">
        <f>ROUND(F642*AP642,2)</f>
        <v>0</v>
      </c>
      <c r="AY642" s="30" t="s">
        <v>975</v>
      </c>
      <c r="AZ642" s="30" t="s">
        <v>922</v>
      </c>
      <c r="BA642" s="10" t="s">
        <v>915</v>
      </c>
      <c r="BC642" s="28">
        <f>AW642+AX642</f>
        <v>0</v>
      </c>
      <c r="BD642" s="28">
        <f>G642/(100-BE642)*100</f>
        <v>0</v>
      </c>
      <c r="BE642" s="28">
        <v>0</v>
      </c>
      <c r="BF642" s="28">
        <f>642</f>
        <v>642</v>
      </c>
      <c r="BH642" s="28">
        <f>F642*AO642</f>
        <v>0</v>
      </c>
      <c r="BI642" s="28">
        <f>F642*AP642</f>
        <v>0</v>
      </c>
      <c r="BJ642" s="28">
        <f>F642*G642</f>
        <v>0</v>
      </c>
      <c r="BK642" s="28"/>
      <c r="BL642" s="28"/>
      <c r="BW642" s="28">
        <v>21</v>
      </c>
      <c r="BX642" s="4" t="s">
        <v>1017</v>
      </c>
    </row>
    <row r="643" spans="1:76" ht="13.5" customHeight="1" x14ac:dyDescent="0.25">
      <c r="A643" s="31"/>
      <c r="C643" s="248" t="s">
        <v>1018</v>
      </c>
      <c r="D643" s="249"/>
      <c r="E643" s="249"/>
      <c r="F643" s="249"/>
      <c r="G643" s="249"/>
      <c r="H643" s="249"/>
      <c r="I643" s="249"/>
      <c r="J643" s="249"/>
      <c r="K643" s="250"/>
    </row>
    <row r="644" spans="1:76" x14ac:dyDescent="0.25">
      <c r="A644" s="31"/>
      <c r="C644" s="34" t="s">
        <v>114</v>
      </c>
      <c r="D644" s="33" t="s">
        <v>52</v>
      </c>
      <c r="F644" s="35">
        <v>8</v>
      </c>
      <c r="K644" s="36"/>
    </row>
    <row r="645" spans="1:76" ht="25.5" x14ac:dyDescent="0.25">
      <c r="A645" s="2" t="s">
        <v>1019</v>
      </c>
      <c r="B645" s="3" t="s">
        <v>1020</v>
      </c>
      <c r="C645" s="230" t="s">
        <v>1021</v>
      </c>
      <c r="D645" s="225"/>
      <c r="E645" s="3" t="s">
        <v>717</v>
      </c>
      <c r="F645" s="28">
        <v>8</v>
      </c>
      <c r="G645" s="28">
        <v>0</v>
      </c>
      <c r="H645" s="28">
        <f>ROUND(F645*AO645,2)</f>
        <v>0</v>
      </c>
      <c r="I645" s="28">
        <f>ROUND(F645*AP645,2)</f>
        <v>0</v>
      </c>
      <c r="J645" s="28">
        <f>ROUND(F645*G645,2)</f>
        <v>0</v>
      </c>
      <c r="K645" s="29" t="s">
        <v>109</v>
      </c>
      <c r="Z645" s="28">
        <f>ROUND(IF(AQ645="5",BJ645,0),2)</f>
        <v>0</v>
      </c>
      <c r="AB645" s="28">
        <f>ROUND(IF(AQ645="1",BH645,0),2)</f>
        <v>0</v>
      </c>
      <c r="AC645" s="28">
        <f>ROUND(IF(AQ645="1",BI645,0),2)</f>
        <v>0</v>
      </c>
      <c r="AD645" s="28">
        <f>ROUND(IF(AQ645="7",BH645,0),2)</f>
        <v>0</v>
      </c>
      <c r="AE645" s="28">
        <f>ROUND(IF(AQ645="7",BI645,0),2)</f>
        <v>0</v>
      </c>
      <c r="AF645" s="28">
        <f>ROUND(IF(AQ645="2",BH645,0),2)</f>
        <v>0</v>
      </c>
      <c r="AG645" s="28">
        <f>ROUND(IF(AQ645="2",BI645,0),2)</f>
        <v>0</v>
      </c>
      <c r="AH645" s="28">
        <f>ROUND(IF(AQ645="0",BJ645,0),2)</f>
        <v>0</v>
      </c>
      <c r="AI645" s="10" t="s">
        <v>909</v>
      </c>
      <c r="AJ645" s="28">
        <f>IF(AN645=0,J645,0)</f>
        <v>0</v>
      </c>
      <c r="AK645" s="28">
        <f>IF(AN645=12,J645,0)</f>
        <v>0</v>
      </c>
      <c r="AL645" s="28">
        <f>IF(AN645=21,J645,0)</f>
        <v>0</v>
      </c>
      <c r="AN645" s="28">
        <v>21</v>
      </c>
      <c r="AO645" s="28">
        <f>G645*0.098443038</f>
        <v>0</v>
      </c>
      <c r="AP645" s="28">
        <f>G645*(1-0.098443038)</f>
        <v>0</v>
      </c>
      <c r="AQ645" s="30" t="s">
        <v>60</v>
      </c>
      <c r="AV645" s="28">
        <f>ROUND(AW645+AX645,2)</f>
        <v>0</v>
      </c>
      <c r="AW645" s="28">
        <f>ROUND(F645*AO645,2)</f>
        <v>0</v>
      </c>
      <c r="AX645" s="28">
        <f>ROUND(F645*AP645,2)</f>
        <v>0</v>
      </c>
      <c r="AY645" s="30" t="s">
        <v>975</v>
      </c>
      <c r="AZ645" s="30" t="s">
        <v>922</v>
      </c>
      <c r="BA645" s="10" t="s">
        <v>915</v>
      </c>
      <c r="BC645" s="28">
        <f>AW645+AX645</f>
        <v>0</v>
      </c>
      <c r="BD645" s="28">
        <f>G645/(100-BE645)*100</f>
        <v>0</v>
      </c>
      <c r="BE645" s="28">
        <v>0</v>
      </c>
      <c r="BF645" s="28">
        <f>645</f>
        <v>645</v>
      </c>
      <c r="BH645" s="28">
        <f>F645*AO645</f>
        <v>0</v>
      </c>
      <c r="BI645" s="28">
        <f>F645*AP645</f>
        <v>0</v>
      </c>
      <c r="BJ645" s="28">
        <f>F645*G645</f>
        <v>0</v>
      </c>
      <c r="BK645" s="28"/>
      <c r="BL645" s="28"/>
      <c r="BW645" s="28">
        <v>21</v>
      </c>
      <c r="BX645" s="4" t="s">
        <v>1021</v>
      </c>
    </row>
    <row r="646" spans="1:76" ht="27" customHeight="1" x14ac:dyDescent="0.25">
      <c r="A646" s="31"/>
      <c r="C646" s="248" t="s">
        <v>1022</v>
      </c>
      <c r="D646" s="249"/>
      <c r="E646" s="249"/>
      <c r="F646" s="249"/>
      <c r="G646" s="249"/>
      <c r="H646" s="249"/>
      <c r="I646" s="249"/>
      <c r="J646" s="249"/>
      <c r="K646" s="250"/>
    </row>
    <row r="647" spans="1:76" x14ac:dyDescent="0.25">
      <c r="A647" s="31"/>
      <c r="C647" s="34" t="s">
        <v>114</v>
      </c>
      <c r="D647" s="33" t="s">
        <v>52</v>
      </c>
      <c r="F647" s="35">
        <v>8</v>
      </c>
      <c r="K647" s="36"/>
    </row>
    <row r="648" spans="1:76" x14ac:dyDescent="0.25">
      <c r="A648" s="2" t="s">
        <v>1023</v>
      </c>
      <c r="B648" s="3" t="s">
        <v>1024</v>
      </c>
      <c r="C648" s="230" t="s">
        <v>1025</v>
      </c>
      <c r="D648" s="225"/>
      <c r="E648" s="3" t="s">
        <v>205</v>
      </c>
      <c r="F648" s="28">
        <v>30</v>
      </c>
      <c r="G648" s="28">
        <v>0</v>
      </c>
      <c r="H648" s="28">
        <f>ROUND(F648*AO648,2)</f>
        <v>0</v>
      </c>
      <c r="I648" s="28">
        <f>ROUND(F648*AP648,2)</f>
        <v>0</v>
      </c>
      <c r="J648" s="28">
        <f>ROUND(F648*G648,2)</f>
        <v>0</v>
      </c>
      <c r="K648" s="29" t="s">
        <v>109</v>
      </c>
      <c r="Z648" s="28">
        <f>ROUND(IF(AQ648="5",BJ648,0),2)</f>
        <v>0</v>
      </c>
      <c r="AB648" s="28">
        <f>ROUND(IF(AQ648="1",BH648,0),2)</f>
        <v>0</v>
      </c>
      <c r="AC648" s="28">
        <f>ROUND(IF(AQ648="1",BI648,0),2)</f>
        <v>0</v>
      </c>
      <c r="AD648" s="28">
        <f>ROUND(IF(AQ648="7",BH648,0),2)</f>
        <v>0</v>
      </c>
      <c r="AE648" s="28">
        <f>ROUND(IF(AQ648="7",BI648,0),2)</f>
        <v>0</v>
      </c>
      <c r="AF648" s="28">
        <f>ROUND(IF(AQ648="2",BH648,0),2)</f>
        <v>0</v>
      </c>
      <c r="AG648" s="28">
        <f>ROUND(IF(AQ648="2",BI648,0),2)</f>
        <v>0</v>
      </c>
      <c r="AH648" s="28">
        <f>ROUND(IF(AQ648="0",BJ648,0),2)</f>
        <v>0</v>
      </c>
      <c r="AI648" s="10" t="s">
        <v>909</v>
      </c>
      <c r="AJ648" s="28">
        <f>IF(AN648=0,J648,0)</f>
        <v>0</v>
      </c>
      <c r="AK648" s="28">
        <f>IF(AN648=12,J648,0)</f>
        <v>0</v>
      </c>
      <c r="AL648" s="28">
        <f>IF(AN648=21,J648,0)</f>
        <v>0</v>
      </c>
      <c r="AN648" s="28">
        <v>21</v>
      </c>
      <c r="AO648" s="28">
        <f>G648*0.098441558</f>
        <v>0</v>
      </c>
      <c r="AP648" s="28">
        <f>G648*(1-0.098441558)</f>
        <v>0</v>
      </c>
      <c r="AQ648" s="30" t="s">
        <v>60</v>
      </c>
      <c r="AV648" s="28">
        <f>ROUND(AW648+AX648,2)</f>
        <v>0</v>
      </c>
      <c r="AW648" s="28">
        <f>ROUND(F648*AO648,2)</f>
        <v>0</v>
      </c>
      <c r="AX648" s="28">
        <f>ROUND(F648*AP648,2)</f>
        <v>0</v>
      </c>
      <c r="AY648" s="30" t="s">
        <v>975</v>
      </c>
      <c r="AZ648" s="30" t="s">
        <v>922</v>
      </c>
      <c r="BA648" s="10" t="s">
        <v>915</v>
      </c>
      <c r="BC648" s="28">
        <f>AW648+AX648</f>
        <v>0</v>
      </c>
      <c r="BD648" s="28">
        <f>G648/(100-BE648)*100</f>
        <v>0</v>
      </c>
      <c r="BE648" s="28">
        <v>0</v>
      </c>
      <c r="BF648" s="28">
        <f>648</f>
        <v>648</v>
      </c>
      <c r="BH648" s="28">
        <f>F648*AO648</f>
        <v>0</v>
      </c>
      <c r="BI648" s="28">
        <f>F648*AP648</f>
        <v>0</v>
      </c>
      <c r="BJ648" s="28">
        <f>F648*G648</f>
        <v>0</v>
      </c>
      <c r="BK648" s="28"/>
      <c r="BL648" s="28"/>
      <c r="BW648" s="28">
        <v>21</v>
      </c>
      <c r="BX648" s="4" t="s">
        <v>1025</v>
      </c>
    </row>
    <row r="649" spans="1:76" ht="13.5" customHeight="1" x14ac:dyDescent="0.25">
      <c r="A649" s="31"/>
      <c r="C649" s="248" t="s">
        <v>1018</v>
      </c>
      <c r="D649" s="249"/>
      <c r="E649" s="249"/>
      <c r="F649" s="249"/>
      <c r="G649" s="249"/>
      <c r="H649" s="249"/>
      <c r="I649" s="249"/>
      <c r="J649" s="249"/>
      <c r="K649" s="250"/>
    </row>
    <row r="650" spans="1:76" x14ac:dyDescent="0.25">
      <c r="A650" s="31"/>
      <c r="C650" s="34" t="s">
        <v>242</v>
      </c>
      <c r="D650" s="33" t="s">
        <v>52</v>
      </c>
      <c r="F650" s="35">
        <v>30</v>
      </c>
      <c r="K650" s="36"/>
    </row>
    <row r="651" spans="1:76" x14ac:dyDescent="0.25">
      <c r="A651" s="2" t="s">
        <v>1026</v>
      </c>
      <c r="B651" s="3" t="s">
        <v>1027</v>
      </c>
      <c r="C651" s="230" t="s">
        <v>1028</v>
      </c>
      <c r="D651" s="225"/>
      <c r="E651" s="3" t="s">
        <v>717</v>
      </c>
      <c r="F651" s="28">
        <v>10</v>
      </c>
      <c r="G651" s="28">
        <v>0</v>
      </c>
      <c r="H651" s="28">
        <f>ROUND(F651*AO651,2)</f>
        <v>0</v>
      </c>
      <c r="I651" s="28">
        <f>ROUND(F651*AP651,2)</f>
        <v>0</v>
      </c>
      <c r="J651" s="28">
        <f>ROUND(F651*G651,2)</f>
        <v>0</v>
      </c>
      <c r="K651" s="29" t="s">
        <v>109</v>
      </c>
      <c r="Z651" s="28">
        <f>ROUND(IF(AQ651="5",BJ651,0),2)</f>
        <v>0</v>
      </c>
      <c r="AB651" s="28">
        <f>ROUND(IF(AQ651="1",BH651,0),2)</f>
        <v>0</v>
      </c>
      <c r="AC651" s="28">
        <f>ROUND(IF(AQ651="1",BI651,0),2)</f>
        <v>0</v>
      </c>
      <c r="AD651" s="28">
        <f>ROUND(IF(AQ651="7",BH651,0),2)</f>
        <v>0</v>
      </c>
      <c r="AE651" s="28">
        <f>ROUND(IF(AQ651="7",BI651,0),2)</f>
        <v>0</v>
      </c>
      <c r="AF651" s="28">
        <f>ROUND(IF(AQ651="2",BH651,0),2)</f>
        <v>0</v>
      </c>
      <c r="AG651" s="28">
        <f>ROUND(IF(AQ651="2",BI651,0),2)</f>
        <v>0</v>
      </c>
      <c r="AH651" s="28">
        <f>ROUND(IF(AQ651="0",BJ651,0),2)</f>
        <v>0</v>
      </c>
      <c r="AI651" s="10" t="s">
        <v>909</v>
      </c>
      <c r="AJ651" s="28">
        <f>IF(AN651=0,J651,0)</f>
        <v>0</v>
      </c>
      <c r="AK651" s="28">
        <f>IF(AN651=12,J651,0)</f>
        <v>0</v>
      </c>
      <c r="AL651" s="28">
        <f>IF(AN651=21,J651,0)</f>
        <v>0</v>
      </c>
      <c r="AN651" s="28">
        <v>21</v>
      </c>
      <c r="AO651" s="28">
        <f>G651*0.098421053</f>
        <v>0</v>
      </c>
      <c r="AP651" s="28">
        <f>G651*(1-0.098421053)</f>
        <v>0</v>
      </c>
      <c r="AQ651" s="30" t="s">
        <v>60</v>
      </c>
      <c r="AV651" s="28">
        <f>ROUND(AW651+AX651,2)</f>
        <v>0</v>
      </c>
      <c r="AW651" s="28">
        <f>ROUND(F651*AO651,2)</f>
        <v>0</v>
      </c>
      <c r="AX651" s="28">
        <f>ROUND(F651*AP651,2)</f>
        <v>0</v>
      </c>
      <c r="AY651" s="30" t="s">
        <v>975</v>
      </c>
      <c r="AZ651" s="30" t="s">
        <v>922</v>
      </c>
      <c r="BA651" s="10" t="s">
        <v>915</v>
      </c>
      <c r="BC651" s="28">
        <f>AW651+AX651</f>
        <v>0</v>
      </c>
      <c r="BD651" s="28">
        <f>G651/(100-BE651)*100</f>
        <v>0</v>
      </c>
      <c r="BE651" s="28">
        <v>0</v>
      </c>
      <c r="BF651" s="28">
        <f>651</f>
        <v>651</v>
      </c>
      <c r="BH651" s="28">
        <f>F651*AO651</f>
        <v>0</v>
      </c>
      <c r="BI651" s="28">
        <f>F651*AP651</f>
        <v>0</v>
      </c>
      <c r="BJ651" s="28">
        <f>F651*G651</f>
        <v>0</v>
      </c>
      <c r="BK651" s="28"/>
      <c r="BL651" s="28"/>
      <c r="BW651" s="28">
        <v>21</v>
      </c>
      <c r="BX651" s="4" t="s">
        <v>1028</v>
      </c>
    </row>
    <row r="652" spans="1:76" ht="13.5" customHeight="1" x14ac:dyDescent="0.25">
      <c r="A652" s="31"/>
      <c r="C652" s="248" t="s">
        <v>1018</v>
      </c>
      <c r="D652" s="249"/>
      <c r="E652" s="249"/>
      <c r="F652" s="249"/>
      <c r="G652" s="249"/>
      <c r="H652" s="249"/>
      <c r="I652" s="249"/>
      <c r="J652" s="249"/>
      <c r="K652" s="250"/>
    </row>
    <row r="653" spans="1:76" x14ac:dyDescent="0.25">
      <c r="A653" s="31"/>
      <c r="C653" s="34" t="s">
        <v>120</v>
      </c>
      <c r="D653" s="33" t="s">
        <v>52</v>
      </c>
      <c r="F653" s="35">
        <v>10</v>
      </c>
      <c r="K653" s="36"/>
    </row>
    <row r="654" spans="1:76" x14ac:dyDescent="0.25">
      <c r="A654" s="2" t="s">
        <v>1029</v>
      </c>
      <c r="B654" s="3" t="s">
        <v>1030</v>
      </c>
      <c r="C654" s="230" t="s">
        <v>1031</v>
      </c>
      <c r="D654" s="225"/>
      <c r="E654" s="3" t="s">
        <v>717</v>
      </c>
      <c r="F654" s="28">
        <v>6</v>
      </c>
      <c r="G654" s="28">
        <v>0</v>
      </c>
      <c r="H654" s="28">
        <f>ROUND(F654*AO654,2)</f>
        <v>0</v>
      </c>
      <c r="I654" s="28">
        <f>ROUND(F654*AP654,2)</f>
        <v>0</v>
      </c>
      <c r="J654" s="28">
        <f>ROUND(F654*G654,2)</f>
        <v>0</v>
      </c>
      <c r="K654" s="29" t="s">
        <v>109</v>
      </c>
      <c r="Z654" s="28">
        <f>ROUND(IF(AQ654="5",BJ654,0),2)</f>
        <v>0</v>
      </c>
      <c r="AB654" s="28">
        <f>ROUND(IF(AQ654="1",BH654,0),2)</f>
        <v>0</v>
      </c>
      <c r="AC654" s="28">
        <f>ROUND(IF(AQ654="1",BI654,0),2)</f>
        <v>0</v>
      </c>
      <c r="AD654" s="28">
        <f>ROUND(IF(AQ654="7",BH654,0),2)</f>
        <v>0</v>
      </c>
      <c r="AE654" s="28">
        <f>ROUND(IF(AQ654="7",BI654,0),2)</f>
        <v>0</v>
      </c>
      <c r="AF654" s="28">
        <f>ROUND(IF(AQ654="2",BH654,0),2)</f>
        <v>0</v>
      </c>
      <c r="AG654" s="28">
        <f>ROUND(IF(AQ654="2",BI654,0),2)</f>
        <v>0</v>
      </c>
      <c r="AH654" s="28">
        <f>ROUND(IF(AQ654="0",BJ654,0),2)</f>
        <v>0</v>
      </c>
      <c r="AI654" s="10" t="s">
        <v>909</v>
      </c>
      <c r="AJ654" s="28">
        <f>IF(AN654=0,J654,0)</f>
        <v>0</v>
      </c>
      <c r="AK654" s="28">
        <f>IF(AN654=12,J654,0)</f>
        <v>0</v>
      </c>
      <c r="AL654" s="28">
        <f>IF(AN654=21,J654,0)</f>
        <v>0</v>
      </c>
      <c r="AN654" s="28">
        <v>21</v>
      </c>
      <c r="AO654" s="28">
        <f>G654*0.098438438</f>
        <v>0</v>
      </c>
      <c r="AP654" s="28">
        <f>G654*(1-0.098438438)</f>
        <v>0</v>
      </c>
      <c r="AQ654" s="30" t="s">
        <v>60</v>
      </c>
      <c r="AV654" s="28">
        <f>ROUND(AW654+AX654,2)</f>
        <v>0</v>
      </c>
      <c r="AW654" s="28">
        <f>ROUND(F654*AO654,2)</f>
        <v>0</v>
      </c>
      <c r="AX654" s="28">
        <f>ROUND(F654*AP654,2)</f>
        <v>0</v>
      </c>
      <c r="AY654" s="30" t="s">
        <v>975</v>
      </c>
      <c r="AZ654" s="30" t="s">
        <v>922</v>
      </c>
      <c r="BA654" s="10" t="s">
        <v>915</v>
      </c>
      <c r="BC654" s="28">
        <f>AW654+AX654</f>
        <v>0</v>
      </c>
      <c r="BD654" s="28">
        <f>G654/(100-BE654)*100</f>
        <v>0</v>
      </c>
      <c r="BE654" s="28">
        <v>0</v>
      </c>
      <c r="BF654" s="28">
        <f>654</f>
        <v>654</v>
      </c>
      <c r="BH654" s="28">
        <f>F654*AO654</f>
        <v>0</v>
      </c>
      <c r="BI654" s="28">
        <f>F654*AP654</f>
        <v>0</v>
      </c>
      <c r="BJ654" s="28">
        <f>F654*G654</f>
        <v>0</v>
      </c>
      <c r="BK654" s="28"/>
      <c r="BL654" s="28"/>
      <c r="BW654" s="28">
        <v>21</v>
      </c>
      <c r="BX654" s="4" t="s">
        <v>1031</v>
      </c>
    </row>
    <row r="655" spans="1:76" ht="13.5" customHeight="1" x14ac:dyDescent="0.25">
      <c r="A655" s="31"/>
      <c r="C655" s="248" t="s">
        <v>1018</v>
      </c>
      <c r="D655" s="249"/>
      <c r="E655" s="249"/>
      <c r="F655" s="249"/>
      <c r="G655" s="249"/>
      <c r="H655" s="249"/>
      <c r="I655" s="249"/>
      <c r="J655" s="249"/>
      <c r="K655" s="250"/>
    </row>
    <row r="656" spans="1:76" x14ac:dyDescent="0.25">
      <c r="A656" s="31"/>
      <c r="C656" s="34" t="s">
        <v>105</v>
      </c>
      <c r="D656" s="33" t="s">
        <v>52</v>
      </c>
      <c r="F656" s="35">
        <v>6</v>
      </c>
      <c r="K656" s="36"/>
    </row>
    <row r="657" spans="1:76" x14ac:dyDescent="0.25">
      <c r="A657" s="2" t="s">
        <v>1032</v>
      </c>
      <c r="B657" s="3" t="s">
        <v>1033</v>
      </c>
      <c r="C657" s="230" t="s">
        <v>1034</v>
      </c>
      <c r="D657" s="225"/>
      <c r="E657" s="3" t="s">
        <v>1035</v>
      </c>
      <c r="F657" s="28">
        <v>40</v>
      </c>
      <c r="G657" s="28">
        <v>0</v>
      </c>
      <c r="H657" s="28">
        <f>ROUND(F657*AO657,2)</f>
        <v>0</v>
      </c>
      <c r="I657" s="28">
        <f>ROUND(F657*AP657,2)</f>
        <v>0</v>
      </c>
      <c r="J657" s="28">
        <f>ROUND(F657*G657,2)</f>
        <v>0</v>
      </c>
      <c r="K657" s="29" t="s">
        <v>109</v>
      </c>
      <c r="Z657" s="28">
        <f>ROUND(IF(AQ657="5",BJ657,0),2)</f>
        <v>0</v>
      </c>
      <c r="AB657" s="28">
        <f>ROUND(IF(AQ657="1",BH657,0),2)</f>
        <v>0</v>
      </c>
      <c r="AC657" s="28">
        <f>ROUND(IF(AQ657="1",BI657,0),2)</f>
        <v>0</v>
      </c>
      <c r="AD657" s="28">
        <f>ROUND(IF(AQ657="7",BH657,0),2)</f>
        <v>0</v>
      </c>
      <c r="AE657" s="28">
        <f>ROUND(IF(AQ657="7",BI657,0),2)</f>
        <v>0</v>
      </c>
      <c r="AF657" s="28">
        <f>ROUND(IF(AQ657="2",BH657,0),2)</f>
        <v>0</v>
      </c>
      <c r="AG657" s="28">
        <f>ROUND(IF(AQ657="2",BI657,0),2)</f>
        <v>0</v>
      </c>
      <c r="AH657" s="28">
        <f>ROUND(IF(AQ657="0",BJ657,0),2)</f>
        <v>0</v>
      </c>
      <c r="AI657" s="10" t="s">
        <v>909</v>
      </c>
      <c r="AJ657" s="28">
        <f>IF(AN657=0,J657,0)</f>
        <v>0</v>
      </c>
      <c r="AK657" s="28">
        <f>IF(AN657=12,J657,0)</f>
        <v>0</v>
      </c>
      <c r="AL657" s="28">
        <f>IF(AN657=21,J657,0)</f>
        <v>0</v>
      </c>
      <c r="AN657" s="28">
        <v>21</v>
      </c>
      <c r="AO657" s="28">
        <f>G657*0.09844</f>
        <v>0</v>
      </c>
      <c r="AP657" s="28">
        <f>G657*(1-0.09844)</f>
        <v>0</v>
      </c>
      <c r="AQ657" s="30" t="s">
        <v>60</v>
      </c>
      <c r="AV657" s="28">
        <f>ROUND(AW657+AX657,2)</f>
        <v>0</v>
      </c>
      <c r="AW657" s="28">
        <f>ROUND(F657*AO657,2)</f>
        <v>0</v>
      </c>
      <c r="AX657" s="28">
        <f>ROUND(F657*AP657,2)</f>
        <v>0</v>
      </c>
      <c r="AY657" s="30" t="s">
        <v>975</v>
      </c>
      <c r="AZ657" s="30" t="s">
        <v>922</v>
      </c>
      <c r="BA657" s="10" t="s">
        <v>915</v>
      </c>
      <c r="BC657" s="28">
        <f>AW657+AX657</f>
        <v>0</v>
      </c>
      <c r="BD657" s="28">
        <f>G657/(100-BE657)*100</f>
        <v>0</v>
      </c>
      <c r="BE657" s="28">
        <v>0</v>
      </c>
      <c r="BF657" s="28">
        <f>657</f>
        <v>657</v>
      </c>
      <c r="BH657" s="28">
        <f>F657*AO657</f>
        <v>0</v>
      </c>
      <c r="BI657" s="28">
        <f>F657*AP657</f>
        <v>0</v>
      </c>
      <c r="BJ657" s="28">
        <f>F657*G657</f>
        <v>0</v>
      </c>
      <c r="BK657" s="28"/>
      <c r="BL657" s="28"/>
      <c r="BW657" s="28">
        <v>21</v>
      </c>
      <c r="BX657" s="4" t="s">
        <v>1034</v>
      </c>
    </row>
    <row r="658" spans="1:76" ht="13.5" customHeight="1" x14ac:dyDescent="0.25">
      <c r="A658" s="31"/>
      <c r="C658" s="248" t="s">
        <v>1036</v>
      </c>
      <c r="D658" s="249"/>
      <c r="E658" s="249"/>
      <c r="F658" s="249"/>
      <c r="G658" s="249"/>
      <c r="H658" s="249"/>
      <c r="I658" s="249"/>
      <c r="J658" s="249"/>
      <c r="K658" s="250"/>
    </row>
    <row r="659" spans="1:76" x14ac:dyDescent="0.25">
      <c r="A659" s="31"/>
      <c r="C659" s="34" t="s">
        <v>296</v>
      </c>
      <c r="D659" s="33" t="s">
        <v>52</v>
      </c>
      <c r="F659" s="35">
        <v>40</v>
      </c>
      <c r="K659" s="36"/>
    </row>
    <row r="660" spans="1:76" x14ac:dyDescent="0.25">
      <c r="A660" s="2" t="s">
        <v>1037</v>
      </c>
      <c r="B660" s="3" t="s">
        <v>1038</v>
      </c>
      <c r="C660" s="230" t="s">
        <v>1039</v>
      </c>
      <c r="D660" s="225"/>
      <c r="E660" s="3" t="s">
        <v>90</v>
      </c>
      <c r="F660" s="28">
        <v>0.78</v>
      </c>
      <c r="G660" s="28">
        <v>0</v>
      </c>
      <c r="H660" s="28">
        <f>ROUND(F660*AO660,2)</f>
        <v>0</v>
      </c>
      <c r="I660" s="28">
        <f>ROUND(F660*AP660,2)</f>
        <v>0</v>
      </c>
      <c r="J660" s="28">
        <f>ROUND(F660*G660,2)</f>
        <v>0</v>
      </c>
      <c r="K660" s="29" t="s">
        <v>109</v>
      </c>
      <c r="Z660" s="28">
        <f>ROUND(IF(AQ660="5",BJ660,0),2)</f>
        <v>0</v>
      </c>
      <c r="AB660" s="28">
        <f>ROUND(IF(AQ660="1",BH660,0),2)</f>
        <v>0</v>
      </c>
      <c r="AC660" s="28">
        <f>ROUND(IF(AQ660="1",BI660,0),2)</f>
        <v>0</v>
      </c>
      <c r="AD660" s="28">
        <f>ROUND(IF(AQ660="7",BH660,0),2)</f>
        <v>0</v>
      </c>
      <c r="AE660" s="28">
        <f>ROUND(IF(AQ660="7",BI660,0),2)</f>
        <v>0</v>
      </c>
      <c r="AF660" s="28">
        <f>ROUND(IF(AQ660="2",BH660,0),2)</f>
        <v>0</v>
      </c>
      <c r="AG660" s="28">
        <f>ROUND(IF(AQ660="2",BI660,0),2)</f>
        <v>0</v>
      </c>
      <c r="AH660" s="28">
        <f>ROUND(IF(AQ660="0",BJ660,0),2)</f>
        <v>0</v>
      </c>
      <c r="AI660" s="10" t="s">
        <v>909</v>
      </c>
      <c r="AJ660" s="28">
        <f>IF(AN660=0,J660,0)</f>
        <v>0</v>
      </c>
      <c r="AK660" s="28">
        <f>IF(AN660=12,J660,0)</f>
        <v>0</v>
      </c>
      <c r="AL660" s="28">
        <f>IF(AN660=21,J660,0)</f>
        <v>0</v>
      </c>
      <c r="AN660" s="28">
        <v>21</v>
      </c>
      <c r="AO660" s="28">
        <f>G660*0.098439842</f>
        <v>0</v>
      </c>
      <c r="AP660" s="28">
        <f>G660*(1-0.098439842)</f>
        <v>0</v>
      </c>
      <c r="AQ660" s="30" t="s">
        <v>60</v>
      </c>
      <c r="AV660" s="28">
        <f>ROUND(AW660+AX660,2)</f>
        <v>0</v>
      </c>
      <c r="AW660" s="28">
        <f>ROUND(F660*AO660,2)</f>
        <v>0</v>
      </c>
      <c r="AX660" s="28">
        <f>ROUND(F660*AP660,2)</f>
        <v>0</v>
      </c>
      <c r="AY660" s="30" t="s">
        <v>975</v>
      </c>
      <c r="AZ660" s="30" t="s">
        <v>922</v>
      </c>
      <c r="BA660" s="10" t="s">
        <v>915</v>
      </c>
      <c r="BC660" s="28">
        <f>AW660+AX660</f>
        <v>0</v>
      </c>
      <c r="BD660" s="28">
        <f>G660/(100-BE660)*100</f>
        <v>0</v>
      </c>
      <c r="BE660" s="28">
        <v>0</v>
      </c>
      <c r="BF660" s="28">
        <f>660</f>
        <v>660</v>
      </c>
      <c r="BH660" s="28">
        <f>F660*AO660</f>
        <v>0</v>
      </c>
      <c r="BI660" s="28">
        <f>F660*AP660</f>
        <v>0</v>
      </c>
      <c r="BJ660" s="28">
        <f>F660*G660</f>
        <v>0</v>
      </c>
      <c r="BK660" s="28"/>
      <c r="BL660" s="28"/>
      <c r="BW660" s="28">
        <v>21</v>
      </c>
      <c r="BX660" s="4" t="s">
        <v>1039</v>
      </c>
    </row>
    <row r="661" spans="1:76" ht="13.5" customHeight="1" x14ac:dyDescent="0.25">
      <c r="A661" s="31"/>
      <c r="C661" s="248" t="s">
        <v>1036</v>
      </c>
      <c r="D661" s="249"/>
      <c r="E661" s="249"/>
      <c r="F661" s="249"/>
      <c r="G661" s="249"/>
      <c r="H661" s="249"/>
      <c r="I661" s="249"/>
      <c r="J661" s="249"/>
      <c r="K661" s="250"/>
    </row>
    <row r="662" spans="1:76" x14ac:dyDescent="0.25">
      <c r="A662" s="31"/>
      <c r="C662" s="34" t="s">
        <v>1040</v>
      </c>
      <c r="D662" s="33" t="s">
        <v>52</v>
      </c>
      <c r="F662" s="35">
        <v>0.78</v>
      </c>
      <c r="K662" s="36"/>
    </row>
    <row r="663" spans="1:76" ht="25.5" x14ac:dyDescent="0.25">
      <c r="A663" s="2" t="s">
        <v>1041</v>
      </c>
      <c r="B663" s="3" t="s">
        <v>1042</v>
      </c>
      <c r="C663" s="230" t="s">
        <v>1043</v>
      </c>
      <c r="D663" s="225"/>
      <c r="E663" s="3" t="s">
        <v>717</v>
      </c>
      <c r="F663" s="28">
        <v>150</v>
      </c>
      <c r="G663" s="28">
        <v>0</v>
      </c>
      <c r="H663" s="28">
        <f>ROUND(F663*AO663,2)</f>
        <v>0</v>
      </c>
      <c r="I663" s="28">
        <f>ROUND(F663*AP663,2)</f>
        <v>0</v>
      </c>
      <c r="J663" s="28">
        <f>ROUND(F663*G663,2)</f>
        <v>0</v>
      </c>
      <c r="K663" s="29" t="s">
        <v>109</v>
      </c>
      <c r="Z663" s="28">
        <f>ROUND(IF(AQ663="5",BJ663,0),2)</f>
        <v>0</v>
      </c>
      <c r="AB663" s="28">
        <f>ROUND(IF(AQ663="1",BH663,0),2)</f>
        <v>0</v>
      </c>
      <c r="AC663" s="28">
        <f>ROUND(IF(AQ663="1",BI663,0),2)</f>
        <v>0</v>
      </c>
      <c r="AD663" s="28">
        <f>ROUND(IF(AQ663="7",BH663,0),2)</f>
        <v>0</v>
      </c>
      <c r="AE663" s="28">
        <f>ROUND(IF(AQ663="7",BI663,0),2)</f>
        <v>0</v>
      </c>
      <c r="AF663" s="28">
        <f>ROUND(IF(AQ663="2",BH663,0),2)</f>
        <v>0</v>
      </c>
      <c r="AG663" s="28">
        <f>ROUND(IF(AQ663="2",BI663,0),2)</f>
        <v>0</v>
      </c>
      <c r="AH663" s="28">
        <f>ROUND(IF(AQ663="0",BJ663,0),2)</f>
        <v>0</v>
      </c>
      <c r="AI663" s="10" t="s">
        <v>909</v>
      </c>
      <c r="AJ663" s="28">
        <f>IF(AN663=0,J663,0)</f>
        <v>0</v>
      </c>
      <c r="AK663" s="28">
        <f>IF(AN663=12,J663,0)</f>
        <v>0</v>
      </c>
      <c r="AL663" s="28">
        <f>IF(AN663=21,J663,0)</f>
        <v>0</v>
      </c>
      <c r="AN663" s="28">
        <v>21</v>
      </c>
      <c r="AO663" s="28">
        <f>G663*0.098421053</f>
        <v>0</v>
      </c>
      <c r="AP663" s="28">
        <f>G663*(1-0.098421053)</f>
        <v>0</v>
      </c>
      <c r="AQ663" s="30" t="s">
        <v>60</v>
      </c>
      <c r="AV663" s="28">
        <f>ROUND(AW663+AX663,2)</f>
        <v>0</v>
      </c>
      <c r="AW663" s="28">
        <f>ROUND(F663*AO663,2)</f>
        <v>0</v>
      </c>
      <c r="AX663" s="28">
        <f>ROUND(F663*AP663,2)</f>
        <v>0</v>
      </c>
      <c r="AY663" s="30" t="s">
        <v>975</v>
      </c>
      <c r="AZ663" s="30" t="s">
        <v>922</v>
      </c>
      <c r="BA663" s="10" t="s">
        <v>915</v>
      </c>
      <c r="BC663" s="28">
        <f>AW663+AX663</f>
        <v>0</v>
      </c>
      <c r="BD663" s="28">
        <f>G663/(100-BE663)*100</f>
        <v>0</v>
      </c>
      <c r="BE663" s="28">
        <v>0</v>
      </c>
      <c r="BF663" s="28">
        <f>663</f>
        <v>663</v>
      </c>
      <c r="BH663" s="28">
        <f>F663*AO663</f>
        <v>0</v>
      </c>
      <c r="BI663" s="28">
        <f>F663*AP663</f>
        <v>0</v>
      </c>
      <c r="BJ663" s="28">
        <f>F663*G663</f>
        <v>0</v>
      </c>
      <c r="BK663" s="28"/>
      <c r="BL663" s="28"/>
      <c r="BW663" s="28">
        <v>21</v>
      </c>
      <c r="BX663" s="4" t="s">
        <v>1043</v>
      </c>
    </row>
    <row r="664" spans="1:76" ht="13.5" customHeight="1" x14ac:dyDescent="0.25">
      <c r="A664" s="31"/>
      <c r="C664" s="248" t="s">
        <v>1036</v>
      </c>
      <c r="D664" s="249"/>
      <c r="E664" s="249"/>
      <c r="F664" s="249"/>
      <c r="G664" s="249"/>
      <c r="H664" s="249"/>
      <c r="I664" s="249"/>
      <c r="J664" s="249"/>
      <c r="K664" s="250"/>
    </row>
    <row r="665" spans="1:76" x14ac:dyDescent="0.25">
      <c r="A665" s="31"/>
      <c r="C665" s="34" t="s">
        <v>871</v>
      </c>
      <c r="D665" s="33" t="s">
        <v>52</v>
      </c>
      <c r="F665" s="35">
        <v>150</v>
      </c>
      <c r="K665" s="36"/>
    </row>
    <row r="666" spans="1:76" x14ac:dyDescent="0.25">
      <c r="A666" s="2" t="s">
        <v>1044</v>
      </c>
      <c r="B666" s="3" t="s">
        <v>1045</v>
      </c>
      <c r="C666" s="230" t="s">
        <v>1046</v>
      </c>
      <c r="D666" s="225"/>
      <c r="E666" s="3" t="s">
        <v>717</v>
      </c>
      <c r="F666" s="28">
        <v>3</v>
      </c>
      <c r="G666" s="28">
        <v>0</v>
      </c>
      <c r="H666" s="28">
        <f>ROUND(F666*AO666,2)</f>
        <v>0</v>
      </c>
      <c r="I666" s="28">
        <f>ROUND(F666*AP666,2)</f>
        <v>0</v>
      </c>
      <c r="J666" s="28">
        <f>ROUND(F666*G666,2)</f>
        <v>0</v>
      </c>
      <c r="K666" s="29" t="s">
        <v>109</v>
      </c>
      <c r="Z666" s="28">
        <f>ROUND(IF(AQ666="5",BJ666,0),2)</f>
        <v>0</v>
      </c>
      <c r="AB666" s="28">
        <f>ROUND(IF(AQ666="1",BH666,0),2)</f>
        <v>0</v>
      </c>
      <c r="AC666" s="28">
        <f>ROUND(IF(AQ666="1",BI666,0),2)</f>
        <v>0</v>
      </c>
      <c r="AD666" s="28">
        <f>ROUND(IF(AQ666="7",BH666,0),2)</f>
        <v>0</v>
      </c>
      <c r="AE666" s="28">
        <f>ROUND(IF(AQ666="7",BI666,0),2)</f>
        <v>0</v>
      </c>
      <c r="AF666" s="28">
        <f>ROUND(IF(AQ666="2",BH666,0),2)</f>
        <v>0</v>
      </c>
      <c r="AG666" s="28">
        <f>ROUND(IF(AQ666="2",BI666,0),2)</f>
        <v>0</v>
      </c>
      <c r="AH666" s="28">
        <f>ROUND(IF(AQ666="0",BJ666,0),2)</f>
        <v>0</v>
      </c>
      <c r="AI666" s="10" t="s">
        <v>909</v>
      </c>
      <c r="AJ666" s="28">
        <f>IF(AN666=0,J666,0)</f>
        <v>0</v>
      </c>
      <c r="AK666" s="28">
        <f>IF(AN666=12,J666,0)</f>
        <v>0</v>
      </c>
      <c r="AL666" s="28">
        <f>IF(AN666=21,J666,0)</f>
        <v>0</v>
      </c>
      <c r="AN666" s="28">
        <v>21</v>
      </c>
      <c r="AO666" s="28">
        <f>G666*0.098422535</f>
        <v>0</v>
      </c>
      <c r="AP666" s="28">
        <f>G666*(1-0.098422535)</f>
        <v>0</v>
      </c>
      <c r="AQ666" s="30" t="s">
        <v>60</v>
      </c>
      <c r="AV666" s="28">
        <f>ROUND(AW666+AX666,2)</f>
        <v>0</v>
      </c>
      <c r="AW666" s="28">
        <f>ROUND(F666*AO666,2)</f>
        <v>0</v>
      </c>
      <c r="AX666" s="28">
        <f>ROUND(F666*AP666,2)</f>
        <v>0</v>
      </c>
      <c r="AY666" s="30" t="s">
        <v>975</v>
      </c>
      <c r="AZ666" s="30" t="s">
        <v>922</v>
      </c>
      <c r="BA666" s="10" t="s">
        <v>915</v>
      </c>
      <c r="BC666" s="28">
        <f>AW666+AX666</f>
        <v>0</v>
      </c>
      <c r="BD666" s="28">
        <f>G666/(100-BE666)*100</f>
        <v>0</v>
      </c>
      <c r="BE666" s="28">
        <v>0</v>
      </c>
      <c r="BF666" s="28">
        <f>666</f>
        <v>666</v>
      </c>
      <c r="BH666" s="28">
        <f>F666*AO666</f>
        <v>0</v>
      </c>
      <c r="BI666" s="28">
        <f>F666*AP666</f>
        <v>0</v>
      </c>
      <c r="BJ666" s="28">
        <f>F666*G666</f>
        <v>0</v>
      </c>
      <c r="BK666" s="28"/>
      <c r="BL666" s="28"/>
      <c r="BW666" s="28">
        <v>21</v>
      </c>
      <c r="BX666" s="4" t="s">
        <v>1046</v>
      </c>
    </row>
    <row r="667" spans="1:76" ht="13.5" customHeight="1" x14ac:dyDescent="0.25">
      <c r="A667" s="31"/>
      <c r="C667" s="248" t="s">
        <v>1036</v>
      </c>
      <c r="D667" s="249"/>
      <c r="E667" s="249"/>
      <c r="F667" s="249"/>
      <c r="G667" s="249"/>
      <c r="H667" s="249"/>
      <c r="I667" s="249"/>
      <c r="J667" s="249"/>
      <c r="K667" s="250"/>
    </row>
    <row r="668" spans="1:76" x14ac:dyDescent="0.25">
      <c r="A668" s="31"/>
      <c r="C668" s="34" t="s">
        <v>87</v>
      </c>
      <c r="D668" s="33" t="s">
        <v>52</v>
      </c>
      <c r="F668" s="35">
        <v>3</v>
      </c>
      <c r="K668" s="36"/>
    </row>
    <row r="669" spans="1:76" x14ac:dyDescent="0.25">
      <c r="A669" s="2" t="s">
        <v>1047</v>
      </c>
      <c r="B669" s="3" t="s">
        <v>1048</v>
      </c>
      <c r="C669" s="230" t="s">
        <v>1049</v>
      </c>
      <c r="D669" s="225"/>
      <c r="E669" s="3" t="s">
        <v>717</v>
      </c>
      <c r="F669" s="28">
        <v>7</v>
      </c>
      <c r="G669" s="28">
        <v>0</v>
      </c>
      <c r="H669" s="28">
        <f>ROUND(F669*AO669,2)</f>
        <v>0</v>
      </c>
      <c r="I669" s="28">
        <f>ROUND(F669*AP669,2)</f>
        <v>0</v>
      </c>
      <c r="J669" s="28">
        <f>ROUND(F669*G669,2)</f>
        <v>0</v>
      </c>
      <c r="K669" s="29" t="s">
        <v>109</v>
      </c>
      <c r="Z669" s="28">
        <f>ROUND(IF(AQ669="5",BJ669,0),2)</f>
        <v>0</v>
      </c>
      <c r="AB669" s="28">
        <f>ROUND(IF(AQ669="1",BH669,0),2)</f>
        <v>0</v>
      </c>
      <c r="AC669" s="28">
        <f>ROUND(IF(AQ669="1",BI669,0),2)</f>
        <v>0</v>
      </c>
      <c r="AD669" s="28">
        <f>ROUND(IF(AQ669="7",BH669,0),2)</f>
        <v>0</v>
      </c>
      <c r="AE669" s="28">
        <f>ROUND(IF(AQ669="7",BI669,0),2)</f>
        <v>0</v>
      </c>
      <c r="AF669" s="28">
        <f>ROUND(IF(AQ669="2",BH669,0),2)</f>
        <v>0</v>
      </c>
      <c r="AG669" s="28">
        <f>ROUND(IF(AQ669="2",BI669,0),2)</f>
        <v>0</v>
      </c>
      <c r="AH669" s="28">
        <f>ROUND(IF(AQ669="0",BJ669,0),2)</f>
        <v>0</v>
      </c>
      <c r="AI669" s="10" t="s">
        <v>909</v>
      </c>
      <c r="AJ669" s="28">
        <f>IF(AN669=0,J669,0)</f>
        <v>0</v>
      </c>
      <c r="AK669" s="28">
        <f>IF(AN669=12,J669,0)</f>
        <v>0</v>
      </c>
      <c r="AL669" s="28">
        <f>IF(AN669=21,J669,0)</f>
        <v>0</v>
      </c>
      <c r="AN669" s="28">
        <v>21</v>
      </c>
      <c r="AO669" s="28">
        <f>G669*0.098419847</f>
        <v>0</v>
      </c>
      <c r="AP669" s="28">
        <f>G669*(1-0.098419847)</f>
        <v>0</v>
      </c>
      <c r="AQ669" s="30" t="s">
        <v>60</v>
      </c>
      <c r="AV669" s="28">
        <f>ROUND(AW669+AX669,2)</f>
        <v>0</v>
      </c>
      <c r="AW669" s="28">
        <f>ROUND(F669*AO669,2)</f>
        <v>0</v>
      </c>
      <c r="AX669" s="28">
        <f>ROUND(F669*AP669,2)</f>
        <v>0</v>
      </c>
      <c r="AY669" s="30" t="s">
        <v>975</v>
      </c>
      <c r="AZ669" s="30" t="s">
        <v>922</v>
      </c>
      <c r="BA669" s="10" t="s">
        <v>915</v>
      </c>
      <c r="BC669" s="28">
        <f>AW669+AX669</f>
        <v>0</v>
      </c>
      <c r="BD669" s="28">
        <f>G669/(100-BE669)*100</f>
        <v>0</v>
      </c>
      <c r="BE669" s="28">
        <v>0</v>
      </c>
      <c r="BF669" s="28">
        <f>669</f>
        <v>669</v>
      </c>
      <c r="BH669" s="28">
        <f>F669*AO669</f>
        <v>0</v>
      </c>
      <c r="BI669" s="28">
        <f>F669*AP669</f>
        <v>0</v>
      </c>
      <c r="BJ669" s="28">
        <f>F669*G669</f>
        <v>0</v>
      </c>
      <c r="BK669" s="28"/>
      <c r="BL669" s="28"/>
      <c r="BW669" s="28">
        <v>21</v>
      </c>
      <c r="BX669" s="4" t="s">
        <v>1049</v>
      </c>
    </row>
    <row r="670" spans="1:76" ht="13.5" customHeight="1" x14ac:dyDescent="0.25">
      <c r="A670" s="31"/>
      <c r="C670" s="248" t="s">
        <v>1036</v>
      </c>
      <c r="D670" s="249"/>
      <c r="E670" s="249"/>
      <c r="F670" s="249"/>
      <c r="G670" s="249"/>
      <c r="H670" s="249"/>
      <c r="I670" s="249"/>
      <c r="J670" s="249"/>
      <c r="K670" s="250"/>
    </row>
    <row r="671" spans="1:76" x14ac:dyDescent="0.25">
      <c r="A671" s="31"/>
      <c r="C671" s="34" t="s">
        <v>111</v>
      </c>
      <c r="D671" s="33" t="s">
        <v>52</v>
      </c>
      <c r="F671" s="35">
        <v>7</v>
      </c>
      <c r="K671" s="36"/>
    </row>
    <row r="672" spans="1:76" x14ac:dyDescent="0.25">
      <c r="A672" s="2" t="s">
        <v>1050</v>
      </c>
      <c r="B672" s="3" t="s">
        <v>1051</v>
      </c>
      <c r="C672" s="230" t="s">
        <v>1052</v>
      </c>
      <c r="D672" s="225"/>
      <c r="E672" s="3" t="s">
        <v>1035</v>
      </c>
      <c r="F672" s="28">
        <v>10</v>
      </c>
      <c r="G672" s="28">
        <v>0</v>
      </c>
      <c r="H672" s="28">
        <f>ROUND(F672*AO672,2)</f>
        <v>0</v>
      </c>
      <c r="I672" s="28">
        <f>ROUND(F672*AP672,2)</f>
        <v>0</v>
      </c>
      <c r="J672" s="28">
        <f>ROUND(F672*G672,2)</f>
        <v>0</v>
      </c>
      <c r="K672" s="29" t="s">
        <v>109</v>
      </c>
      <c r="Z672" s="28">
        <f>ROUND(IF(AQ672="5",BJ672,0),2)</f>
        <v>0</v>
      </c>
      <c r="AB672" s="28">
        <f>ROUND(IF(AQ672="1",BH672,0),2)</f>
        <v>0</v>
      </c>
      <c r="AC672" s="28">
        <f>ROUND(IF(AQ672="1",BI672,0),2)</f>
        <v>0</v>
      </c>
      <c r="AD672" s="28">
        <f>ROUND(IF(AQ672="7",BH672,0),2)</f>
        <v>0</v>
      </c>
      <c r="AE672" s="28">
        <f>ROUND(IF(AQ672="7",BI672,0),2)</f>
        <v>0</v>
      </c>
      <c r="AF672" s="28">
        <f>ROUND(IF(AQ672="2",BH672,0),2)</f>
        <v>0</v>
      </c>
      <c r="AG672" s="28">
        <f>ROUND(IF(AQ672="2",BI672,0),2)</f>
        <v>0</v>
      </c>
      <c r="AH672" s="28">
        <f>ROUND(IF(AQ672="0",BJ672,0),2)</f>
        <v>0</v>
      </c>
      <c r="AI672" s="10" t="s">
        <v>909</v>
      </c>
      <c r="AJ672" s="28">
        <f>IF(AN672=0,J672,0)</f>
        <v>0</v>
      </c>
      <c r="AK672" s="28">
        <f>IF(AN672=12,J672,0)</f>
        <v>0</v>
      </c>
      <c r="AL672" s="28">
        <f>IF(AN672=21,J672,0)</f>
        <v>0</v>
      </c>
      <c r="AN672" s="28">
        <v>21</v>
      </c>
      <c r="AO672" s="28">
        <f>G672*0.098415385</f>
        <v>0</v>
      </c>
      <c r="AP672" s="28">
        <f>G672*(1-0.098415385)</f>
        <v>0</v>
      </c>
      <c r="AQ672" s="30" t="s">
        <v>60</v>
      </c>
      <c r="AV672" s="28">
        <f>ROUND(AW672+AX672,2)</f>
        <v>0</v>
      </c>
      <c r="AW672" s="28">
        <f>ROUND(F672*AO672,2)</f>
        <v>0</v>
      </c>
      <c r="AX672" s="28">
        <f>ROUND(F672*AP672,2)</f>
        <v>0</v>
      </c>
      <c r="AY672" s="30" t="s">
        <v>975</v>
      </c>
      <c r="AZ672" s="30" t="s">
        <v>922</v>
      </c>
      <c r="BA672" s="10" t="s">
        <v>915</v>
      </c>
      <c r="BC672" s="28">
        <f>AW672+AX672</f>
        <v>0</v>
      </c>
      <c r="BD672" s="28">
        <f>G672/(100-BE672)*100</f>
        <v>0</v>
      </c>
      <c r="BE672" s="28">
        <v>0</v>
      </c>
      <c r="BF672" s="28">
        <f>672</f>
        <v>672</v>
      </c>
      <c r="BH672" s="28">
        <f>F672*AO672</f>
        <v>0</v>
      </c>
      <c r="BI672" s="28">
        <f>F672*AP672</f>
        <v>0</v>
      </c>
      <c r="BJ672" s="28">
        <f>F672*G672</f>
        <v>0</v>
      </c>
      <c r="BK672" s="28"/>
      <c r="BL672" s="28"/>
      <c r="BW672" s="28">
        <v>21</v>
      </c>
      <c r="BX672" s="4" t="s">
        <v>1052</v>
      </c>
    </row>
    <row r="673" spans="1:76" ht="13.5" customHeight="1" x14ac:dyDescent="0.25">
      <c r="A673" s="31"/>
      <c r="C673" s="248" t="s">
        <v>1036</v>
      </c>
      <c r="D673" s="249"/>
      <c r="E673" s="249"/>
      <c r="F673" s="249"/>
      <c r="G673" s="249"/>
      <c r="H673" s="249"/>
      <c r="I673" s="249"/>
      <c r="J673" s="249"/>
      <c r="K673" s="250"/>
    </row>
    <row r="674" spans="1:76" x14ac:dyDescent="0.25">
      <c r="A674" s="31"/>
      <c r="C674" s="34" t="s">
        <v>120</v>
      </c>
      <c r="D674" s="33" t="s">
        <v>52</v>
      </c>
      <c r="F674" s="35">
        <v>10</v>
      </c>
      <c r="K674" s="36"/>
    </row>
    <row r="675" spans="1:76" x14ac:dyDescent="0.25">
      <c r="A675" s="2" t="s">
        <v>1053</v>
      </c>
      <c r="B675" s="3" t="s">
        <v>1054</v>
      </c>
      <c r="C675" s="230" t="s">
        <v>1055</v>
      </c>
      <c r="D675" s="225"/>
      <c r="E675" s="3" t="s">
        <v>717</v>
      </c>
      <c r="F675" s="28">
        <v>140</v>
      </c>
      <c r="G675" s="28">
        <v>0</v>
      </c>
      <c r="H675" s="28">
        <f>ROUND(F675*AO675,2)</f>
        <v>0</v>
      </c>
      <c r="I675" s="28">
        <f>ROUND(F675*AP675,2)</f>
        <v>0</v>
      </c>
      <c r="J675" s="28">
        <f>ROUND(F675*G675,2)</f>
        <v>0</v>
      </c>
      <c r="K675" s="29" t="s">
        <v>109</v>
      </c>
      <c r="Z675" s="28">
        <f>ROUND(IF(AQ675="5",BJ675,0),2)</f>
        <v>0</v>
      </c>
      <c r="AB675" s="28">
        <f>ROUND(IF(AQ675="1",BH675,0),2)</f>
        <v>0</v>
      </c>
      <c r="AC675" s="28">
        <f>ROUND(IF(AQ675="1",BI675,0),2)</f>
        <v>0</v>
      </c>
      <c r="AD675" s="28">
        <f>ROUND(IF(AQ675="7",BH675,0),2)</f>
        <v>0</v>
      </c>
      <c r="AE675" s="28">
        <f>ROUND(IF(AQ675="7",BI675,0),2)</f>
        <v>0</v>
      </c>
      <c r="AF675" s="28">
        <f>ROUND(IF(AQ675="2",BH675,0),2)</f>
        <v>0</v>
      </c>
      <c r="AG675" s="28">
        <f>ROUND(IF(AQ675="2",BI675,0),2)</f>
        <v>0</v>
      </c>
      <c r="AH675" s="28">
        <f>ROUND(IF(AQ675="0",BJ675,0),2)</f>
        <v>0</v>
      </c>
      <c r="AI675" s="10" t="s">
        <v>909</v>
      </c>
      <c r="AJ675" s="28">
        <f>IF(AN675=0,J675,0)</f>
        <v>0</v>
      </c>
      <c r="AK675" s="28">
        <f>IF(AN675=12,J675,0)</f>
        <v>0</v>
      </c>
      <c r="AL675" s="28">
        <f>IF(AN675=21,J675,0)</f>
        <v>0</v>
      </c>
      <c r="AN675" s="28">
        <v>21</v>
      </c>
      <c r="AO675" s="28">
        <f>G675*0.098421053</f>
        <v>0</v>
      </c>
      <c r="AP675" s="28">
        <f>G675*(1-0.098421053)</f>
        <v>0</v>
      </c>
      <c r="AQ675" s="30" t="s">
        <v>60</v>
      </c>
      <c r="AV675" s="28">
        <f>ROUND(AW675+AX675,2)</f>
        <v>0</v>
      </c>
      <c r="AW675" s="28">
        <f>ROUND(F675*AO675,2)</f>
        <v>0</v>
      </c>
      <c r="AX675" s="28">
        <f>ROUND(F675*AP675,2)</f>
        <v>0</v>
      </c>
      <c r="AY675" s="30" t="s">
        <v>975</v>
      </c>
      <c r="AZ675" s="30" t="s">
        <v>922</v>
      </c>
      <c r="BA675" s="10" t="s">
        <v>915</v>
      </c>
      <c r="BC675" s="28">
        <f>AW675+AX675</f>
        <v>0</v>
      </c>
      <c r="BD675" s="28">
        <f>G675/(100-BE675)*100</f>
        <v>0</v>
      </c>
      <c r="BE675" s="28">
        <v>0</v>
      </c>
      <c r="BF675" s="28">
        <f>675</f>
        <v>675</v>
      </c>
      <c r="BH675" s="28">
        <f>F675*AO675</f>
        <v>0</v>
      </c>
      <c r="BI675" s="28">
        <f>F675*AP675</f>
        <v>0</v>
      </c>
      <c r="BJ675" s="28">
        <f>F675*G675</f>
        <v>0</v>
      </c>
      <c r="BK675" s="28"/>
      <c r="BL675" s="28"/>
      <c r="BW675" s="28">
        <v>21</v>
      </c>
      <c r="BX675" s="4" t="s">
        <v>1055</v>
      </c>
    </row>
    <row r="676" spans="1:76" ht="13.5" customHeight="1" x14ac:dyDescent="0.25">
      <c r="A676" s="31"/>
      <c r="C676" s="248" t="s">
        <v>1036</v>
      </c>
      <c r="D676" s="249"/>
      <c r="E676" s="249"/>
      <c r="F676" s="249"/>
      <c r="G676" s="249"/>
      <c r="H676" s="249"/>
      <c r="I676" s="249"/>
      <c r="J676" s="249"/>
      <c r="K676" s="250"/>
    </row>
    <row r="677" spans="1:76" x14ac:dyDescent="0.25">
      <c r="A677" s="31"/>
      <c r="C677" s="34" t="s">
        <v>814</v>
      </c>
      <c r="D677" s="33" t="s">
        <v>52</v>
      </c>
      <c r="F677" s="35">
        <v>140</v>
      </c>
      <c r="K677" s="36"/>
    </row>
    <row r="678" spans="1:76" x14ac:dyDescent="0.25">
      <c r="A678" s="2" t="s">
        <v>1056</v>
      </c>
      <c r="B678" s="3" t="s">
        <v>1057</v>
      </c>
      <c r="C678" s="230" t="s">
        <v>1058</v>
      </c>
      <c r="D678" s="225"/>
      <c r="E678" s="3" t="s">
        <v>717</v>
      </c>
      <c r="F678" s="28">
        <v>199</v>
      </c>
      <c r="G678" s="28">
        <v>0</v>
      </c>
      <c r="H678" s="28">
        <f>ROUND(F678*AO678,2)</f>
        <v>0</v>
      </c>
      <c r="I678" s="28">
        <f>ROUND(F678*AP678,2)</f>
        <v>0</v>
      </c>
      <c r="J678" s="28">
        <f>ROUND(F678*G678,2)</f>
        <v>0</v>
      </c>
      <c r="K678" s="29" t="s">
        <v>109</v>
      </c>
      <c r="Z678" s="28">
        <f>ROUND(IF(AQ678="5",BJ678,0),2)</f>
        <v>0</v>
      </c>
      <c r="AB678" s="28">
        <f>ROUND(IF(AQ678="1",BH678,0),2)</f>
        <v>0</v>
      </c>
      <c r="AC678" s="28">
        <f>ROUND(IF(AQ678="1",BI678,0),2)</f>
        <v>0</v>
      </c>
      <c r="AD678" s="28">
        <f>ROUND(IF(AQ678="7",BH678,0),2)</f>
        <v>0</v>
      </c>
      <c r="AE678" s="28">
        <f>ROUND(IF(AQ678="7",BI678,0),2)</f>
        <v>0</v>
      </c>
      <c r="AF678" s="28">
        <f>ROUND(IF(AQ678="2",BH678,0),2)</f>
        <v>0</v>
      </c>
      <c r="AG678" s="28">
        <f>ROUND(IF(AQ678="2",BI678,0),2)</f>
        <v>0</v>
      </c>
      <c r="AH678" s="28">
        <f>ROUND(IF(AQ678="0",BJ678,0),2)</f>
        <v>0</v>
      </c>
      <c r="AI678" s="10" t="s">
        <v>909</v>
      </c>
      <c r="AJ678" s="28">
        <f>IF(AN678=0,J678,0)</f>
        <v>0</v>
      </c>
      <c r="AK678" s="28">
        <f>IF(AN678=12,J678,0)</f>
        <v>0</v>
      </c>
      <c r="AL678" s="28">
        <f>IF(AN678=21,J678,0)</f>
        <v>0</v>
      </c>
      <c r="AN678" s="28">
        <v>21</v>
      </c>
      <c r="AO678" s="28">
        <f>G678*0.0975</f>
        <v>0</v>
      </c>
      <c r="AP678" s="28">
        <f>G678*(1-0.0975)</f>
        <v>0</v>
      </c>
      <c r="AQ678" s="30" t="s">
        <v>60</v>
      </c>
      <c r="AV678" s="28">
        <f>ROUND(AW678+AX678,2)</f>
        <v>0</v>
      </c>
      <c r="AW678" s="28">
        <f>ROUND(F678*AO678,2)</f>
        <v>0</v>
      </c>
      <c r="AX678" s="28">
        <f>ROUND(F678*AP678,2)</f>
        <v>0</v>
      </c>
      <c r="AY678" s="30" t="s">
        <v>975</v>
      </c>
      <c r="AZ678" s="30" t="s">
        <v>922</v>
      </c>
      <c r="BA678" s="10" t="s">
        <v>915</v>
      </c>
      <c r="BC678" s="28">
        <f>AW678+AX678</f>
        <v>0</v>
      </c>
      <c r="BD678" s="28">
        <f>G678/(100-BE678)*100</f>
        <v>0</v>
      </c>
      <c r="BE678" s="28">
        <v>0</v>
      </c>
      <c r="BF678" s="28">
        <f>678</f>
        <v>678</v>
      </c>
      <c r="BH678" s="28">
        <f>F678*AO678</f>
        <v>0</v>
      </c>
      <c r="BI678" s="28">
        <f>F678*AP678</f>
        <v>0</v>
      </c>
      <c r="BJ678" s="28">
        <f>F678*G678</f>
        <v>0</v>
      </c>
      <c r="BK678" s="28"/>
      <c r="BL678" s="28"/>
      <c r="BW678" s="28">
        <v>21</v>
      </c>
      <c r="BX678" s="4" t="s">
        <v>1058</v>
      </c>
    </row>
    <row r="679" spans="1:76" ht="13.5" customHeight="1" x14ac:dyDescent="0.25">
      <c r="A679" s="31"/>
      <c r="C679" s="248" t="s">
        <v>1036</v>
      </c>
      <c r="D679" s="249"/>
      <c r="E679" s="249"/>
      <c r="F679" s="249"/>
      <c r="G679" s="249"/>
      <c r="H679" s="249"/>
      <c r="I679" s="249"/>
      <c r="J679" s="249"/>
      <c r="K679" s="250"/>
    </row>
    <row r="680" spans="1:76" x14ac:dyDescent="0.25">
      <c r="A680" s="31"/>
      <c r="C680" s="34" t="s">
        <v>1059</v>
      </c>
      <c r="D680" s="33" t="s">
        <v>52</v>
      </c>
      <c r="F680" s="35">
        <v>199</v>
      </c>
      <c r="K680" s="36"/>
    </row>
    <row r="681" spans="1:76" x14ac:dyDescent="0.25">
      <c r="A681" s="2" t="s">
        <v>1060</v>
      </c>
      <c r="B681" s="3" t="s">
        <v>1061</v>
      </c>
      <c r="C681" s="230" t="s">
        <v>1062</v>
      </c>
      <c r="D681" s="225"/>
      <c r="E681" s="3" t="s">
        <v>717</v>
      </c>
      <c r="F681" s="28">
        <v>3</v>
      </c>
      <c r="G681" s="28">
        <v>0</v>
      </c>
      <c r="H681" s="28">
        <f>ROUND(F681*AO681,2)</f>
        <v>0</v>
      </c>
      <c r="I681" s="28">
        <f>ROUND(F681*AP681,2)</f>
        <v>0</v>
      </c>
      <c r="J681" s="28">
        <f>ROUND(F681*G681,2)</f>
        <v>0</v>
      </c>
      <c r="K681" s="29" t="s">
        <v>109</v>
      </c>
      <c r="Z681" s="28">
        <f>ROUND(IF(AQ681="5",BJ681,0),2)</f>
        <v>0</v>
      </c>
      <c r="AB681" s="28">
        <f>ROUND(IF(AQ681="1",BH681,0),2)</f>
        <v>0</v>
      </c>
      <c r="AC681" s="28">
        <f>ROUND(IF(AQ681="1",BI681,0),2)</f>
        <v>0</v>
      </c>
      <c r="AD681" s="28">
        <f>ROUND(IF(AQ681="7",BH681,0),2)</f>
        <v>0</v>
      </c>
      <c r="AE681" s="28">
        <f>ROUND(IF(AQ681="7",BI681,0),2)</f>
        <v>0</v>
      </c>
      <c r="AF681" s="28">
        <f>ROUND(IF(AQ681="2",BH681,0),2)</f>
        <v>0</v>
      </c>
      <c r="AG681" s="28">
        <f>ROUND(IF(AQ681="2",BI681,0),2)</f>
        <v>0</v>
      </c>
      <c r="AH681" s="28">
        <f>ROUND(IF(AQ681="0",BJ681,0),2)</f>
        <v>0</v>
      </c>
      <c r="AI681" s="10" t="s">
        <v>909</v>
      </c>
      <c r="AJ681" s="28">
        <f>IF(AN681=0,J681,0)</f>
        <v>0</v>
      </c>
      <c r="AK681" s="28">
        <f>IF(AN681=12,J681,0)</f>
        <v>0</v>
      </c>
      <c r="AL681" s="28">
        <f>IF(AN681=21,J681,0)</f>
        <v>0</v>
      </c>
      <c r="AN681" s="28">
        <v>21</v>
      </c>
      <c r="AO681" s="28">
        <f>G681*0.09752</f>
        <v>0</v>
      </c>
      <c r="AP681" s="28">
        <f>G681*(1-0.09752)</f>
        <v>0</v>
      </c>
      <c r="AQ681" s="30" t="s">
        <v>60</v>
      </c>
      <c r="AV681" s="28">
        <f>ROUND(AW681+AX681,2)</f>
        <v>0</v>
      </c>
      <c r="AW681" s="28">
        <f>ROUND(F681*AO681,2)</f>
        <v>0</v>
      </c>
      <c r="AX681" s="28">
        <f>ROUND(F681*AP681,2)</f>
        <v>0</v>
      </c>
      <c r="AY681" s="30" t="s">
        <v>975</v>
      </c>
      <c r="AZ681" s="30" t="s">
        <v>922</v>
      </c>
      <c r="BA681" s="10" t="s">
        <v>915</v>
      </c>
      <c r="BC681" s="28">
        <f>AW681+AX681</f>
        <v>0</v>
      </c>
      <c r="BD681" s="28">
        <f>G681/(100-BE681)*100</f>
        <v>0</v>
      </c>
      <c r="BE681" s="28">
        <v>0</v>
      </c>
      <c r="BF681" s="28">
        <f>681</f>
        <v>681</v>
      </c>
      <c r="BH681" s="28">
        <f>F681*AO681</f>
        <v>0</v>
      </c>
      <c r="BI681" s="28">
        <f>F681*AP681</f>
        <v>0</v>
      </c>
      <c r="BJ681" s="28">
        <f>F681*G681</f>
        <v>0</v>
      </c>
      <c r="BK681" s="28"/>
      <c r="BL681" s="28"/>
      <c r="BW681" s="28">
        <v>21</v>
      </c>
      <c r="BX681" s="4" t="s">
        <v>1062</v>
      </c>
    </row>
    <row r="682" spans="1:76" ht="13.5" customHeight="1" x14ac:dyDescent="0.25">
      <c r="A682" s="31"/>
      <c r="C682" s="248" t="s">
        <v>1036</v>
      </c>
      <c r="D682" s="249"/>
      <c r="E682" s="249"/>
      <c r="F682" s="249"/>
      <c r="G682" s="249"/>
      <c r="H682" s="249"/>
      <c r="I682" s="249"/>
      <c r="J682" s="249"/>
      <c r="K682" s="250"/>
    </row>
    <row r="683" spans="1:76" x14ac:dyDescent="0.25">
      <c r="A683" s="31"/>
      <c r="C683" s="34" t="s">
        <v>87</v>
      </c>
      <c r="D683" s="33" t="s">
        <v>52</v>
      </c>
      <c r="F683" s="35">
        <v>3</v>
      </c>
      <c r="K683" s="36"/>
    </row>
    <row r="684" spans="1:76" x14ac:dyDescent="0.25">
      <c r="A684" s="2" t="s">
        <v>934</v>
      </c>
      <c r="B684" s="3" t="s">
        <v>1063</v>
      </c>
      <c r="C684" s="230" t="s">
        <v>1062</v>
      </c>
      <c r="D684" s="225"/>
      <c r="E684" s="3" t="s">
        <v>717</v>
      </c>
      <c r="F684" s="28">
        <v>3</v>
      </c>
      <c r="G684" s="28">
        <v>0</v>
      </c>
      <c r="H684" s="28">
        <f>ROUND(F684*AO684,2)</f>
        <v>0</v>
      </c>
      <c r="I684" s="28">
        <f>ROUND(F684*AP684,2)</f>
        <v>0</v>
      </c>
      <c r="J684" s="28">
        <f>ROUND(F684*G684,2)</f>
        <v>0</v>
      </c>
      <c r="K684" s="29" t="s">
        <v>109</v>
      </c>
      <c r="Z684" s="28">
        <f>ROUND(IF(AQ684="5",BJ684,0),2)</f>
        <v>0</v>
      </c>
      <c r="AB684" s="28">
        <f>ROUND(IF(AQ684="1",BH684,0),2)</f>
        <v>0</v>
      </c>
      <c r="AC684" s="28">
        <f>ROUND(IF(AQ684="1",BI684,0),2)</f>
        <v>0</v>
      </c>
      <c r="AD684" s="28">
        <f>ROUND(IF(AQ684="7",BH684,0),2)</f>
        <v>0</v>
      </c>
      <c r="AE684" s="28">
        <f>ROUND(IF(AQ684="7",BI684,0),2)</f>
        <v>0</v>
      </c>
      <c r="AF684" s="28">
        <f>ROUND(IF(AQ684="2",BH684,0),2)</f>
        <v>0</v>
      </c>
      <c r="AG684" s="28">
        <f>ROUND(IF(AQ684="2",BI684,0),2)</f>
        <v>0</v>
      </c>
      <c r="AH684" s="28">
        <f>ROUND(IF(AQ684="0",BJ684,0),2)</f>
        <v>0</v>
      </c>
      <c r="AI684" s="10" t="s">
        <v>909</v>
      </c>
      <c r="AJ684" s="28">
        <f>IF(AN684=0,J684,0)</f>
        <v>0</v>
      </c>
      <c r="AK684" s="28">
        <f>IF(AN684=12,J684,0)</f>
        <v>0</v>
      </c>
      <c r="AL684" s="28">
        <f>IF(AN684=21,J684,0)</f>
        <v>0</v>
      </c>
      <c r="AN684" s="28">
        <v>21</v>
      </c>
      <c r="AO684" s="28">
        <f>G684*0.097518182</f>
        <v>0</v>
      </c>
      <c r="AP684" s="28">
        <f>G684*(1-0.097518182)</f>
        <v>0</v>
      </c>
      <c r="AQ684" s="30" t="s">
        <v>60</v>
      </c>
      <c r="AV684" s="28">
        <f>ROUND(AW684+AX684,2)</f>
        <v>0</v>
      </c>
      <c r="AW684" s="28">
        <f>ROUND(F684*AO684,2)</f>
        <v>0</v>
      </c>
      <c r="AX684" s="28">
        <f>ROUND(F684*AP684,2)</f>
        <v>0</v>
      </c>
      <c r="AY684" s="30" t="s">
        <v>975</v>
      </c>
      <c r="AZ684" s="30" t="s">
        <v>922</v>
      </c>
      <c r="BA684" s="10" t="s">
        <v>915</v>
      </c>
      <c r="BC684" s="28">
        <f>AW684+AX684</f>
        <v>0</v>
      </c>
      <c r="BD684" s="28">
        <f>G684/(100-BE684)*100</f>
        <v>0</v>
      </c>
      <c r="BE684" s="28">
        <v>0</v>
      </c>
      <c r="BF684" s="28">
        <f>684</f>
        <v>684</v>
      </c>
      <c r="BH684" s="28">
        <f>F684*AO684</f>
        <v>0</v>
      </c>
      <c r="BI684" s="28">
        <f>F684*AP684</f>
        <v>0</v>
      </c>
      <c r="BJ684" s="28">
        <f>F684*G684</f>
        <v>0</v>
      </c>
      <c r="BK684" s="28"/>
      <c r="BL684" s="28"/>
      <c r="BW684" s="28">
        <v>21</v>
      </c>
      <c r="BX684" s="4" t="s">
        <v>1062</v>
      </c>
    </row>
    <row r="685" spans="1:76" ht="13.5" customHeight="1" x14ac:dyDescent="0.25">
      <c r="A685" s="31"/>
      <c r="C685" s="248" t="s">
        <v>1036</v>
      </c>
      <c r="D685" s="249"/>
      <c r="E685" s="249"/>
      <c r="F685" s="249"/>
      <c r="G685" s="249"/>
      <c r="H685" s="249"/>
      <c r="I685" s="249"/>
      <c r="J685" s="249"/>
      <c r="K685" s="250"/>
    </row>
    <row r="686" spans="1:76" x14ac:dyDescent="0.25">
      <c r="A686" s="31"/>
      <c r="C686" s="34" t="s">
        <v>87</v>
      </c>
      <c r="D686" s="33" t="s">
        <v>52</v>
      </c>
      <c r="F686" s="35">
        <v>3</v>
      </c>
      <c r="K686" s="36"/>
    </row>
    <row r="687" spans="1:76" x14ac:dyDescent="0.25">
      <c r="A687" s="2" t="s">
        <v>1064</v>
      </c>
      <c r="B687" s="3" t="s">
        <v>1065</v>
      </c>
      <c r="C687" s="230" t="s">
        <v>1066</v>
      </c>
      <c r="D687" s="225"/>
      <c r="E687" s="3" t="s">
        <v>717</v>
      </c>
      <c r="F687" s="28">
        <v>45</v>
      </c>
      <c r="G687" s="28">
        <v>0</v>
      </c>
      <c r="H687" s="28">
        <f>ROUND(F687*AO687,2)</f>
        <v>0</v>
      </c>
      <c r="I687" s="28">
        <f>ROUND(F687*AP687,2)</f>
        <v>0</v>
      </c>
      <c r="J687" s="28">
        <f>ROUND(F687*G687,2)</f>
        <v>0</v>
      </c>
      <c r="K687" s="29" t="s">
        <v>109</v>
      </c>
      <c r="Z687" s="28">
        <f>ROUND(IF(AQ687="5",BJ687,0),2)</f>
        <v>0</v>
      </c>
      <c r="AB687" s="28">
        <f>ROUND(IF(AQ687="1",BH687,0),2)</f>
        <v>0</v>
      </c>
      <c r="AC687" s="28">
        <f>ROUND(IF(AQ687="1",BI687,0),2)</f>
        <v>0</v>
      </c>
      <c r="AD687" s="28">
        <f>ROUND(IF(AQ687="7",BH687,0),2)</f>
        <v>0</v>
      </c>
      <c r="AE687" s="28">
        <f>ROUND(IF(AQ687="7",BI687,0),2)</f>
        <v>0</v>
      </c>
      <c r="AF687" s="28">
        <f>ROUND(IF(AQ687="2",BH687,0),2)</f>
        <v>0</v>
      </c>
      <c r="AG687" s="28">
        <f>ROUND(IF(AQ687="2",BI687,0),2)</f>
        <v>0</v>
      </c>
      <c r="AH687" s="28">
        <f>ROUND(IF(AQ687="0",BJ687,0),2)</f>
        <v>0</v>
      </c>
      <c r="AI687" s="10" t="s">
        <v>909</v>
      </c>
      <c r="AJ687" s="28">
        <f>IF(AN687=0,J687,0)</f>
        <v>0</v>
      </c>
      <c r="AK687" s="28">
        <f>IF(AN687=12,J687,0)</f>
        <v>0</v>
      </c>
      <c r="AL687" s="28">
        <f>IF(AN687=21,J687,0)</f>
        <v>0</v>
      </c>
      <c r="AN687" s="28">
        <v>21</v>
      </c>
      <c r="AO687" s="28">
        <f>G687*0.0975</f>
        <v>0</v>
      </c>
      <c r="AP687" s="28">
        <f>G687*(1-0.0975)</f>
        <v>0</v>
      </c>
      <c r="AQ687" s="30" t="s">
        <v>60</v>
      </c>
      <c r="AV687" s="28">
        <f>ROUND(AW687+AX687,2)</f>
        <v>0</v>
      </c>
      <c r="AW687" s="28">
        <f>ROUND(F687*AO687,2)</f>
        <v>0</v>
      </c>
      <c r="AX687" s="28">
        <f>ROUND(F687*AP687,2)</f>
        <v>0</v>
      </c>
      <c r="AY687" s="30" t="s">
        <v>975</v>
      </c>
      <c r="AZ687" s="30" t="s">
        <v>922</v>
      </c>
      <c r="BA687" s="10" t="s">
        <v>915</v>
      </c>
      <c r="BC687" s="28">
        <f>AW687+AX687</f>
        <v>0</v>
      </c>
      <c r="BD687" s="28">
        <f>G687/(100-BE687)*100</f>
        <v>0</v>
      </c>
      <c r="BE687" s="28">
        <v>0</v>
      </c>
      <c r="BF687" s="28">
        <f>687</f>
        <v>687</v>
      </c>
      <c r="BH687" s="28">
        <f>F687*AO687</f>
        <v>0</v>
      </c>
      <c r="BI687" s="28">
        <f>F687*AP687</f>
        <v>0</v>
      </c>
      <c r="BJ687" s="28">
        <f>F687*G687</f>
        <v>0</v>
      </c>
      <c r="BK687" s="28"/>
      <c r="BL687" s="28"/>
      <c r="BW687" s="28">
        <v>21</v>
      </c>
      <c r="BX687" s="4" t="s">
        <v>1066</v>
      </c>
    </row>
    <row r="688" spans="1:76" ht="13.5" customHeight="1" x14ac:dyDescent="0.25">
      <c r="A688" s="31"/>
      <c r="C688" s="248" t="s">
        <v>1036</v>
      </c>
      <c r="D688" s="249"/>
      <c r="E688" s="249"/>
      <c r="F688" s="249"/>
      <c r="G688" s="249"/>
      <c r="H688" s="249"/>
      <c r="I688" s="249"/>
      <c r="J688" s="249"/>
      <c r="K688" s="250"/>
    </row>
    <row r="689" spans="1:76" x14ac:dyDescent="0.25">
      <c r="A689" s="31"/>
      <c r="C689" s="34" t="s">
        <v>321</v>
      </c>
      <c r="D689" s="33" t="s">
        <v>52</v>
      </c>
      <c r="F689" s="35">
        <v>45</v>
      </c>
      <c r="K689" s="36"/>
    </row>
    <row r="690" spans="1:76" x14ac:dyDescent="0.25">
      <c r="A690" s="2" t="s">
        <v>1059</v>
      </c>
      <c r="B690" s="3" t="s">
        <v>1067</v>
      </c>
      <c r="C690" s="230" t="s">
        <v>1068</v>
      </c>
      <c r="D690" s="225"/>
      <c r="E690" s="3" t="s">
        <v>1035</v>
      </c>
      <c r="F690" s="28">
        <v>12</v>
      </c>
      <c r="G690" s="28">
        <v>0</v>
      </c>
      <c r="H690" s="28">
        <f>ROUND(F690*AO690,2)</f>
        <v>0</v>
      </c>
      <c r="I690" s="28">
        <f>ROUND(F690*AP690,2)</f>
        <v>0</v>
      </c>
      <c r="J690" s="28">
        <f>ROUND(F690*G690,2)</f>
        <v>0</v>
      </c>
      <c r="K690" s="29" t="s">
        <v>109</v>
      </c>
      <c r="Z690" s="28">
        <f>ROUND(IF(AQ690="5",BJ690,0),2)</f>
        <v>0</v>
      </c>
      <c r="AB690" s="28">
        <f>ROUND(IF(AQ690="1",BH690,0),2)</f>
        <v>0</v>
      </c>
      <c r="AC690" s="28">
        <f>ROUND(IF(AQ690="1",BI690,0),2)</f>
        <v>0</v>
      </c>
      <c r="AD690" s="28">
        <f>ROUND(IF(AQ690="7",BH690,0),2)</f>
        <v>0</v>
      </c>
      <c r="AE690" s="28">
        <f>ROUND(IF(AQ690="7",BI690,0),2)</f>
        <v>0</v>
      </c>
      <c r="AF690" s="28">
        <f>ROUND(IF(AQ690="2",BH690,0),2)</f>
        <v>0</v>
      </c>
      <c r="AG690" s="28">
        <f>ROUND(IF(AQ690="2",BI690,0),2)</f>
        <v>0</v>
      </c>
      <c r="AH690" s="28">
        <f>ROUND(IF(AQ690="0",BJ690,0),2)</f>
        <v>0</v>
      </c>
      <c r="AI690" s="10" t="s">
        <v>909</v>
      </c>
      <c r="AJ690" s="28">
        <f>IF(AN690=0,J690,0)</f>
        <v>0</v>
      </c>
      <c r="AK690" s="28">
        <f>IF(AN690=12,J690,0)</f>
        <v>0</v>
      </c>
      <c r="AL690" s="28">
        <f>IF(AN690=21,J690,0)</f>
        <v>0</v>
      </c>
      <c r="AN690" s="28">
        <v>21</v>
      </c>
      <c r="AO690" s="28">
        <f>G690*0.097507692</f>
        <v>0</v>
      </c>
      <c r="AP690" s="28">
        <f>G690*(1-0.097507692)</f>
        <v>0</v>
      </c>
      <c r="AQ690" s="30" t="s">
        <v>60</v>
      </c>
      <c r="AV690" s="28">
        <f>ROUND(AW690+AX690,2)</f>
        <v>0</v>
      </c>
      <c r="AW690" s="28">
        <f>ROUND(F690*AO690,2)</f>
        <v>0</v>
      </c>
      <c r="AX690" s="28">
        <f>ROUND(F690*AP690,2)</f>
        <v>0</v>
      </c>
      <c r="AY690" s="30" t="s">
        <v>975</v>
      </c>
      <c r="AZ690" s="30" t="s">
        <v>922</v>
      </c>
      <c r="BA690" s="10" t="s">
        <v>915</v>
      </c>
      <c r="BC690" s="28">
        <f>AW690+AX690</f>
        <v>0</v>
      </c>
      <c r="BD690" s="28">
        <f>G690/(100-BE690)*100</f>
        <v>0</v>
      </c>
      <c r="BE690" s="28">
        <v>0</v>
      </c>
      <c r="BF690" s="28">
        <f>690</f>
        <v>690</v>
      </c>
      <c r="BH690" s="28">
        <f>F690*AO690</f>
        <v>0</v>
      </c>
      <c r="BI690" s="28">
        <f>F690*AP690</f>
        <v>0</v>
      </c>
      <c r="BJ690" s="28">
        <f>F690*G690</f>
        <v>0</v>
      </c>
      <c r="BK690" s="28"/>
      <c r="BL690" s="28"/>
      <c r="BW690" s="28">
        <v>21</v>
      </c>
      <c r="BX690" s="4" t="s">
        <v>1068</v>
      </c>
    </row>
    <row r="691" spans="1:76" ht="13.5" customHeight="1" x14ac:dyDescent="0.25">
      <c r="A691" s="31"/>
      <c r="C691" s="248" t="s">
        <v>1036</v>
      </c>
      <c r="D691" s="249"/>
      <c r="E691" s="249"/>
      <c r="F691" s="249"/>
      <c r="G691" s="249"/>
      <c r="H691" s="249"/>
      <c r="I691" s="249"/>
      <c r="J691" s="249"/>
      <c r="K691" s="250"/>
    </row>
    <row r="692" spans="1:76" x14ac:dyDescent="0.25">
      <c r="A692" s="31"/>
      <c r="C692" s="34" t="s">
        <v>126</v>
      </c>
      <c r="D692" s="33" t="s">
        <v>52</v>
      </c>
      <c r="F692" s="35">
        <v>12</v>
      </c>
      <c r="K692" s="36"/>
    </row>
    <row r="693" spans="1:76" x14ac:dyDescent="0.25">
      <c r="A693" s="2" t="s">
        <v>1069</v>
      </c>
      <c r="B693" s="3" t="s">
        <v>1070</v>
      </c>
      <c r="C693" s="230" t="s">
        <v>1071</v>
      </c>
      <c r="D693" s="225"/>
      <c r="E693" s="3" t="s">
        <v>1035</v>
      </c>
      <c r="F693" s="28">
        <v>12</v>
      </c>
      <c r="G693" s="28">
        <v>0</v>
      </c>
      <c r="H693" s="28">
        <f>ROUND(F693*AO693,2)</f>
        <v>0</v>
      </c>
      <c r="I693" s="28">
        <f>ROUND(F693*AP693,2)</f>
        <v>0</v>
      </c>
      <c r="J693" s="28">
        <f>ROUND(F693*G693,2)</f>
        <v>0</v>
      </c>
      <c r="K693" s="29" t="s">
        <v>109</v>
      </c>
      <c r="Z693" s="28">
        <f>ROUND(IF(AQ693="5",BJ693,0),2)</f>
        <v>0</v>
      </c>
      <c r="AB693" s="28">
        <f>ROUND(IF(AQ693="1",BH693,0),2)</f>
        <v>0</v>
      </c>
      <c r="AC693" s="28">
        <f>ROUND(IF(AQ693="1",BI693,0),2)</f>
        <v>0</v>
      </c>
      <c r="AD693" s="28">
        <f>ROUND(IF(AQ693="7",BH693,0),2)</f>
        <v>0</v>
      </c>
      <c r="AE693" s="28">
        <f>ROUND(IF(AQ693="7",BI693,0),2)</f>
        <v>0</v>
      </c>
      <c r="AF693" s="28">
        <f>ROUND(IF(AQ693="2",BH693,0),2)</f>
        <v>0</v>
      </c>
      <c r="AG693" s="28">
        <f>ROUND(IF(AQ693="2",BI693,0),2)</f>
        <v>0</v>
      </c>
      <c r="AH693" s="28">
        <f>ROUND(IF(AQ693="0",BJ693,0),2)</f>
        <v>0</v>
      </c>
      <c r="AI693" s="10" t="s">
        <v>909</v>
      </c>
      <c r="AJ693" s="28">
        <f>IF(AN693=0,J693,0)</f>
        <v>0</v>
      </c>
      <c r="AK693" s="28">
        <f>IF(AN693=12,J693,0)</f>
        <v>0</v>
      </c>
      <c r="AL693" s="28">
        <f>IF(AN693=21,J693,0)</f>
        <v>0</v>
      </c>
      <c r="AN693" s="28">
        <v>21</v>
      </c>
      <c r="AO693" s="28">
        <f>G693*0.097507692</f>
        <v>0</v>
      </c>
      <c r="AP693" s="28">
        <f>G693*(1-0.097507692)</f>
        <v>0</v>
      </c>
      <c r="AQ693" s="30" t="s">
        <v>60</v>
      </c>
      <c r="AV693" s="28">
        <f>ROUND(AW693+AX693,2)</f>
        <v>0</v>
      </c>
      <c r="AW693" s="28">
        <f>ROUND(F693*AO693,2)</f>
        <v>0</v>
      </c>
      <c r="AX693" s="28">
        <f>ROUND(F693*AP693,2)</f>
        <v>0</v>
      </c>
      <c r="AY693" s="30" t="s">
        <v>975</v>
      </c>
      <c r="AZ693" s="30" t="s">
        <v>922</v>
      </c>
      <c r="BA693" s="10" t="s">
        <v>915</v>
      </c>
      <c r="BC693" s="28">
        <f>AW693+AX693</f>
        <v>0</v>
      </c>
      <c r="BD693" s="28">
        <f>G693/(100-BE693)*100</f>
        <v>0</v>
      </c>
      <c r="BE693" s="28">
        <v>0</v>
      </c>
      <c r="BF693" s="28">
        <f>693</f>
        <v>693</v>
      </c>
      <c r="BH693" s="28">
        <f>F693*AO693</f>
        <v>0</v>
      </c>
      <c r="BI693" s="28">
        <f>F693*AP693</f>
        <v>0</v>
      </c>
      <c r="BJ693" s="28">
        <f>F693*G693</f>
        <v>0</v>
      </c>
      <c r="BK693" s="28"/>
      <c r="BL693" s="28"/>
      <c r="BW693" s="28">
        <v>21</v>
      </c>
      <c r="BX693" s="4" t="s">
        <v>1071</v>
      </c>
    </row>
    <row r="694" spans="1:76" ht="13.5" customHeight="1" x14ac:dyDescent="0.25">
      <c r="A694" s="31"/>
      <c r="C694" s="248" t="s">
        <v>1036</v>
      </c>
      <c r="D694" s="249"/>
      <c r="E694" s="249"/>
      <c r="F694" s="249"/>
      <c r="G694" s="249"/>
      <c r="H694" s="249"/>
      <c r="I694" s="249"/>
      <c r="J694" s="249"/>
      <c r="K694" s="250"/>
    </row>
    <row r="695" spans="1:76" x14ac:dyDescent="0.25">
      <c r="A695" s="31"/>
      <c r="C695" s="34" t="s">
        <v>126</v>
      </c>
      <c r="D695" s="33" t="s">
        <v>52</v>
      </c>
      <c r="F695" s="35">
        <v>12</v>
      </c>
      <c r="K695" s="36"/>
    </row>
    <row r="696" spans="1:76" x14ac:dyDescent="0.25">
      <c r="A696" s="2" t="s">
        <v>1072</v>
      </c>
      <c r="B696" s="3" t="s">
        <v>1073</v>
      </c>
      <c r="C696" s="230" t="s">
        <v>1074</v>
      </c>
      <c r="D696" s="225"/>
      <c r="E696" s="3" t="s">
        <v>1035</v>
      </c>
      <c r="F696" s="28">
        <v>16</v>
      </c>
      <c r="G696" s="28">
        <v>0</v>
      </c>
      <c r="H696" s="28">
        <f>ROUND(F696*AO696,2)</f>
        <v>0</v>
      </c>
      <c r="I696" s="28">
        <f>ROUND(F696*AP696,2)</f>
        <v>0</v>
      </c>
      <c r="J696" s="28">
        <f>ROUND(F696*G696,2)</f>
        <v>0</v>
      </c>
      <c r="K696" s="29" t="s">
        <v>109</v>
      </c>
      <c r="Z696" s="28">
        <f>ROUND(IF(AQ696="5",BJ696,0),2)</f>
        <v>0</v>
      </c>
      <c r="AB696" s="28">
        <f>ROUND(IF(AQ696="1",BH696,0),2)</f>
        <v>0</v>
      </c>
      <c r="AC696" s="28">
        <f>ROUND(IF(AQ696="1",BI696,0),2)</f>
        <v>0</v>
      </c>
      <c r="AD696" s="28">
        <f>ROUND(IF(AQ696="7",BH696,0),2)</f>
        <v>0</v>
      </c>
      <c r="AE696" s="28">
        <f>ROUND(IF(AQ696="7",BI696,0),2)</f>
        <v>0</v>
      </c>
      <c r="AF696" s="28">
        <f>ROUND(IF(AQ696="2",BH696,0),2)</f>
        <v>0</v>
      </c>
      <c r="AG696" s="28">
        <f>ROUND(IF(AQ696="2",BI696,0),2)</f>
        <v>0</v>
      </c>
      <c r="AH696" s="28">
        <f>ROUND(IF(AQ696="0",BJ696,0),2)</f>
        <v>0</v>
      </c>
      <c r="AI696" s="10" t="s">
        <v>909</v>
      </c>
      <c r="AJ696" s="28">
        <f>IF(AN696=0,J696,0)</f>
        <v>0</v>
      </c>
      <c r="AK696" s="28">
        <f>IF(AN696=12,J696,0)</f>
        <v>0</v>
      </c>
      <c r="AL696" s="28">
        <f>IF(AN696=21,J696,0)</f>
        <v>0</v>
      </c>
      <c r="AN696" s="28">
        <v>21</v>
      </c>
      <c r="AO696" s="28">
        <f>G696*0.097507692</f>
        <v>0</v>
      </c>
      <c r="AP696" s="28">
        <f>G696*(1-0.097507692)</f>
        <v>0</v>
      </c>
      <c r="AQ696" s="30" t="s">
        <v>60</v>
      </c>
      <c r="AV696" s="28">
        <f>ROUND(AW696+AX696,2)</f>
        <v>0</v>
      </c>
      <c r="AW696" s="28">
        <f>ROUND(F696*AO696,2)</f>
        <v>0</v>
      </c>
      <c r="AX696" s="28">
        <f>ROUND(F696*AP696,2)</f>
        <v>0</v>
      </c>
      <c r="AY696" s="30" t="s">
        <v>975</v>
      </c>
      <c r="AZ696" s="30" t="s">
        <v>922</v>
      </c>
      <c r="BA696" s="10" t="s">
        <v>915</v>
      </c>
      <c r="BC696" s="28">
        <f>AW696+AX696</f>
        <v>0</v>
      </c>
      <c r="BD696" s="28">
        <f>G696/(100-BE696)*100</f>
        <v>0</v>
      </c>
      <c r="BE696" s="28">
        <v>0</v>
      </c>
      <c r="BF696" s="28">
        <f>696</f>
        <v>696</v>
      </c>
      <c r="BH696" s="28">
        <f>F696*AO696</f>
        <v>0</v>
      </c>
      <c r="BI696" s="28">
        <f>F696*AP696</f>
        <v>0</v>
      </c>
      <c r="BJ696" s="28">
        <f>F696*G696</f>
        <v>0</v>
      </c>
      <c r="BK696" s="28"/>
      <c r="BL696" s="28"/>
      <c r="BW696" s="28">
        <v>21</v>
      </c>
      <c r="BX696" s="4" t="s">
        <v>1074</v>
      </c>
    </row>
    <row r="697" spans="1:76" ht="13.5" customHeight="1" x14ac:dyDescent="0.25">
      <c r="A697" s="31"/>
      <c r="C697" s="248" t="s">
        <v>1036</v>
      </c>
      <c r="D697" s="249"/>
      <c r="E697" s="249"/>
      <c r="F697" s="249"/>
      <c r="G697" s="249"/>
      <c r="H697" s="249"/>
      <c r="I697" s="249"/>
      <c r="J697" s="249"/>
      <c r="K697" s="250"/>
    </row>
    <row r="698" spans="1:76" x14ac:dyDescent="0.25">
      <c r="A698" s="31"/>
      <c r="C698" s="34" t="s">
        <v>143</v>
      </c>
      <c r="D698" s="33" t="s">
        <v>52</v>
      </c>
      <c r="F698" s="35">
        <v>16</v>
      </c>
      <c r="K698" s="36"/>
    </row>
    <row r="699" spans="1:76" x14ac:dyDescent="0.25">
      <c r="A699" s="2" t="s">
        <v>1075</v>
      </c>
      <c r="B699" s="3" t="s">
        <v>1076</v>
      </c>
      <c r="C699" s="230" t="s">
        <v>1077</v>
      </c>
      <c r="D699" s="225"/>
      <c r="E699" s="3" t="s">
        <v>1078</v>
      </c>
      <c r="F699" s="28">
        <v>1</v>
      </c>
      <c r="G699" s="28">
        <v>0</v>
      </c>
      <c r="H699" s="28">
        <f>ROUND(F699*AO699,2)</f>
        <v>0</v>
      </c>
      <c r="I699" s="28">
        <f>ROUND(F699*AP699,2)</f>
        <v>0</v>
      </c>
      <c r="J699" s="28">
        <f>ROUND(F699*G699,2)</f>
        <v>0</v>
      </c>
      <c r="K699" s="29" t="s">
        <v>109</v>
      </c>
      <c r="Z699" s="28">
        <f>ROUND(IF(AQ699="5",BJ699,0),2)</f>
        <v>0</v>
      </c>
      <c r="AB699" s="28">
        <f>ROUND(IF(AQ699="1",BH699,0),2)</f>
        <v>0</v>
      </c>
      <c r="AC699" s="28">
        <f>ROUND(IF(AQ699="1",BI699,0),2)</f>
        <v>0</v>
      </c>
      <c r="AD699" s="28">
        <f>ROUND(IF(AQ699="7",BH699,0),2)</f>
        <v>0</v>
      </c>
      <c r="AE699" s="28">
        <f>ROUND(IF(AQ699="7",BI699,0),2)</f>
        <v>0</v>
      </c>
      <c r="AF699" s="28">
        <f>ROUND(IF(AQ699="2",BH699,0),2)</f>
        <v>0</v>
      </c>
      <c r="AG699" s="28">
        <f>ROUND(IF(AQ699="2",BI699,0),2)</f>
        <v>0</v>
      </c>
      <c r="AH699" s="28">
        <f>ROUND(IF(AQ699="0",BJ699,0),2)</f>
        <v>0</v>
      </c>
      <c r="AI699" s="10" t="s">
        <v>909</v>
      </c>
      <c r="AJ699" s="28">
        <f>IF(AN699=0,J699,0)</f>
        <v>0</v>
      </c>
      <c r="AK699" s="28">
        <f>IF(AN699=12,J699,0)</f>
        <v>0</v>
      </c>
      <c r="AL699" s="28">
        <f>IF(AN699=21,J699,0)</f>
        <v>0</v>
      </c>
      <c r="AN699" s="28">
        <v>21</v>
      </c>
      <c r="AO699" s="28">
        <f>G699*0.097507596</f>
        <v>0</v>
      </c>
      <c r="AP699" s="28">
        <f>G699*(1-0.097507596)</f>
        <v>0</v>
      </c>
      <c r="AQ699" s="30" t="s">
        <v>60</v>
      </c>
      <c r="AV699" s="28">
        <f>ROUND(AW699+AX699,2)</f>
        <v>0</v>
      </c>
      <c r="AW699" s="28">
        <f>ROUND(F699*AO699,2)</f>
        <v>0</v>
      </c>
      <c r="AX699" s="28">
        <f>ROUND(F699*AP699,2)</f>
        <v>0</v>
      </c>
      <c r="AY699" s="30" t="s">
        <v>975</v>
      </c>
      <c r="AZ699" s="30" t="s">
        <v>922</v>
      </c>
      <c r="BA699" s="10" t="s">
        <v>915</v>
      </c>
      <c r="BC699" s="28">
        <f>AW699+AX699</f>
        <v>0</v>
      </c>
      <c r="BD699" s="28">
        <f>G699/(100-BE699)*100</f>
        <v>0</v>
      </c>
      <c r="BE699" s="28">
        <v>0</v>
      </c>
      <c r="BF699" s="28">
        <f>699</f>
        <v>699</v>
      </c>
      <c r="BH699" s="28">
        <f>F699*AO699</f>
        <v>0</v>
      </c>
      <c r="BI699" s="28">
        <f>F699*AP699</f>
        <v>0</v>
      </c>
      <c r="BJ699" s="28">
        <f>F699*G699</f>
        <v>0</v>
      </c>
      <c r="BK699" s="28"/>
      <c r="BL699" s="28"/>
      <c r="BW699" s="28">
        <v>21</v>
      </c>
      <c r="BX699" s="4" t="s">
        <v>1077</v>
      </c>
    </row>
    <row r="700" spans="1:76" x14ac:dyDescent="0.25">
      <c r="A700" s="31"/>
      <c r="C700" s="34" t="s">
        <v>57</v>
      </c>
      <c r="D700" s="33" t="s">
        <v>52</v>
      </c>
      <c r="F700" s="35">
        <v>1</v>
      </c>
      <c r="K700" s="36"/>
    </row>
    <row r="701" spans="1:76" x14ac:dyDescent="0.25">
      <c r="A701" s="2" t="s">
        <v>1079</v>
      </c>
      <c r="B701" s="3" t="s">
        <v>1080</v>
      </c>
      <c r="C701" s="230" t="s">
        <v>1081</v>
      </c>
      <c r="D701" s="225"/>
      <c r="E701" s="3" t="s">
        <v>1078</v>
      </c>
      <c r="F701" s="28">
        <v>1</v>
      </c>
      <c r="G701" s="28">
        <v>0</v>
      </c>
      <c r="H701" s="28">
        <f>ROUND(F701*AO701,2)</f>
        <v>0</v>
      </c>
      <c r="I701" s="28">
        <f>ROUND(F701*AP701,2)</f>
        <v>0</v>
      </c>
      <c r="J701" s="28">
        <f>ROUND(F701*G701,2)</f>
        <v>0</v>
      </c>
      <c r="K701" s="29" t="s">
        <v>109</v>
      </c>
      <c r="Z701" s="28">
        <f>ROUND(IF(AQ701="5",BJ701,0),2)</f>
        <v>0</v>
      </c>
      <c r="AB701" s="28">
        <f>ROUND(IF(AQ701="1",BH701,0),2)</f>
        <v>0</v>
      </c>
      <c r="AC701" s="28">
        <f>ROUND(IF(AQ701="1",BI701,0),2)</f>
        <v>0</v>
      </c>
      <c r="AD701" s="28">
        <f>ROUND(IF(AQ701="7",BH701,0),2)</f>
        <v>0</v>
      </c>
      <c r="AE701" s="28">
        <f>ROUND(IF(AQ701="7",BI701,0),2)</f>
        <v>0</v>
      </c>
      <c r="AF701" s="28">
        <f>ROUND(IF(AQ701="2",BH701,0),2)</f>
        <v>0</v>
      </c>
      <c r="AG701" s="28">
        <f>ROUND(IF(AQ701="2",BI701,0),2)</f>
        <v>0</v>
      </c>
      <c r="AH701" s="28">
        <f>ROUND(IF(AQ701="0",BJ701,0),2)</f>
        <v>0</v>
      </c>
      <c r="AI701" s="10" t="s">
        <v>909</v>
      </c>
      <c r="AJ701" s="28">
        <f>IF(AN701=0,J701,0)</f>
        <v>0</v>
      </c>
      <c r="AK701" s="28">
        <f>IF(AN701=12,J701,0)</f>
        <v>0</v>
      </c>
      <c r="AL701" s="28">
        <f>IF(AN701=21,J701,0)</f>
        <v>0</v>
      </c>
      <c r="AN701" s="28">
        <v>21</v>
      </c>
      <c r="AO701" s="28">
        <f>G701*0.097508345</f>
        <v>0</v>
      </c>
      <c r="AP701" s="28">
        <f>G701*(1-0.097508345)</f>
        <v>0</v>
      </c>
      <c r="AQ701" s="30" t="s">
        <v>60</v>
      </c>
      <c r="AV701" s="28">
        <f>ROUND(AW701+AX701,2)</f>
        <v>0</v>
      </c>
      <c r="AW701" s="28">
        <f>ROUND(F701*AO701,2)</f>
        <v>0</v>
      </c>
      <c r="AX701" s="28">
        <f>ROUND(F701*AP701,2)</f>
        <v>0</v>
      </c>
      <c r="AY701" s="30" t="s">
        <v>975</v>
      </c>
      <c r="AZ701" s="30" t="s">
        <v>922</v>
      </c>
      <c r="BA701" s="10" t="s">
        <v>915</v>
      </c>
      <c r="BC701" s="28">
        <f>AW701+AX701</f>
        <v>0</v>
      </c>
      <c r="BD701" s="28">
        <f>G701/(100-BE701)*100</f>
        <v>0</v>
      </c>
      <c r="BE701" s="28">
        <v>0</v>
      </c>
      <c r="BF701" s="28">
        <f>701</f>
        <v>701</v>
      </c>
      <c r="BH701" s="28">
        <f>F701*AO701</f>
        <v>0</v>
      </c>
      <c r="BI701" s="28">
        <f>F701*AP701</f>
        <v>0</v>
      </c>
      <c r="BJ701" s="28">
        <f>F701*G701</f>
        <v>0</v>
      </c>
      <c r="BK701" s="28"/>
      <c r="BL701" s="28"/>
      <c r="BW701" s="28">
        <v>21</v>
      </c>
      <c r="BX701" s="4" t="s">
        <v>1081</v>
      </c>
    </row>
    <row r="702" spans="1:76" x14ac:dyDescent="0.25">
      <c r="A702" s="31"/>
      <c r="C702" s="34" t="s">
        <v>57</v>
      </c>
      <c r="D702" s="33" t="s">
        <v>52</v>
      </c>
      <c r="F702" s="35">
        <v>1</v>
      </c>
      <c r="K702" s="36"/>
    </row>
    <row r="703" spans="1:76" x14ac:dyDescent="0.25">
      <c r="A703" s="24" t="s">
        <v>52</v>
      </c>
      <c r="B703" s="25" t="s">
        <v>52</v>
      </c>
      <c r="C703" s="246" t="s">
        <v>1082</v>
      </c>
      <c r="D703" s="247"/>
      <c r="E703" s="26" t="s">
        <v>33</v>
      </c>
      <c r="F703" s="26" t="s">
        <v>33</v>
      </c>
      <c r="G703" s="26" t="s">
        <v>33</v>
      </c>
      <c r="H703" s="1">
        <f>H704+H709+H717+H722+H728+H741</f>
        <v>0</v>
      </c>
      <c r="I703" s="1">
        <f>I704+I709+I717+I722+I728+I741</f>
        <v>0</v>
      </c>
      <c r="J703" s="1">
        <f>J704+J709+J717+J722+J728+J741</f>
        <v>0</v>
      </c>
      <c r="K703" s="27" t="s">
        <v>52</v>
      </c>
    </row>
    <row r="704" spans="1:76" x14ac:dyDescent="0.25">
      <c r="A704" s="24" t="s">
        <v>52</v>
      </c>
      <c r="B704" s="25" t="s">
        <v>129</v>
      </c>
      <c r="C704" s="246" t="s">
        <v>1083</v>
      </c>
      <c r="D704" s="247"/>
      <c r="E704" s="26" t="s">
        <v>33</v>
      </c>
      <c r="F704" s="26" t="s">
        <v>33</v>
      </c>
      <c r="G704" s="26" t="s">
        <v>33</v>
      </c>
      <c r="H704" s="1">
        <f>SUM(H705:H705)</f>
        <v>0</v>
      </c>
      <c r="I704" s="1">
        <f>SUM(I705:I705)</f>
        <v>0</v>
      </c>
      <c r="J704" s="1">
        <f>SUM(J705:J705)</f>
        <v>0</v>
      </c>
      <c r="K704" s="27" t="s">
        <v>52</v>
      </c>
      <c r="AI704" s="10" t="s">
        <v>1084</v>
      </c>
      <c r="AS704" s="1">
        <f>SUM(AJ705:AJ705)</f>
        <v>0</v>
      </c>
      <c r="AT704" s="1">
        <f>SUM(AK705:AK705)</f>
        <v>0</v>
      </c>
      <c r="AU704" s="1">
        <f>SUM(AL705:AL705)</f>
        <v>0</v>
      </c>
    </row>
    <row r="705" spans="1:76" x14ac:dyDescent="0.25">
      <c r="A705" s="2" t="s">
        <v>1085</v>
      </c>
      <c r="B705" s="3" t="s">
        <v>1086</v>
      </c>
      <c r="C705" s="230" t="s">
        <v>1087</v>
      </c>
      <c r="D705" s="225"/>
      <c r="E705" s="3" t="s">
        <v>214</v>
      </c>
      <c r="F705" s="28">
        <v>5.6319999999999997</v>
      </c>
      <c r="G705" s="28">
        <v>0</v>
      </c>
      <c r="H705" s="28">
        <f>ROUND(F705*AO705,2)</f>
        <v>0</v>
      </c>
      <c r="I705" s="28">
        <f>ROUND(F705*AP705,2)</f>
        <v>0</v>
      </c>
      <c r="J705" s="28">
        <f>ROUND(F705*G705,2)</f>
        <v>0</v>
      </c>
      <c r="K705" s="29" t="s">
        <v>1088</v>
      </c>
      <c r="Z705" s="28">
        <f>ROUND(IF(AQ705="5",BJ705,0),2)</f>
        <v>0</v>
      </c>
      <c r="AB705" s="28">
        <f>ROUND(IF(AQ705="1",BH705,0),2)</f>
        <v>0</v>
      </c>
      <c r="AC705" s="28">
        <f>ROUND(IF(AQ705="1",BI705,0),2)</f>
        <v>0</v>
      </c>
      <c r="AD705" s="28">
        <f>ROUND(IF(AQ705="7",BH705,0),2)</f>
        <v>0</v>
      </c>
      <c r="AE705" s="28">
        <f>ROUND(IF(AQ705="7",BI705,0),2)</f>
        <v>0</v>
      </c>
      <c r="AF705" s="28">
        <f>ROUND(IF(AQ705="2",BH705,0),2)</f>
        <v>0</v>
      </c>
      <c r="AG705" s="28">
        <f>ROUND(IF(AQ705="2",BI705,0),2)</f>
        <v>0</v>
      </c>
      <c r="AH705" s="28">
        <f>ROUND(IF(AQ705="0",BJ705,0),2)</f>
        <v>0</v>
      </c>
      <c r="AI705" s="10" t="s">
        <v>1084</v>
      </c>
      <c r="AJ705" s="28">
        <f>IF(AN705=0,J705,0)</f>
        <v>0</v>
      </c>
      <c r="AK705" s="28">
        <f>IF(AN705=12,J705,0)</f>
        <v>0</v>
      </c>
      <c r="AL705" s="28">
        <f>IF(AN705=21,J705,0)</f>
        <v>0</v>
      </c>
      <c r="AN705" s="28">
        <v>21</v>
      </c>
      <c r="AO705" s="28">
        <f>G705*0</f>
        <v>0</v>
      </c>
      <c r="AP705" s="28">
        <f>G705*(1-0)</f>
        <v>0</v>
      </c>
      <c r="AQ705" s="30" t="s">
        <v>57</v>
      </c>
      <c r="AV705" s="28">
        <f>ROUND(AW705+AX705,2)</f>
        <v>0</v>
      </c>
      <c r="AW705" s="28">
        <f>ROUND(F705*AO705,2)</f>
        <v>0</v>
      </c>
      <c r="AX705" s="28">
        <f>ROUND(F705*AP705,2)</f>
        <v>0</v>
      </c>
      <c r="AY705" s="30" t="s">
        <v>1089</v>
      </c>
      <c r="AZ705" s="30" t="s">
        <v>1090</v>
      </c>
      <c r="BA705" s="10" t="s">
        <v>1091</v>
      </c>
      <c r="BC705" s="28">
        <f>AW705+AX705</f>
        <v>0</v>
      </c>
      <c r="BD705" s="28">
        <f>G705/(100-BE705)*100</f>
        <v>0</v>
      </c>
      <c r="BE705" s="28">
        <v>0</v>
      </c>
      <c r="BF705" s="28">
        <f>705</f>
        <v>705</v>
      </c>
      <c r="BH705" s="28">
        <f>F705*AO705</f>
        <v>0</v>
      </c>
      <c r="BI705" s="28">
        <f>F705*AP705</f>
        <v>0</v>
      </c>
      <c r="BJ705" s="28">
        <f>F705*G705</f>
        <v>0</v>
      </c>
      <c r="BK705" s="28"/>
      <c r="BL705" s="28">
        <v>13</v>
      </c>
      <c r="BW705" s="28">
        <v>21</v>
      </c>
      <c r="BX705" s="4" t="s">
        <v>1087</v>
      </c>
    </row>
    <row r="706" spans="1:76" x14ac:dyDescent="0.25">
      <c r="A706" s="31"/>
      <c r="C706" s="34" t="s">
        <v>1092</v>
      </c>
      <c r="D706" s="33" t="s">
        <v>1093</v>
      </c>
      <c r="F706" s="35">
        <v>5.12</v>
      </c>
      <c r="K706" s="36"/>
    </row>
    <row r="707" spans="1:76" x14ac:dyDescent="0.25">
      <c r="A707" s="31"/>
      <c r="C707" s="34" t="s">
        <v>1094</v>
      </c>
      <c r="D707" s="33" t="s">
        <v>1095</v>
      </c>
      <c r="F707" s="35">
        <v>0.51200000000000001</v>
      </c>
      <c r="K707" s="36"/>
    </row>
    <row r="708" spans="1:76" ht="13.5" customHeight="1" x14ac:dyDescent="0.25">
      <c r="A708" s="31"/>
      <c r="B708" s="37" t="s">
        <v>148</v>
      </c>
      <c r="C708" s="248" t="s">
        <v>211</v>
      </c>
      <c r="D708" s="249"/>
      <c r="E708" s="249"/>
      <c r="F708" s="249"/>
      <c r="G708" s="249"/>
      <c r="H708" s="249"/>
      <c r="I708" s="249"/>
      <c r="J708" s="249"/>
      <c r="K708" s="250"/>
    </row>
    <row r="709" spans="1:76" x14ac:dyDescent="0.25">
      <c r="A709" s="24" t="s">
        <v>52</v>
      </c>
      <c r="B709" s="25" t="s">
        <v>150</v>
      </c>
      <c r="C709" s="246" t="s">
        <v>1096</v>
      </c>
      <c r="D709" s="247"/>
      <c r="E709" s="26" t="s">
        <v>33</v>
      </c>
      <c r="F709" s="26" t="s">
        <v>33</v>
      </c>
      <c r="G709" s="26" t="s">
        <v>33</v>
      </c>
      <c r="H709" s="1">
        <f>SUM(H710:H713)</f>
        <v>0</v>
      </c>
      <c r="I709" s="1">
        <f>SUM(I710:I713)</f>
        <v>0</v>
      </c>
      <c r="J709" s="1">
        <f>SUM(J710:J713)</f>
        <v>0</v>
      </c>
      <c r="K709" s="27" t="s">
        <v>52</v>
      </c>
      <c r="AI709" s="10" t="s">
        <v>1084</v>
      </c>
      <c r="AS709" s="1">
        <f>SUM(AJ710:AJ713)</f>
        <v>0</v>
      </c>
      <c r="AT709" s="1">
        <f>SUM(AK710:AK713)</f>
        <v>0</v>
      </c>
      <c r="AU709" s="1">
        <f>SUM(AL710:AL713)</f>
        <v>0</v>
      </c>
    </row>
    <row r="710" spans="1:76" x14ac:dyDescent="0.25">
      <c r="A710" s="2" t="s">
        <v>1097</v>
      </c>
      <c r="B710" s="3" t="s">
        <v>1098</v>
      </c>
      <c r="C710" s="230" t="s">
        <v>1099</v>
      </c>
      <c r="D710" s="225"/>
      <c r="E710" s="3" t="s">
        <v>214</v>
      </c>
      <c r="F710" s="28">
        <v>5.6319999999999997</v>
      </c>
      <c r="G710" s="28">
        <v>0</v>
      </c>
      <c r="H710" s="28">
        <f>ROUND(F710*AO710,2)</f>
        <v>0</v>
      </c>
      <c r="I710" s="28">
        <f>ROUND(F710*AP710,2)</f>
        <v>0</v>
      </c>
      <c r="J710" s="28">
        <f>ROUND(F710*G710,2)</f>
        <v>0</v>
      </c>
      <c r="K710" s="29" t="s">
        <v>1088</v>
      </c>
      <c r="Z710" s="28">
        <f>ROUND(IF(AQ710="5",BJ710,0),2)</f>
        <v>0</v>
      </c>
      <c r="AB710" s="28">
        <f>ROUND(IF(AQ710="1",BH710,0),2)</f>
        <v>0</v>
      </c>
      <c r="AC710" s="28">
        <f>ROUND(IF(AQ710="1",BI710,0),2)</f>
        <v>0</v>
      </c>
      <c r="AD710" s="28">
        <f>ROUND(IF(AQ710="7",BH710,0),2)</f>
        <v>0</v>
      </c>
      <c r="AE710" s="28">
        <f>ROUND(IF(AQ710="7",BI710,0),2)</f>
        <v>0</v>
      </c>
      <c r="AF710" s="28">
        <f>ROUND(IF(AQ710="2",BH710,0),2)</f>
        <v>0</v>
      </c>
      <c r="AG710" s="28">
        <f>ROUND(IF(AQ710="2",BI710,0),2)</f>
        <v>0</v>
      </c>
      <c r="AH710" s="28">
        <f>ROUND(IF(AQ710="0",BJ710,0),2)</f>
        <v>0</v>
      </c>
      <c r="AI710" s="10" t="s">
        <v>1084</v>
      </c>
      <c r="AJ710" s="28">
        <f>IF(AN710=0,J710,0)</f>
        <v>0</v>
      </c>
      <c r="AK710" s="28">
        <f>IF(AN710=12,J710,0)</f>
        <v>0</v>
      </c>
      <c r="AL710" s="28">
        <f>IF(AN710=21,J710,0)</f>
        <v>0</v>
      </c>
      <c r="AN710" s="28">
        <v>21</v>
      </c>
      <c r="AO710" s="28">
        <f>G710*0</f>
        <v>0</v>
      </c>
      <c r="AP710" s="28">
        <f>G710*(1-0)</f>
        <v>0</v>
      </c>
      <c r="AQ710" s="30" t="s">
        <v>57</v>
      </c>
      <c r="AV710" s="28">
        <f>ROUND(AW710+AX710,2)</f>
        <v>0</v>
      </c>
      <c r="AW710" s="28">
        <f>ROUND(F710*AO710,2)</f>
        <v>0</v>
      </c>
      <c r="AX710" s="28">
        <f>ROUND(F710*AP710,2)</f>
        <v>0</v>
      </c>
      <c r="AY710" s="30" t="s">
        <v>1100</v>
      </c>
      <c r="AZ710" s="30" t="s">
        <v>1090</v>
      </c>
      <c r="BA710" s="10" t="s">
        <v>1091</v>
      </c>
      <c r="BC710" s="28">
        <f>AW710+AX710</f>
        <v>0</v>
      </c>
      <c r="BD710" s="28">
        <f>G710/(100-BE710)*100</f>
        <v>0</v>
      </c>
      <c r="BE710" s="28">
        <v>0</v>
      </c>
      <c r="BF710" s="28">
        <f>710</f>
        <v>710</v>
      </c>
      <c r="BH710" s="28">
        <f>F710*AO710</f>
        <v>0</v>
      </c>
      <c r="BI710" s="28">
        <f>F710*AP710</f>
        <v>0</v>
      </c>
      <c r="BJ710" s="28">
        <f>F710*G710</f>
        <v>0</v>
      </c>
      <c r="BK710" s="28"/>
      <c r="BL710" s="28">
        <v>17</v>
      </c>
      <c r="BW710" s="28">
        <v>21</v>
      </c>
      <c r="BX710" s="4" t="s">
        <v>1099</v>
      </c>
    </row>
    <row r="711" spans="1:76" x14ac:dyDescent="0.25">
      <c r="A711" s="31"/>
      <c r="C711" s="34" t="s">
        <v>1092</v>
      </c>
      <c r="D711" s="33" t="s">
        <v>1093</v>
      </c>
      <c r="F711" s="35">
        <v>5.12</v>
      </c>
      <c r="K711" s="36"/>
    </row>
    <row r="712" spans="1:76" x14ac:dyDescent="0.25">
      <c r="A712" s="31"/>
      <c r="C712" s="34" t="s">
        <v>1094</v>
      </c>
      <c r="D712" s="33" t="s">
        <v>1095</v>
      </c>
      <c r="F712" s="35">
        <v>0.51200000000000001</v>
      </c>
      <c r="K712" s="36"/>
    </row>
    <row r="713" spans="1:76" x14ac:dyDescent="0.25">
      <c r="A713" s="2" t="s">
        <v>1101</v>
      </c>
      <c r="B713" s="3" t="s">
        <v>1102</v>
      </c>
      <c r="C713" s="230" t="s">
        <v>1103</v>
      </c>
      <c r="D713" s="225"/>
      <c r="E713" s="3" t="s">
        <v>214</v>
      </c>
      <c r="F713" s="28">
        <v>1.28</v>
      </c>
      <c r="G713" s="28">
        <v>0</v>
      </c>
      <c r="H713" s="28">
        <f>ROUND(F713*AO713,2)</f>
        <v>0</v>
      </c>
      <c r="I713" s="28">
        <f>ROUND(F713*AP713,2)</f>
        <v>0</v>
      </c>
      <c r="J713" s="28">
        <f>ROUND(F713*G713,2)</f>
        <v>0</v>
      </c>
      <c r="K713" s="29" t="s">
        <v>70</v>
      </c>
      <c r="Z713" s="28">
        <f>ROUND(IF(AQ713="5",BJ713,0),2)</f>
        <v>0</v>
      </c>
      <c r="AB713" s="28">
        <f>ROUND(IF(AQ713="1",BH713,0),2)</f>
        <v>0</v>
      </c>
      <c r="AC713" s="28">
        <f>ROUND(IF(AQ713="1",BI713,0),2)</f>
        <v>0</v>
      </c>
      <c r="AD713" s="28">
        <f>ROUND(IF(AQ713="7",BH713,0),2)</f>
        <v>0</v>
      </c>
      <c r="AE713" s="28">
        <f>ROUND(IF(AQ713="7",BI713,0),2)</f>
        <v>0</v>
      </c>
      <c r="AF713" s="28">
        <f>ROUND(IF(AQ713="2",BH713,0),2)</f>
        <v>0</v>
      </c>
      <c r="AG713" s="28">
        <f>ROUND(IF(AQ713="2",BI713,0),2)</f>
        <v>0</v>
      </c>
      <c r="AH713" s="28">
        <f>ROUND(IF(AQ713="0",BJ713,0),2)</f>
        <v>0</v>
      </c>
      <c r="AI713" s="10" t="s">
        <v>1084</v>
      </c>
      <c r="AJ713" s="28">
        <f>IF(AN713=0,J713,0)</f>
        <v>0</v>
      </c>
      <c r="AK713" s="28">
        <f>IF(AN713=12,J713,0)</f>
        <v>0</v>
      </c>
      <c r="AL713" s="28">
        <f>IF(AN713=21,J713,0)</f>
        <v>0</v>
      </c>
      <c r="AN713" s="28">
        <v>21</v>
      </c>
      <c r="AO713" s="28">
        <f>G713*0.496425129</f>
        <v>0</v>
      </c>
      <c r="AP713" s="28">
        <f>G713*(1-0.496425129)</f>
        <v>0</v>
      </c>
      <c r="AQ713" s="30" t="s">
        <v>57</v>
      </c>
      <c r="AV713" s="28">
        <f>ROUND(AW713+AX713,2)</f>
        <v>0</v>
      </c>
      <c r="AW713" s="28">
        <f>ROUND(F713*AO713,2)</f>
        <v>0</v>
      </c>
      <c r="AX713" s="28">
        <f>ROUND(F713*AP713,2)</f>
        <v>0</v>
      </c>
      <c r="AY713" s="30" t="s">
        <v>1100</v>
      </c>
      <c r="AZ713" s="30" t="s">
        <v>1090</v>
      </c>
      <c r="BA713" s="10" t="s">
        <v>1091</v>
      </c>
      <c r="BC713" s="28">
        <f>AW713+AX713</f>
        <v>0</v>
      </c>
      <c r="BD713" s="28">
        <f>G713/(100-BE713)*100</f>
        <v>0</v>
      </c>
      <c r="BE713" s="28">
        <v>0</v>
      </c>
      <c r="BF713" s="28">
        <f>713</f>
        <v>713</v>
      </c>
      <c r="BH713" s="28">
        <f>F713*AO713</f>
        <v>0</v>
      </c>
      <c r="BI713" s="28">
        <f>F713*AP713</f>
        <v>0</v>
      </c>
      <c r="BJ713" s="28">
        <f>F713*G713</f>
        <v>0</v>
      </c>
      <c r="BK713" s="28"/>
      <c r="BL713" s="28">
        <v>17</v>
      </c>
      <c r="BW713" s="28">
        <v>21</v>
      </c>
      <c r="BX713" s="4" t="s">
        <v>1103</v>
      </c>
    </row>
    <row r="714" spans="1:76" ht="13.5" customHeight="1" x14ac:dyDescent="0.25">
      <c r="A714" s="31"/>
      <c r="C714" s="248" t="s">
        <v>1104</v>
      </c>
      <c r="D714" s="249"/>
      <c r="E714" s="249"/>
      <c r="F714" s="249"/>
      <c r="G714" s="249"/>
      <c r="H714" s="249"/>
      <c r="I714" s="249"/>
      <c r="J714" s="249"/>
      <c r="K714" s="250"/>
    </row>
    <row r="715" spans="1:76" x14ac:dyDescent="0.25">
      <c r="A715" s="31"/>
      <c r="C715" s="34" t="s">
        <v>1105</v>
      </c>
      <c r="D715" s="33" t="s">
        <v>1093</v>
      </c>
      <c r="F715" s="35">
        <v>1.28</v>
      </c>
      <c r="K715" s="36"/>
    </row>
    <row r="716" spans="1:76" x14ac:dyDescent="0.25">
      <c r="A716" s="31"/>
      <c r="B716" s="37" t="s">
        <v>85</v>
      </c>
      <c r="C716" s="248" t="s">
        <v>1106</v>
      </c>
      <c r="D716" s="249"/>
      <c r="E716" s="249"/>
      <c r="F716" s="249"/>
      <c r="G716" s="249"/>
      <c r="H716" s="249"/>
      <c r="I716" s="249"/>
      <c r="J716" s="249"/>
      <c r="K716" s="250"/>
      <c r="BX716" s="32" t="s">
        <v>1106</v>
      </c>
    </row>
    <row r="717" spans="1:76" x14ac:dyDescent="0.25">
      <c r="A717" s="24" t="s">
        <v>52</v>
      </c>
      <c r="B717" s="25" t="s">
        <v>155</v>
      </c>
      <c r="C717" s="246" t="s">
        <v>1107</v>
      </c>
      <c r="D717" s="247"/>
      <c r="E717" s="26" t="s">
        <v>33</v>
      </c>
      <c r="F717" s="26" t="s">
        <v>33</v>
      </c>
      <c r="G717" s="26" t="s">
        <v>33</v>
      </c>
      <c r="H717" s="1">
        <f>SUM(H718:H718)</f>
        <v>0</v>
      </c>
      <c r="I717" s="1">
        <f>SUM(I718:I718)</f>
        <v>0</v>
      </c>
      <c r="J717" s="1">
        <f>SUM(J718:J718)</f>
        <v>0</v>
      </c>
      <c r="K717" s="27" t="s">
        <v>52</v>
      </c>
      <c r="AI717" s="10" t="s">
        <v>1084</v>
      </c>
      <c r="AS717" s="1">
        <f>SUM(AJ718:AJ718)</f>
        <v>0</v>
      </c>
      <c r="AT717" s="1">
        <f>SUM(AK718:AK718)</f>
        <v>0</v>
      </c>
      <c r="AU717" s="1">
        <f>SUM(AL718:AL718)</f>
        <v>0</v>
      </c>
    </row>
    <row r="718" spans="1:76" x14ac:dyDescent="0.25">
      <c r="A718" s="2" t="s">
        <v>1108</v>
      </c>
      <c r="B718" s="3" t="s">
        <v>1109</v>
      </c>
      <c r="C718" s="230" t="s">
        <v>1110</v>
      </c>
      <c r="D718" s="225"/>
      <c r="E718" s="3" t="s">
        <v>69</v>
      </c>
      <c r="F718" s="28">
        <v>15.05</v>
      </c>
      <c r="G718" s="28">
        <v>0</v>
      </c>
      <c r="H718" s="28">
        <f>ROUND(F718*AO718,2)</f>
        <v>0</v>
      </c>
      <c r="I718" s="28">
        <f>ROUND(F718*AP718,2)</f>
        <v>0</v>
      </c>
      <c r="J718" s="28">
        <f>ROUND(F718*G718,2)</f>
        <v>0</v>
      </c>
      <c r="K718" s="29" t="s">
        <v>1088</v>
      </c>
      <c r="Z718" s="28">
        <f>ROUND(IF(AQ718="5",BJ718,0),2)</f>
        <v>0</v>
      </c>
      <c r="AB718" s="28">
        <f>ROUND(IF(AQ718="1",BH718,0),2)</f>
        <v>0</v>
      </c>
      <c r="AC718" s="28">
        <f>ROUND(IF(AQ718="1",BI718,0),2)</f>
        <v>0</v>
      </c>
      <c r="AD718" s="28">
        <f>ROUND(IF(AQ718="7",BH718,0),2)</f>
        <v>0</v>
      </c>
      <c r="AE718" s="28">
        <f>ROUND(IF(AQ718="7",BI718,0),2)</f>
        <v>0</v>
      </c>
      <c r="AF718" s="28">
        <f>ROUND(IF(AQ718="2",BH718,0),2)</f>
        <v>0</v>
      </c>
      <c r="AG718" s="28">
        <f>ROUND(IF(AQ718="2",BI718,0),2)</f>
        <v>0</v>
      </c>
      <c r="AH718" s="28">
        <f>ROUND(IF(AQ718="0",BJ718,0),2)</f>
        <v>0</v>
      </c>
      <c r="AI718" s="10" t="s">
        <v>1084</v>
      </c>
      <c r="AJ718" s="28">
        <f>IF(AN718=0,J718,0)</f>
        <v>0</v>
      </c>
      <c r="AK718" s="28">
        <f>IF(AN718=12,J718,0)</f>
        <v>0</v>
      </c>
      <c r="AL718" s="28">
        <f>IF(AN718=21,J718,0)</f>
        <v>0</v>
      </c>
      <c r="AN718" s="28">
        <v>21</v>
      </c>
      <c r="AO718" s="28">
        <f>G718*0.072823245</f>
        <v>0</v>
      </c>
      <c r="AP718" s="28">
        <f>G718*(1-0.072823245)</f>
        <v>0</v>
      </c>
      <c r="AQ718" s="30" t="s">
        <v>57</v>
      </c>
      <c r="AV718" s="28">
        <f>ROUND(AW718+AX718,2)</f>
        <v>0</v>
      </c>
      <c r="AW718" s="28">
        <f>ROUND(F718*AO718,2)</f>
        <v>0</v>
      </c>
      <c r="AX718" s="28">
        <f>ROUND(F718*AP718,2)</f>
        <v>0</v>
      </c>
      <c r="AY718" s="30" t="s">
        <v>1111</v>
      </c>
      <c r="AZ718" s="30" t="s">
        <v>1090</v>
      </c>
      <c r="BA718" s="10" t="s">
        <v>1091</v>
      </c>
      <c r="BC718" s="28">
        <f>AW718+AX718</f>
        <v>0</v>
      </c>
      <c r="BD718" s="28">
        <f>G718/(100-BE718)*100</f>
        <v>0</v>
      </c>
      <c r="BE718" s="28">
        <v>0</v>
      </c>
      <c r="BF718" s="28">
        <f>718</f>
        <v>718</v>
      </c>
      <c r="BH718" s="28">
        <f>F718*AO718</f>
        <v>0</v>
      </c>
      <c r="BI718" s="28">
        <f>F718*AP718</f>
        <v>0</v>
      </c>
      <c r="BJ718" s="28">
        <f>F718*G718</f>
        <v>0</v>
      </c>
      <c r="BK718" s="28"/>
      <c r="BL718" s="28">
        <v>18</v>
      </c>
      <c r="BW718" s="28">
        <v>21</v>
      </c>
      <c r="BX718" s="4" t="s">
        <v>1110</v>
      </c>
    </row>
    <row r="719" spans="1:76" x14ac:dyDescent="0.25">
      <c r="A719" s="31"/>
      <c r="C719" s="34" t="s">
        <v>1112</v>
      </c>
      <c r="D719" s="33" t="s">
        <v>52</v>
      </c>
      <c r="F719" s="35">
        <v>12.8</v>
      </c>
      <c r="K719" s="36"/>
    </row>
    <row r="720" spans="1:76" x14ac:dyDescent="0.25">
      <c r="A720" s="31"/>
      <c r="C720" s="34" t="s">
        <v>1113</v>
      </c>
      <c r="D720" s="33" t="s">
        <v>1095</v>
      </c>
      <c r="F720" s="35">
        <v>2.25</v>
      </c>
      <c r="K720" s="36"/>
    </row>
    <row r="721" spans="1:76" ht="13.5" customHeight="1" x14ac:dyDescent="0.25">
      <c r="A721" s="31"/>
      <c r="B721" s="37" t="s">
        <v>729</v>
      </c>
      <c r="C721" s="248" t="s">
        <v>1114</v>
      </c>
      <c r="D721" s="249"/>
      <c r="E721" s="249"/>
      <c r="F721" s="249"/>
      <c r="G721" s="249"/>
      <c r="H721" s="249"/>
      <c r="I721" s="249"/>
      <c r="J721" s="249"/>
      <c r="K721" s="250"/>
    </row>
    <row r="722" spans="1:76" x14ac:dyDescent="0.25">
      <c r="A722" s="24" t="s">
        <v>52</v>
      </c>
      <c r="B722" s="25" t="s">
        <v>321</v>
      </c>
      <c r="C722" s="246" t="s">
        <v>1115</v>
      </c>
      <c r="D722" s="247"/>
      <c r="E722" s="26" t="s">
        <v>33</v>
      </c>
      <c r="F722" s="26" t="s">
        <v>33</v>
      </c>
      <c r="G722" s="26" t="s">
        <v>33</v>
      </c>
      <c r="H722" s="1">
        <f>SUM(H723:H727)</f>
        <v>0</v>
      </c>
      <c r="I722" s="1">
        <f>SUM(I723:I727)</f>
        <v>0</v>
      </c>
      <c r="J722" s="1">
        <f>SUM(J723:J727)</f>
        <v>0</v>
      </c>
      <c r="K722" s="27" t="s">
        <v>52</v>
      </c>
      <c r="AI722" s="10" t="s">
        <v>1084</v>
      </c>
      <c r="AS722" s="1">
        <f>SUM(AJ723:AJ727)</f>
        <v>0</v>
      </c>
      <c r="AT722" s="1">
        <f>SUM(AK723:AK727)</f>
        <v>0</v>
      </c>
      <c r="AU722" s="1">
        <f>SUM(AL723:AL727)</f>
        <v>0</v>
      </c>
    </row>
    <row r="723" spans="1:76" x14ac:dyDescent="0.25">
      <c r="A723" s="2" t="s">
        <v>1116</v>
      </c>
      <c r="B723" s="3" t="s">
        <v>1117</v>
      </c>
      <c r="C723" s="230" t="s">
        <v>1118</v>
      </c>
      <c r="D723" s="225"/>
      <c r="E723" s="3" t="s">
        <v>214</v>
      </c>
      <c r="F723" s="28">
        <v>0.70399999999999996</v>
      </c>
      <c r="G723" s="28">
        <v>0</v>
      </c>
      <c r="H723" s="28">
        <f>ROUND(F723*AO723,2)</f>
        <v>0</v>
      </c>
      <c r="I723" s="28">
        <f>ROUND(F723*AP723,2)</f>
        <v>0</v>
      </c>
      <c r="J723" s="28">
        <f>ROUND(F723*G723,2)</f>
        <v>0</v>
      </c>
      <c r="K723" s="29" t="s">
        <v>70</v>
      </c>
      <c r="Z723" s="28">
        <f>ROUND(IF(AQ723="5",BJ723,0),2)</f>
        <v>0</v>
      </c>
      <c r="AB723" s="28">
        <f>ROUND(IF(AQ723="1",BH723,0),2)</f>
        <v>0</v>
      </c>
      <c r="AC723" s="28">
        <f>ROUND(IF(AQ723="1",BI723,0),2)</f>
        <v>0</v>
      </c>
      <c r="AD723" s="28">
        <f>ROUND(IF(AQ723="7",BH723,0),2)</f>
        <v>0</v>
      </c>
      <c r="AE723" s="28">
        <f>ROUND(IF(AQ723="7",BI723,0),2)</f>
        <v>0</v>
      </c>
      <c r="AF723" s="28">
        <f>ROUND(IF(AQ723="2",BH723,0),2)</f>
        <v>0</v>
      </c>
      <c r="AG723" s="28">
        <f>ROUND(IF(AQ723="2",BI723,0),2)</f>
        <v>0</v>
      </c>
      <c r="AH723" s="28">
        <f>ROUND(IF(AQ723="0",BJ723,0),2)</f>
        <v>0</v>
      </c>
      <c r="AI723" s="10" t="s">
        <v>1084</v>
      </c>
      <c r="AJ723" s="28">
        <f>IF(AN723=0,J723,0)</f>
        <v>0</v>
      </c>
      <c r="AK723" s="28">
        <f>IF(AN723=12,J723,0)</f>
        <v>0</v>
      </c>
      <c r="AL723" s="28">
        <f>IF(AN723=21,J723,0)</f>
        <v>0</v>
      </c>
      <c r="AN723" s="28">
        <v>21</v>
      </c>
      <c r="AO723" s="28">
        <f>G723*0</f>
        <v>0</v>
      </c>
      <c r="AP723" s="28">
        <f>G723*(1-0)</f>
        <v>0</v>
      </c>
      <c r="AQ723" s="30" t="s">
        <v>57</v>
      </c>
      <c r="AV723" s="28">
        <f>ROUND(AW723+AX723,2)</f>
        <v>0</v>
      </c>
      <c r="AW723" s="28">
        <f>ROUND(F723*AO723,2)</f>
        <v>0</v>
      </c>
      <c r="AX723" s="28">
        <f>ROUND(F723*AP723,2)</f>
        <v>0</v>
      </c>
      <c r="AY723" s="30" t="s">
        <v>1119</v>
      </c>
      <c r="AZ723" s="30" t="s">
        <v>1120</v>
      </c>
      <c r="BA723" s="10" t="s">
        <v>1091</v>
      </c>
      <c r="BC723" s="28">
        <f>AW723+AX723</f>
        <v>0</v>
      </c>
      <c r="BD723" s="28">
        <f>G723/(100-BE723)*100</f>
        <v>0</v>
      </c>
      <c r="BE723" s="28">
        <v>0</v>
      </c>
      <c r="BF723" s="28">
        <f>723</f>
        <v>723</v>
      </c>
      <c r="BH723" s="28">
        <f>F723*AO723</f>
        <v>0</v>
      </c>
      <c r="BI723" s="28">
        <f>F723*AP723</f>
        <v>0</v>
      </c>
      <c r="BJ723" s="28">
        <f>F723*G723</f>
        <v>0</v>
      </c>
      <c r="BK723" s="28"/>
      <c r="BL723" s="28">
        <v>45</v>
      </c>
      <c r="BW723" s="28">
        <v>21</v>
      </c>
      <c r="BX723" s="4" t="s">
        <v>1118</v>
      </c>
    </row>
    <row r="724" spans="1:76" x14ac:dyDescent="0.25">
      <c r="A724" s="31"/>
      <c r="C724" s="34" t="s">
        <v>1121</v>
      </c>
      <c r="D724" s="33" t="s">
        <v>1093</v>
      </c>
      <c r="F724" s="35">
        <v>0.64</v>
      </c>
      <c r="K724" s="36"/>
    </row>
    <row r="725" spans="1:76" x14ac:dyDescent="0.25">
      <c r="A725" s="31"/>
      <c r="C725" s="34" t="s">
        <v>1122</v>
      </c>
      <c r="D725" s="33" t="s">
        <v>1095</v>
      </c>
      <c r="F725" s="35">
        <v>6.4000000000000001E-2</v>
      </c>
      <c r="K725" s="36"/>
    </row>
    <row r="726" spans="1:76" ht="51" x14ac:dyDescent="0.25">
      <c r="A726" s="31"/>
      <c r="B726" s="37" t="s">
        <v>85</v>
      </c>
      <c r="C726" s="248" t="s">
        <v>1123</v>
      </c>
      <c r="D726" s="249"/>
      <c r="E726" s="249"/>
      <c r="F726" s="249"/>
      <c r="G726" s="249"/>
      <c r="H726" s="249"/>
      <c r="I726" s="249"/>
      <c r="J726" s="249"/>
      <c r="K726" s="250"/>
      <c r="BX726" s="32" t="s">
        <v>1123</v>
      </c>
    </row>
    <row r="727" spans="1:76" x14ac:dyDescent="0.25">
      <c r="A727" s="2" t="s">
        <v>1124</v>
      </c>
      <c r="B727" s="3" t="s">
        <v>1125</v>
      </c>
      <c r="C727" s="230" t="s">
        <v>1126</v>
      </c>
      <c r="D727" s="225"/>
      <c r="E727" s="3" t="s">
        <v>90</v>
      </c>
      <c r="F727" s="28">
        <v>2.1760000000000002</v>
      </c>
      <c r="G727" s="28">
        <v>0</v>
      </c>
      <c r="H727" s="28">
        <f>ROUND(F727*AO727,2)</f>
        <v>0</v>
      </c>
      <c r="I727" s="28">
        <f>ROUND(F727*AP727,2)</f>
        <v>0</v>
      </c>
      <c r="J727" s="28">
        <f>ROUND(F727*G727,2)</f>
        <v>0</v>
      </c>
      <c r="K727" s="29" t="s">
        <v>70</v>
      </c>
      <c r="Z727" s="28">
        <f>ROUND(IF(AQ727="5",BJ727,0),2)</f>
        <v>0</v>
      </c>
      <c r="AB727" s="28">
        <f>ROUND(IF(AQ727="1",BH727,0),2)</f>
        <v>0</v>
      </c>
      <c r="AC727" s="28">
        <f>ROUND(IF(AQ727="1",BI727,0),2)</f>
        <v>0</v>
      </c>
      <c r="AD727" s="28">
        <f>ROUND(IF(AQ727="7",BH727,0),2)</f>
        <v>0</v>
      </c>
      <c r="AE727" s="28">
        <f>ROUND(IF(AQ727="7",BI727,0),2)</f>
        <v>0</v>
      </c>
      <c r="AF727" s="28">
        <f>ROUND(IF(AQ727="2",BH727,0),2)</f>
        <v>0</v>
      </c>
      <c r="AG727" s="28">
        <f>ROUND(IF(AQ727="2",BI727,0),2)</f>
        <v>0</v>
      </c>
      <c r="AH727" s="28">
        <f>ROUND(IF(AQ727="0",BJ727,0),2)</f>
        <v>0</v>
      </c>
      <c r="AI727" s="10" t="s">
        <v>1084</v>
      </c>
      <c r="AJ727" s="28">
        <f>IF(AN727=0,J727,0)</f>
        <v>0</v>
      </c>
      <c r="AK727" s="28">
        <f>IF(AN727=12,J727,0)</f>
        <v>0</v>
      </c>
      <c r="AL727" s="28">
        <f>IF(AN727=21,J727,0)</f>
        <v>0</v>
      </c>
      <c r="AN727" s="28">
        <v>21</v>
      </c>
      <c r="AO727" s="28">
        <f>G727*0</f>
        <v>0</v>
      </c>
      <c r="AP727" s="28">
        <f>G727*(1-0)</f>
        <v>0</v>
      </c>
      <c r="AQ727" s="30" t="s">
        <v>91</v>
      </c>
      <c r="AV727" s="28">
        <f>ROUND(AW727+AX727,2)</f>
        <v>0</v>
      </c>
      <c r="AW727" s="28">
        <f>ROUND(F727*AO727,2)</f>
        <v>0</v>
      </c>
      <c r="AX727" s="28">
        <f>ROUND(F727*AP727,2)</f>
        <v>0</v>
      </c>
      <c r="AY727" s="30" t="s">
        <v>1119</v>
      </c>
      <c r="AZ727" s="30" t="s">
        <v>1120</v>
      </c>
      <c r="BA727" s="10" t="s">
        <v>1091</v>
      </c>
      <c r="BC727" s="28">
        <f>AW727+AX727</f>
        <v>0</v>
      </c>
      <c r="BD727" s="28">
        <f>G727/(100-BE727)*100</f>
        <v>0</v>
      </c>
      <c r="BE727" s="28">
        <v>0</v>
      </c>
      <c r="BF727" s="28">
        <f>727</f>
        <v>727</v>
      </c>
      <c r="BH727" s="28">
        <f>F727*AO727</f>
        <v>0</v>
      </c>
      <c r="BI727" s="28">
        <f>F727*AP727</f>
        <v>0</v>
      </c>
      <c r="BJ727" s="28">
        <f>F727*G727</f>
        <v>0</v>
      </c>
      <c r="BK727" s="28"/>
      <c r="BL727" s="28">
        <v>45</v>
      </c>
      <c r="BW727" s="28">
        <v>21</v>
      </c>
      <c r="BX727" s="4" t="s">
        <v>1126</v>
      </c>
    </row>
    <row r="728" spans="1:76" x14ac:dyDescent="0.25">
      <c r="A728" s="24" t="s">
        <v>52</v>
      </c>
      <c r="B728" s="25" t="s">
        <v>1127</v>
      </c>
      <c r="C728" s="246" t="s">
        <v>1128</v>
      </c>
      <c r="D728" s="247"/>
      <c r="E728" s="26" t="s">
        <v>33</v>
      </c>
      <c r="F728" s="26" t="s">
        <v>33</v>
      </c>
      <c r="G728" s="26" t="s">
        <v>33</v>
      </c>
      <c r="H728" s="1">
        <f>SUM(H729:H739)</f>
        <v>0</v>
      </c>
      <c r="I728" s="1">
        <f>SUM(I729:I739)</f>
        <v>0</v>
      </c>
      <c r="J728" s="1">
        <f>SUM(J729:J739)</f>
        <v>0</v>
      </c>
      <c r="K728" s="27" t="s">
        <v>52</v>
      </c>
      <c r="AI728" s="10" t="s">
        <v>1084</v>
      </c>
      <c r="AS728" s="1">
        <f>SUM(AJ729:AJ739)</f>
        <v>0</v>
      </c>
      <c r="AT728" s="1">
        <f>SUM(AK729:AK739)</f>
        <v>0</v>
      </c>
      <c r="AU728" s="1">
        <f>SUM(AL729:AL739)</f>
        <v>0</v>
      </c>
    </row>
    <row r="729" spans="1:76" x14ac:dyDescent="0.25">
      <c r="A729" s="2" t="s">
        <v>1129</v>
      </c>
      <c r="B729" s="3" t="s">
        <v>1130</v>
      </c>
      <c r="C729" s="230" t="s">
        <v>1131</v>
      </c>
      <c r="D729" s="225"/>
      <c r="E729" s="3" t="s">
        <v>205</v>
      </c>
      <c r="F729" s="28">
        <v>17.600000000000001</v>
      </c>
      <c r="G729" s="28">
        <v>0</v>
      </c>
      <c r="H729" s="28">
        <f>ROUND(F729*AO729,2)</f>
        <v>0</v>
      </c>
      <c r="I729" s="28">
        <f>ROUND(F729*AP729,2)</f>
        <v>0</v>
      </c>
      <c r="J729" s="28">
        <f>ROUND(F729*G729,2)</f>
        <v>0</v>
      </c>
      <c r="K729" s="29" t="s">
        <v>70</v>
      </c>
      <c r="Z729" s="28">
        <f>ROUND(IF(AQ729="5",BJ729,0),2)</f>
        <v>0</v>
      </c>
      <c r="AB729" s="28">
        <f>ROUND(IF(AQ729="1",BH729,0),2)</f>
        <v>0</v>
      </c>
      <c r="AC729" s="28">
        <f>ROUND(IF(AQ729="1",BI729,0),2)</f>
        <v>0</v>
      </c>
      <c r="AD729" s="28">
        <f>ROUND(IF(AQ729="7",BH729,0),2)</f>
        <v>0</v>
      </c>
      <c r="AE729" s="28">
        <f>ROUND(IF(AQ729="7",BI729,0),2)</f>
        <v>0</v>
      </c>
      <c r="AF729" s="28">
        <f>ROUND(IF(AQ729="2",BH729,0),2)</f>
        <v>0</v>
      </c>
      <c r="AG729" s="28">
        <f>ROUND(IF(AQ729="2",BI729,0),2)</f>
        <v>0</v>
      </c>
      <c r="AH729" s="28">
        <f>ROUND(IF(AQ729="0",BJ729,0),2)</f>
        <v>0</v>
      </c>
      <c r="AI729" s="10" t="s">
        <v>1084</v>
      </c>
      <c r="AJ729" s="28">
        <f>IF(AN729=0,J729,0)</f>
        <v>0</v>
      </c>
      <c r="AK729" s="28">
        <f>IF(AN729=12,J729,0)</f>
        <v>0</v>
      </c>
      <c r="AL729" s="28">
        <f>IF(AN729=21,J729,0)</f>
        <v>0</v>
      </c>
      <c r="AN729" s="28">
        <v>21</v>
      </c>
      <c r="AO729" s="28">
        <f>G729*0.59807356</f>
        <v>0</v>
      </c>
      <c r="AP729" s="28">
        <f>G729*(1-0.59807356)</f>
        <v>0</v>
      </c>
      <c r="AQ729" s="30" t="s">
        <v>111</v>
      </c>
      <c r="AV729" s="28">
        <f>ROUND(AW729+AX729,2)</f>
        <v>0</v>
      </c>
      <c r="AW729" s="28">
        <f>ROUND(F729*AO729,2)</f>
        <v>0</v>
      </c>
      <c r="AX729" s="28">
        <f>ROUND(F729*AP729,2)</f>
        <v>0</v>
      </c>
      <c r="AY729" s="30" t="s">
        <v>1132</v>
      </c>
      <c r="AZ729" s="30" t="s">
        <v>1133</v>
      </c>
      <c r="BA729" s="10" t="s">
        <v>1091</v>
      </c>
      <c r="BC729" s="28">
        <f>AW729+AX729</f>
        <v>0</v>
      </c>
      <c r="BD729" s="28">
        <f>G729/(100-BE729)*100</f>
        <v>0</v>
      </c>
      <c r="BE729" s="28">
        <v>0</v>
      </c>
      <c r="BF729" s="28">
        <f>729</f>
        <v>729</v>
      </c>
      <c r="BH729" s="28">
        <f>F729*AO729</f>
        <v>0</v>
      </c>
      <c r="BI729" s="28">
        <f>F729*AP729</f>
        <v>0</v>
      </c>
      <c r="BJ729" s="28">
        <f>F729*G729</f>
        <v>0</v>
      </c>
      <c r="BK729" s="28"/>
      <c r="BL729" s="28">
        <v>721</v>
      </c>
      <c r="BW729" s="28">
        <v>21</v>
      </c>
      <c r="BX729" s="4" t="s">
        <v>1131</v>
      </c>
    </row>
    <row r="730" spans="1:76" x14ac:dyDescent="0.25">
      <c r="A730" s="31"/>
      <c r="C730" s="34" t="s">
        <v>1134</v>
      </c>
      <c r="D730" s="33" t="s">
        <v>1093</v>
      </c>
      <c r="F730" s="35">
        <v>17.600000000000001</v>
      </c>
      <c r="K730" s="36"/>
    </row>
    <row r="731" spans="1:76" x14ac:dyDescent="0.25">
      <c r="A731" s="38" t="s">
        <v>1135</v>
      </c>
      <c r="B731" s="39" t="s">
        <v>1136</v>
      </c>
      <c r="C731" s="251" t="s">
        <v>1137</v>
      </c>
      <c r="D731" s="252"/>
      <c r="E731" s="39" t="s">
        <v>308</v>
      </c>
      <c r="F731" s="41">
        <v>4</v>
      </c>
      <c r="G731" s="41">
        <v>0</v>
      </c>
      <c r="H731" s="41">
        <f>ROUND(F731*AO731,2)</f>
        <v>0</v>
      </c>
      <c r="I731" s="41">
        <f>ROUND(F731*AP731,2)</f>
        <v>0</v>
      </c>
      <c r="J731" s="41">
        <f>ROUND(F731*G731,2)</f>
        <v>0</v>
      </c>
      <c r="K731" s="42" t="s">
        <v>70</v>
      </c>
      <c r="Z731" s="28">
        <f>ROUND(IF(AQ731="5",BJ731,0),2)</f>
        <v>0</v>
      </c>
      <c r="AB731" s="28">
        <f>ROUND(IF(AQ731="1",BH731,0),2)</f>
        <v>0</v>
      </c>
      <c r="AC731" s="28">
        <f>ROUND(IF(AQ731="1",BI731,0),2)</f>
        <v>0</v>
      </c>
      <c r="AD731" s="28">
        <f>ROUND(IF(AQ731="7",BH731,0),2)</f>
        <v>0</v>
      </c>
      <c r="AE731" s="28">
        <f>ROUND(IF(AQ731="7",BI731,0),2)</f>
        <v>0</v>
      </c>
      <c r="AF731" s="28">
        <f>ROUND(IF(AQ731="2",BH731,0),2)</f>
        <v>0</v>
      </c>
      <c r="AG731" s="28">
        <f>ROUND(IF(AQ731="2",BI731,0),2)</f>
        <v>0</v>
      </c>
      <c r="AH731" s="28">
        <f>ROUND(IF(AQ731="0",BJ731,0),2)</f>
        <v>0</v>
      </c>
      <c r="AI731" s="10" t="s">
        <v>1084</v>
      </c>
      <c r="AJ731" s="41">
        <f>IF(AN731=0,J731,0)</f>
        <v>0</v>
      </c>
      <c r="AK731" s="41">
        <f>IF(AN731=12,J731,0)</f>
        <v>0</v>
      </c>
      <c r="AL731" s="41">
        <f>IF(AN731=21,J731,0)</f>
        <v>0</v>
      </c>
      <c r="AN731" s="28">
        <v>21</v>
      </c>
      <c r="AO731" s="28">
        <f>G731*1</f>
        <v>0</v>
      </c>
      <c r="AP731" s="28">
        <f>G731*(1-1)</f>
        <v>0</v>
      </c>
      <c r="AQ731" s="43" t="s">
        <v>111</v>
      </c>
      <c r="AV731" s="28">
        <f>ROUND(AW731+AX731,2)</f>
        <v>0</v>
      </c>
      <c r="AW731" s="28">
        <f>ROUND(F731*AO731,2)</f>
        <v>0</v>
      </c>
      <c r="AX731" s="28">
        <f>ROUND(F731*AP731,2)</f>
        <v>0</v>
      </c>
      <c r="AY731" s="30" t="s">
        <v>1132</v>
      </c>
      <c r="AZ731" s="30" t="s">
        <v>1133</v>
      </c>
      <c r="BA731" s="10" t="s">
        <v>1091</v>
      </c>
      <c r="BC731" s="28">
        <f>AW731+AX731</f>
        <v>0</v>
      </c>
      <c r="BD731" s="28">
        <f>G731/(100-BE731)*100</f>
        <v>0</v>
      </c>
      <c r="BE731" s="28">
        <v>0</v>
      </c>
      <c r="BF731" s="28">
        <f>731</f>
        <v>731</v>
      </c>
      <c r="BH731" s="41">
        <f>F731*AO731</f>
        <v>0</v>
      </c>
      <c r="BI731" s="41">
        <f>F731*AP731</f>
        <v>0</v>
      </c>
      <c r="BJ731" s="41">
        <f>F731*G731</f>
        <v>0</v>
      </c>
      <c r="BK731" s="41"/>
      <c r="BL731" s="28">
        <v>721</v>
      </c>
      <c r="BW731" s="28">
        <v>21</v>
      </c>
      <c r="BX731" s="40" t="s">
        <v>1137</v>
      </c>
    </row>
    <row r="732" spans="1:76" x14ac:dyDescent="0.25">
      <c r="A732" s="31"/>
      <c r="C732" s="34" t="s">
        <v>1138</v>
      </c>
      <c r="D732" s="33" t="s">
        <v>52</v>
      </c>
      <c r="F732" s="35">
        <v>4</v>
      </c>
      <c r="K732" s="36"/>
    </row>
    <row r="733" spans="1:76" ht="140.25" x14ac:dyDescent="0.25">
      <c r="A733" s="31"/>
      <c r="B733" s="37" t="s">
        <v>85</v>
      </c>
      <c r="C733" s="248" t="s">
        <v>1139</v>
      </c>
      <c r="D733" s="249"/>
      <c r="E733" s="249"/>
      <c r="F733" s="249"/>
      <c r="G733" s="249"/>
      <c r="H733" s="249"/>
      <c r="I733" s="249"/>
      <c r="J733" s="249"/>
      <c r="K733" s="250"/>
      <c r="BX733" s="44" t="s">
        <v>1139</v>
      </c>
    </row>
    <row r="734" spans="1:76" x14ac:dyDescent="0.25">
      <c r="A734" s="38" t="s">
        <v>1140</v>
      </c>
      <c r="B734" s="39" t="s">
        <v>1141</v>
      </c>
      <c r="C734" s="251" t="s">
        <v>1142</v>
      </c>
      <c r="D734" s="252"/>
      <c r="E734" s="39" t="s">
        <v>308</v>
      </c>
      <c r="F734" s="41">
        <v>2</v>
      </c>
      <c r="G734" s="41">
        <v>0</v>
      </c>
      <c r="H734" s="41">
        <f>ROUND(F734*AO734,2)</f>
        <v>0</v>
      </c>
      <c r="I734" s="41">
        <f>ROUND(F734*AP734,2)</f>
        <v>0</v>
      </c>
      <c r="J734" s="41">
        <f>ROUND(F734*G734,2)</f>
        <v>0</v>
      </c>
      <c r="K734" s="42" t="s">
        <v>70</v>
      </c>
      <c r="Z734" s="28">
        <f>ROUND(IF(AQ734="5",BJ734,0),2)</f>
        <v>0</v>
      </c>
      <c r="AB734" s="28">
        <f>ROUND(IF(AQ734="1",BH734,0),2)</f>
        <v>0</v>
      </c>
      <c r="AC734" s="28">
        <f>ROUND(IF(AQ734="1",BI734,0),2)</f>
        <v>0</v>
      </c>
      <c r="AD734" s="28">
        <f>ROUND(IF(AQ734="7",BH734,0),2)</f>
        <v>0</v>
      </c>
      <c r="AE734" s="28">
        <f>ROUND(IF(AQ734="7",BI734,0),2)</f>
        <v>0</v>
      </c>
      <c r="AF734" s="28">
        <f>ROUND(IF(AQ734="2",BH734,0),2)</f>
        <v>0</v>
      </c>
      <c r="AG734" s="28">
        <f>ROUND(IF(AQ734="2",BI734,0),2)</f>
        <v>0</v>
      </c>
      <c r="AH734" s="28">
        <f>ROUND(IF(AQ734="0",BJ734,0),2)</f>
        <v>0</v>
      </c>
      <c r="AI734" s="10" t="s">
        <v>1084</v>
      </c>
      <c r="AJ734" s="41">
        <f>IF(AN734=0,J734,0)</f>
        <v>0</v>
      </c>
      <c r="AK734" s="41">
        <f>IF(AN734=12,J734,0)</f>
        <v>0</v>
      </c>
      <c r="AL734" s="41">
        <f>IF(AN734=21,J734,0)</f>
        <v>0</v>
      </c>
      <c r="AN734" s="28">
        <v>21</v>
      </c>
      <c r="AO734" s="28">
        <f>G734*1</f>
        <v>0</v>
      </c>
      <c r="AP734" s="28">
        <f>G734*(1-1)</f>
        <v>0</v>
      </c>
      <c r="AQ734" s="43" t="s">
        <v>111</v>
      </c>
      <c r="AV734" s="28">
        <f>ROUND(AW734+AX734,2)</f>
        <v>0</v>
      </c>
      <c r="AW734" s="28">
        <f>ROUND(F734*AO734,2)</f>
        <v>0</v>
      </c>
      <c r="AX734" s="28">
        <f>ROUND(F734*AP734,2)</f>
        <v>0</v>
      </c>
      <c r="AY734" s="30" t="s">
        <v>1132</v>
      </c>
      <c r="AZ734" s="30" t="s">
        <v>1133</v>
      </c>
      <c r="BA734" s="10" t="s">
        <v>1091</v>
      </c>
      <c r="BC734" s="28">
        <f>AW734+AX734</f>
        <v>0</v>
      </c>
      <c r="BD734" s="28">
        <f>G734/(100-BE734)*100</f>
        <v>0</v>
      </c>
      <c r="BE734" s="28">
        <v>0</v>
      </c>
      <c r="BF734" s="28">
        <f>734</f>
        <v>734</v>
      </c>
      <c r="BH734" s="41">
        <f>F734*AO734</f>
        <v>0</v>
      </c>
      <c r="BI734" s="41">
        <f>F734*AP734</f>
        <v>0</v>
      </c>
      <c r="BJ734" s="41">
        <f>F734*G734</f>
        <v>0</v>
      </c>
      <c r="BK734" s="41"/>
      <c r="BL734" s="28">
        <v>721</v>
      </c>
      <c r="BW734" s="28">
        <v>21</v>
      </c>
      <c r="BX734" s="40" t="s">
        <v>1142</v>
      </c>
    </row>
    <row r="735" spans="1:76" x14ac:dyDescent="0.25">
      <c r="A735" s="31"/>
      <c r="C735" s="34" t="s">
        <v>60</v>
      </c>
      <c r="D735" s="33" t="s">
        <v>52</v>
      </c>
      <c r="F735" s="35">
        <v>2</v>
      </c>
      <c r="K735" s="36"/>
    </row>
    <row r="736" spans="1:76" ht="140.25" x14ac:dyDescent="0.25">
      <c r="A736" s="31"/>
      <c r="B736" s="37" t="s">
        <v>85</v>
      </c>
      <c r="C736" s="248" t="s">
        <v>1139</v>
      </c>
      <c r="D736" s="249"/>
      <c r="E736" s="249"/>
      <c r="F736" s="249"/>
      <c r="G736" s="249"/>
      <c r="H736" s="249"/>
      <c r="I736" s="249"/>
      <c r="J736" s="249"/>
      <c r="K736" s="250"/>
      <c r="BX736" s="44" t="s">
        <v>1139</v>
      </c>
    </row>
    <row r="737" spans="1:76" x14ac:dyDescent="0.25">
      <c r="A737" s="2" t="s">
        <v>1143</v>
      </c>
      <c r="B737" s="3" t="s">
        <v>1144</v>
      </c>
      <c r="C737" s="230" t="s">
        <v>1145</v>
      </c>
      <c r="D737" s="225"/>
      <c r="E737" s="3" t="s">
        <v>308</v>
      </c>
      <c r="F737" s="28">
        <v>2</v>
      </c>
      <c r="G737" s="28">
        <v>0</v>
      </c>
      <c r="H737" s="28">
        <f>ROUND(F737*AO737,2)</f>
        <v>0</v>
      </c>
      <c r="I737" s="28">
        <f>ROUND(F737*AP737,2)</f>
        <v>0</v>
      </c>
      <c r="J737" s="28">
        <f>ROUND(F737*G737,2)</f>
        <v>0</v>
      </c>
      <c r="K737" s="29" t="s">
        <v>70</v>
      </c>
      <c r="Z737" s="28">
        <f>ROUND(IF(AQ737="5",BJ737,0),2)</f>
        <v>0</v>
      </c>
      <c r="AB737" s="28">
        <f>ROUND(IF(AQ737="1",BH737,0),2)</f>
        <v>0</v>
      </c>
      <c r="AC737" s="28">
        <f>ROUND(IF(AQ737="1",BI737,0),2)</f>
        <v>0</v>
      </c>
      <c r="AD737" s="28">
        <f>ROUND(IF(AQ737="7",BH737,0),2)</f>
        <v>0</v>
      </c>
      <c r="AE737" s="28">
        <f>ROUND(IF(AQ737="7",BI737,0),2)</f>
        <v>0</v>
      </c>
      <c r="AF737" s="28">
        <f>ROUND(IF(AQ737="2",BH737,0),2)</f>
        <v>0</v>
      </c>
      <c r="AG737" s="28">
        <f>ROUND(IF(AQ737="2",BI737,0),2)</f>
        <v>0</v>
      </c>
      <c r="AH737" s="28">
        <f>ROUND(IF(AQ737="0",BJ737,0),2)</f>
        <v>0</v>
      </c>
      <c r="AI737" s="10" t="s">
        <v>1084</v>
      </c>
      <c r="AJ737" s="28">
        <f>IF(AN737=0,J737,0)</f>
        <v>0</v>
      </c>
      <c r="AK737" s="28">
        <f>IF(AN737=12,J737,0)</f>
        <v>0</v>
      </c>
      <c r="AL737" s="28">
        <f>IF(AN737=21,J737,0)</f>
        <v>0</v>
      </c>
      <c r="AN737" s="28">
        <v>21</v>
      </c>
      <c r="AO737" s="28">
        <f>G737*0.887655192</f>
        <v>0</v>
      </c>
      <c r="AP737" s="28">
        <f>G737*(1-0.887655192)</f>
        <v>0</v>
      </c>
      <c r="AQ737" s="30" t="s">
        <v>111</v>
      </c>
      <c r="AV737" s="28">
        <f>ROUND(AW737+AX737,2)</f>
        <v>0</v>
      </c>
      <c r="AW737" s="28">
        <f>ROUND(F737*AO737,2)</f>
        <v>0</v>
      </c>
      <c r="AX737" s="28">
        <f>ROUND(F737*AP737,2)</f>
        <v>0</v>
      </c>
      <c r="AY737" s="30" t="s">
        <v>1132</v>
      </c>
      <c r="AZ737" s="30" t="s">
        <v>1133</v>
      </c>
      <c r="BA737" s="10" t="s">
        <v>1091</v>
      </c>
      <c r="BC737" s="28">
        <f>AW737+AX737</f>
        <v>0</v>
      </c>
      <c r="BD737" s="28">
        <f>G737/(100-BE737)*100</f>
        <v>0</v>
      </c>
      <c r="BE737" s="28">
        <v>0</v>
      </c>
      <c r="BF737" s="28">
        <f>737</f>
        <v>737</v>
      </c>
      <c r="BH737" s="28">
        <f>F737*AO737</f>
        <v>0</v>
      </c>
      <c r="BI737" s="28">
        <f>F737*AP737</f>
        <v>0</v>
      </c>
      <c r="BJ737" s="28">
        <f>F737*G737</f>
        <v>0</v>
      </c>
      <c r="BK737" s="28"/>
      <c r="BL737" s="28">
        <v>721</v>
      </c>
      <c r="BW737" s="28">
        <v>21</v>
      </c>
      <c r="BX737" s="4" t="s">
        <v>1145</v>
      </c>
    </row>
    <row r="738" spans="1:76" x14ac:dyDescent="0.25">
      <c r="A738" s="31"/>
      <c r="C738" s="34" t="s">
        <v>60</v>
      </c>
      <c r="D738" s="33" t="s">
        <v>52</v>
      </c>
      <c r="F738" s="35">
        <v>2</v>
      </c>
      <c r="K738" s="36"/>
    </row>
    <row r="739" spans="1:76" x14ac:dyDescent="0.25">
      <c r="A739" s="2" t="s">
        <v>1146</v>
      </c>
      <c r="B739" s="3" t="s">
        <v>1147</v>
      </c>
      <c r="C739" s="230" t="s">
        <v>1148</v>
      </c>
      <c r="D739" s="225"/>
      <c r="E739" s="3" t="s">
        <v>380</v>
      </c>
      <c r="F739" s="28">
        <v>291.33999999999997</v>
      </c>
      <c r="G739" s="28">
        <v>0</v>
      </c>
      <c r="H739" s="28">
        <f>ROUND(F739*AO739,2)</f>
        <v>0</v>
      </c>
      <c r="I739" s="28">
        <f>ROUND(F739*AP739,2)</f>
        <v>0</v>
      </c>
      <c r="J739" s="28">
        <f>ROUND(F739*G739,2)</f>
        <v>0</v>
      </c>
      <c r="K739" s="29" t="s">
        <v>70</v>
      </c>
      <c r="Z739" s="28">
        <f>ROUND(IF(AQ739="5",BJ739,0),2)</f>
        <v>0</v>
      </c>
      <c r="AB739" s="28">
        <f>ROUND(IF(AQ739="1",BH739,0),2)</f>
        <v>0</v>
      </c>
      <c r="AC739" s="28">
        <f>ROUND(IF(AQ739="1",BI739,0),2)</f>
        <v>0</v>
      </c>
      <c r="AD739" s="28">
        <f>ROUND(IF(AQ739="7",BH739,0),2)</f>
        <v>0</v>
      </c>
      <c r="AE739" s="28">
        <f>ROUND(IF(AQ739="7",BI739,0),2)</f>
        <v>0</v>
      </c>
      <c r="AF739" s="28">
        <f>ROUND(IF(AQ739="2",BH739,0),2)</f>
        <v>0</v>
      </c>
      <c r="AG739" s="28">
        <f>ROUND(IF(AQ739="2",BI739,0),2)</f>
        <v>0</v>
      </c>
      <c r="AH739" s="28">
        <f>ROUND(IF(AQ739="0",BJ739,0),2)</f>
        <v>0</v>
      </c>
      <c r="AI739" s="10" t="s">
        <v>1084</v>
      </c>
      <c r="AJ739" s="28">
        <f>IF(AN739=0,J739,0)</f>
        <v>0</v>
      </c>
      <c r="AK739" s="28">
        <f>IF(AN739=12,J739,0)</f>
        <v>0</v>
      </c>
      <c r="AL739" s="28">
        <f>IF(AN739=21,J739,0)</f>
        <v>0</v>
      </c>
      <c r="AN739" s="28">
        <v>21</v>
      </c>
      <c r="AO739" s="28">
        <f>G739*0</f>
        <v>0</v>
      </c>
      <c r="AP739" s="28">
        <f>G739*(1-0)</f>
        <v>0</v>
      </c>
      <c r="AQ739" s="30" t="s">
        <v>91</v>
      </c>
      <c r="AV739" s="28">
        <f>ROUND(AW739+AX739,2)</f>
        <v>0</v>
      </c>
      <c r="AW739" s="28">
        <f>ROUND(F739*AO739,2)</f>
        <v>0</v>
      </c>
      <c r="AX739" s="28">
        <f>ROUND(F739*AP739,2)</f>
        <v>0</v>
      </c>
      <c r="AY739" s="30" t="s">
        <v>1132</v>
      </c>
      <c r="AZ739" s="30" t="s">
        <v>1133</v>
      </c>
      <c r="BA739" s="10" t="s">
        <v>1091</v>
      </c>
      <c r="BC739" s="28">
        <f>AW739+AX739</f>
        <v>0</v>
      </c>
      <c r="BD739" s="28">
        <f>G739/(100-BE739)*100</f>
        <v>0</v>
      </c>
      <c r="BE739" s="28">
        <v>0</v>
      </c>
      <c r="BF739" s="28">
        <f>739</f>
        <v>739</v>
      </c>
      <c r="BH739" s="28">
        <f>F739*AO739</f>
        <v>0</v>
      </c>
      <c r="BI739" s="28">
        <f>F739*AP739</f>
        <v>0</v>
      </c>
      <c r="BJ739" s="28">
        <f>F739*G739</f>
        <v>0</v>
      </c>
      <c r="BK739" s="28"/>
      <c r="BL739" s="28">
        <v>721</v>
      </c>
      <c r="BW739" s="28">
        <v>21</v>
      </c>
      <c r="BX739" s="4" t="s">
        <v>1148</v>
      </c>
    </row>
    <row r="740" spans="1:76" x14ac:dyDescent="0.25">
      <c r="A740" s="31"/>
      <c r="C740" s="34" t="s">
        <v>1149</v>
      </c>
      <c r="D740" s="33" t="s">
        <v>52</v>
      </c>
      <c r="F740" s="35">
        <v>291.33999999999997</v>
      </c>
      <c r="K740" s="36"/>
    </row>
    <row r="741" spans="1:76" x14ac:dyDescent="0.25">
      <c r="A741" s="24" t="s">
        <v>52</v>
      </c>
      <c r="B741" s="25" t="s">
        <v>555</v>
      </c>
      <c r="C741" s="246" t="s">
        <v>1150</v>
      </c>
      <c r="D741" s="247"/>
      <c r="E741" s="26" t="s">
        <v>33</v>
      </c>
      <c r="F741" s="26" t="s">
        <v>33</v>
      </c>
      <c r="G741" s="26" t="s">
        <v>33</v>
      </c>
      <c r="H741" s="1">
        <f>SUM(H742:H752)</f>
        <v>0</v>
      </c>
      <c r="I741" s="1">
        <f>SUM(I742:I752)</f>
        <v>0</v>
      </c>
      <c r="J741" s="1">
        <f>SUM(J742:J752)</f>
        <v>0</v>
      </c>
      <c r="K741" s="27" t="s">
        <v>52</v>
      </c>
      <c r="AI741" s="10" t="s">
        <v>1084</v>
      </c>
      <c r="AS741" s="1">
        <f>SUM(AJ742:AJ752)</f>
        <v>0</v>
      </c>
      <c r="AT741" s="1">
        <f>SUM(AK742:AK752)</f>
        <v>0</v>
      </c>
      <c r="AU741" s="1">
        <f>SUM(AL742:AL752)</f>
        <v>0</v>
      </c>
    </row>
    <row r="742" spans="1:76" x14ac:dyDescent="0.25">
      <c r="A742" s="2" t="s">
        <v>1151</v>
      </c>
      <c r="B742" s="3" t="s">
        <v>1152</v>
      </c>
      <c r="C742" s="230" t="s">
        <v>1153</v>
      </c>
      <c r="D742" s="225"/>
      <c r="E742" s="3" t="s">
        <v>308</v>
      </c>
      <c r="F742" s="28">
        <v>1</v>
      </c>
      <c r="G742" s="28">
        <v>0</v>
      </c>
      <c r="H742" s="28">
        <f>ROUND(F742*AO742,2)</f>
        <v>0</v>
      </c>
      <c r="I742" s="28">
        <f>ROUND(F742*AP742,2)</f>
        <v>0</v>
      </c>
      <c r="J742" s="28">
        <f>ROUND(F742*G742,2)</f>
        <v>0</v>
      </c>
      <c r="K742" s="29" t="s">
        <v>70</v>
      </c>
      <c r="Z742" s="28">
        <f>ROUND(IF(AQ742="5",BJ742,0),2)</f>
        <v>0</v>
      </c>
      <c r="AB742" s="28">
        <f>ROUND(IF(AQ742="1",BH742,0),2)</f>
        <v>0</v>
      </c>
      <c r="AC742" s="28">
        <f>ROUND(IF(AQ742="1",BI742,0),2)</f>
        <v>0</v>
      </c>
      <c r="AD742" s="28">
        <f>ROUND(IF(AQ742="7",BH742,0),2)</f>
        <v>0</v>
      </c>
      <c r="AE742" s="28">
        <f>ROUND(IF(AQ742="7",BI742,0),2)</f>
        <v>0</v>
      </c>
      <c r="AF742" s="28">
        <f>ROUND(IF(AQ742="2",BH742,0),2)</f>
        <v>0</v>
      </c>
      <c r="AG742" s="28">
        <f>ROUND(IF(AQ742="2",BI742,0),2)</f>
        <v>0</v>
      </c>
      <c r="AH742" s="28">
        <f>ROUND(IF(AQ742="0",BJ742,0),2)</f>
        <v>0</v>
      </c>
      <c r="AI742" s="10" t="s">
        <v>1084</v>
      </c>
      <c r="AJ742" s="28">
        <f>IF(AN742=0,J742,0)</f>
        <v>0</v>
      </c>
      <c r="AK742" s="28">
        <f>IF(AN742=12,J742,0)</f>
        <v>0</v>
      </c>
      <c r="AL742" s="28">
        <f>IF(AN742=21,J742,0)</f>
        <v>0</v>
      </c>
      <c r="AN742" s="28">
        <v>21</v>
      </c>
      <c r="AO742" s="28">
        <f>G742*0</f>
        <v>0</v>
      </c>
      <c r="AP742" s="28">
        <f>G742*(1-0)</f>
        <v>0</v>
      </c>
      <c r="AQ742" s="30" t="s">
        <v>57</v>
      </c>
      <c r="AV742" s="28">
        <f>ROUND(AW742+AX742,2)</f>
        <v>0</v>
      </c>
      <c r="AW742" s="28">
        <f>ROUND(F742*AO742,2)</f>
        <v>0</v>
      </c>
      <c r="AX742" s="28">
        <f>ROUND(F742*AP742,2)</f>
        <v>0</v>
      </c>
      <c r="AY742" s="30" t="s">
        <v>1154</v>
      </c>
      <c r="AZ742" s="30" t="s">
        <v>1155</v>
      </c>
      <c r="BA742" s="10" t="s">
        <v>1091</v>
      </c>
      <c r="BC742" s="28">
        <f>AW742+AX742</f>
        <v>0</v>
      </c>
      <c r="BD742" s="28">
        <f>G742/(100-BE742)*100</f>
        <v>0</v>
      </c>
      <c r="BE742" s="28">
        <v>0</v>
      </c>
      <c r="BF742" s="28">
        <f>742</f>
        <v>742</v>
      </c>
      <c r="BH742" s="28">
        <f>F742*AO742</f>
        <v>0</v>
      </c>
      <c r="BI742" s="28">
        <f>F742*AP742</f>
        <v>0</v>
      </c>
      <c r="BJ742" s="28">
        <f>F742*G742</f>
        <v>0</v>
      </c>
      <c r="BK742" s="28"/>
      <c r="BL742" s="28">
        <v>89</v>
      </c>
      <c r="BW742" s="28">
        <v>21</v>
      </c>
      <c r="BX742" s="4" t="s">
        <v>1153</v>
      </c>
    </row>
    <row r="743" spans="1:76" ht="27" customHeight="1" x14ac:dyDescent="0.25">
      <c r="A743" s="31"/>
      <c r="C743" s="248" t="s">
        <v>1156</v>
      </c>
      <c r="D743" s="249"/>
      <c r="E743" s="249"/>
      <c r="F743" s="249"/>
      <c r="G743" s="249"/>
      <c r="H743" s="249"/>
      <c r="I743" s="249"/>
      <c r="J743" s="249"/>
      <c r="K743" s="250"/>
    </row>
    <row r="744" spans="1:76" x14ac:dyDescent="0.25">
      <c r="A744" s="31"/>
      <c r="C744" s="34" t="s">
        <v>57</v>
      </c>
      <c r="D744" s="33" t="s">
        <v>52</v>
      </c>
      <c r="F744" s="35">
        <v>1</v>
      </c>
      <c r="K744" s="36"/>
    </row>
    <row r="745" spans="1:76" ht="89.25" x14ac:dyDescent="0.25">
      <c r="A745" s="31"/>
      <c r="B745" s="37" t="s">
        <v>85</v>
      </c>
      <c r="C745" s="248" t="s">
        <v>1157</v>
      </c>
      <c r="D745" s="249"/>
      <c r="E745" s="249"/>
      <c r="F745" s="249"/>
      <c r="G745" s="249"/>
      <c r="H745" s="249"/>
      <c r="I745" s="249"/>
      <c r="J745" s="249"/>
      <c r="K745" s="250"/>
      <c r="BX745" s="32" t="s">
        <v>1157</v>
      </c>
    </row>
    <row r="746" spans="1:76" x14ac:dyDescent="0.25">
      <c r="A746" s="38" t="s">
        <v>1158</v>
      </c>
      <c r="B746" s="39" t="s">
        <v>1159</v>
      </c>
      <c r="C746" s="251" t="s">
        <v>1160</v>
      </c>
      <c r="D746" s="252"/>
      <c r="E746" s="39" t="s">
        <v>308</v>
      </c>
      <c r="F746" s="41">
        <v>1</v>
      </c>
      <c r="G746" s="41">
        <v>0</v>
      </c>
      <c r="H746" s="41">
        <f>ROUND(F746*AO746,2)</f>
        <v>0</v>
      </c>
      <c r="I746" s="41">
        <f>ROUND(F746*AP746,2)</f>
        <v>0</v>
      </c>
      <c r="J746" s="41">
        <f>ROUND(F746*G746,2)</f>
        <v>0</v>
      </c>
      <c r="K746" s="42" t="s">
        <v>70</v>
      </c>
      <c r="Z746" s="28">
        <f>ROUND(IF(AQ746="5",BJ746,0),2)</f>
        <v>0</v>
      </c>
      <c r="AB746" s="28">
        <f>ROUND(IF(AQ746="1",BH746,0),2)</f>
        <v>0</v>
      </c>
      <c r="AC746" s="28">
        <f>ROUND(IF(AQ746="1",BI746,0),2)</f>
        <v>0</v>
      </c>
      <c r="AD746" s="28">
        <f>ROUND(IF(AQ746="7",BH746,0),2)</f>
        <v>0</v>
      </c>
      <c r="AE746" s="28">
        <f>ROUND(IF(AQ746="7",BI746,0),2)</f>
        <v>0</v>
      </c>
      <c r="AF746" s="28">
        <f>ROUND(IF(AQ746="2",BH746,0),2)</f>
        <v>0</v>
      </c>
      <c r="AG746" s="28">
        <f>ROUND(IF(AQ746="2",BI746,0),2)</f>
        <v>0</v>
      </c>
      <c r="AH746" s="28">
        <f>ROUND(IF(AQ746="0",BJ746,0),2)</f>
        <v>0</v>
      </c>
      <c r="AI746" s="10" t="s">
        <v>1084</v>
      </c>
      <c r="AJ746" s="41">
        <f>IF(AN746=0,J746,0)</f>
        <v>0</v>
      </c>
      <c r="AK746" s="41">
        <f>IF(AN746=12,J746,0)</f>
        <v>0</v>
      </c>
      <c r="AL746" s="41">
        <f>IF(AN746=21,J746,0)</f>
        <v>0</v>
      </c>
      <c r="AN746" s="28">
        <v>21</v>
      </c>
      <c r="AO746" s="28">
        <f>G746*1</f>
        <v>0</v>
      </c>
      <c r="AP746" s="28">
        <f>G746*(1-1)</f>
        <v>0</v>
      </c>
      <c r="AQ746" s="43" t="s">
        <v>57</v>
      </c>
      <c r="AV746" s="28">
        <f>ROUND(AW746+AX746,2)</f>
        <v>0</v>
      </c>
      <c r="AW746" s="28">
        <f>ROUND(F746*AO746,2)</f>
        <v>0</v>
      </c>
      <c r="AX746" s="28">
        <f>ROUND(F746*AP746,2)</f>
        <v>0</v>
      </c>
      <c r="AY746" s="30" t="s">
        <v>1154</v>
      </c>
      <c r="AZ746" s="30" t="s">
        <v>1155</v>
      </c>
      <c r="BA746" s="10" t="s">
        <v>1091</v>
      </c>
      <c r="BC746" s="28">
        <f>AW746+AX746</f>
        <v>0</v>
      </c>
      <c r="BD746" s="28">
        <f>G746/(100-BE746)*100</f>
        <v>0</v>
      </c>
      <c r="BE746" s="28">
        <v>0</v>
      </c>
      <c r="BF746" s="28">
        <f>746</f>
        <v>746</v>
      </c>
      <c r="BH746" s="41">
        <f>F746*AO746</f>
        <v>0</v>
      </c>
      <c r="BI746" s="41">
        <f>F746*AP746</f>
        <v>0</v>
      </c>
      <c r="BJ746" s="41">
        <f>F746*G746</f>
        <v>0</v>
      </c>
      <c r="BK746" s="41"/>
      <c r="BL746" s="28">
        <v>89</v>
      </c>
      <c r="BW746" s="28">
        <v>21</v>
      </c>
      <c r="BX746" s="40" t="s">
        <v>1160</v>
      </c>
    </row>
    <row r="747" spans="1:76" x14ac:dyDescent="0.25">
      <c r="A747" s="31"/>
      <c r="C747" s="34" t="s">
        <v>57</v>
      </c>
      <c r="D747" s="33" t="s">
        <v>52</v>
      </c>
      <c r="F747" s="35">
        <v>1</v>
      </c>
      <c r="K747" s="36"/>
    </row>
    <row r="748" spans="1:76" ht="102" x14ac:dyDescent="0.25">
      <c r="A748" s="31"/>
      <c r="B748" s="37" t="s">
        <v>85</v>
      </c>
      <c r="C748" s="248" t="s">
        <v>1161</v>
      </c>
      <c r="D748" s="249"/>
      <c r="E748" s="249"/>
      <c r="F748" s="249"/>
      <c r="G748" s="249"/>
      <c r="H748" s="249"/>
      <c r="I748" s="249"/>
      <c r="J748" s="249"/>
      <c r="K748" s="250"/>
      <c r="BX748" s="44" t="s">
        <v>1161</v>
      </c>
    </row>
    <row r="749" spans="1:76" x14ac:dyDescent="0.25">
      <c r="A749" s="38" t="s">
        <v>1162</v>
      </c>
      <c r="B749" s="39" t="s">
        <v>1163</v>
      </c>
      <c r="C749" s="251" t="s">
        <v>1164</v>
      </c>
      <c r="D749" s="252"/>
      <c r="E749" s="39" t="s">
        <v>308</v>
      </c>
      <c r="F749" s="41">
        <v>1</v>
      </c>
      <c r="G749" s="41">
        <v>0</v>
      </c>
      <c r="H749" s="41">
        <f>ROUND(F749*AO749,2)</f>
        <v>0</v>
      </c>
      <c r="I749" s="41">
        <f>ROUND(F749*AP749,2)</f>
        <v>0</v>
      </c>
      <c r="J749" s="41">
        <f>ROUND(F749*G749,2)</f>
        <v>0</v>
      </c>
      <c r="K749" s="42" t="s">
        <v>70</v>
      </c>
      <c r="Z749" s="28">
        <f>ROUND(IF(AQ749="5",BJ749,0),2)</f>
        <v>0</v>
      </c>
      <c r="AB749" s="28">
        <f>ROUND(IF(AQ749="1",BH749,0),2)</f>
        <v>0</v>
      </c>
      <c r="AC749" s="28">
        <f>ROUND(IF(AQ749="1",BI749,0),2)</f>
        <v>0</v>
      </c>
      <c r="AD749" s="28">
        <f>ROUND(IF(AQ749="7",BH749,0),2)</f>
        <v>0</v>
      </c>
      <c r="AE749" s="28">
        <f>ROUND(IF(AQ749="7",BI749,0),2)</f>
        <v>0</v>
      </c>
      <c r="AF749" s="28">
        <f>ROUND(IF(AQ749="2",BH749,0),2)</f>
        <v>0</v>
      </c>
      <c r="AG749" s="28">
        <f>ROUND(IF(AQ749="2",BI749,0),2)</f>
        <v>0</v>
      </c>
      <c r="AH749" s="28">
        <f>ROUND(IF(AQ749="0",BJ749,0),2)</f>
        <v>0</v>
      </c>
      <c r="AI749" s="10" t="s">
        <v>1084</v>
      </c>
      <c r="AJ749" s="41">
        <f>IF(AN749=0,J749,0)</f>
        <v>0</v>
      </c>
      <c r="AK749" s="41">
        <f>IF(AN749=12,J749,0)</f>
        <v>0</v>
      </c>
      <c r="AL749" s="41">
        <f>IF(AN749=21,J749,0)</f>
        <v>0</v>
      </c>
      <c r="AN749" s="28">
        <v>21</v>
      </c>
      <c r="AO749" s="28">
        <f>G749*1</f>
        <v>0</v>
      </c>
      <c r="AP749" s="28">
        <f>G749*(1-1)</f>
        <v>0</v>
      </c>
      <c r="AQ749" s="43" t="s">
        <v>57</v>
      </c>
      <c r="AV749" s="28">
        <f>ROUND(AW749+AX749,2)</f>
        <v>0</v>
      </c>
      <c r="AW749" s="28">
        <f>ROUND(F749*AO749,2)</f>
        <v>0</v>
      </c>
      <c r="AX749" s="28">
        <f>ROUND(F749*AP749,2)</f>
        <v>0</v>
      </c>
      <c r="AY749" s="30" t="s">
        <v>1154</v>
      </c>
      <c r="AZ749" s="30" t="s">
        <v>1155</v>
      </c>
      <c r="BA749" s="10" t="s">
        <v>1091</v>
      </c>
      <c r="BC749" s="28">
        <f>AW749+AX749</f>
        <v>0</v>
      </c>
      <c r="BD749" s="28">
        <f>G749/(100-BE749)*100</f>
        <v>0</v>
      </c>
      <c r="BE749" s="28">
        <v>0</v>
      </c>
      <c r="BF749" s="28">
        <f>749</f>
        <v>749</v>
      </c>
      <c r="BH749" s="41">
        <f>F749*AO749</f>
        <v>0</v>
      </c>
      <c r="BI749" s="41">
        <f>F749*AP749</f>
        <v>0</v>
      </c>
      <c r="BJ749" s="41">
        <f>F749*G749</f>
        <v>0</v>
      </c>
      <c r="BK749" s="41"/>
      <c r="BL749" s="28">
        <v>89</v>
      </c>
      <c r="BW749" s="28">
        <v>21</v>
      </c>
      <c r="BX749" s="40" t="s">
        <v>1164</v>
      </c>
    </row>
    <row r="750" spans="1:76" x14ac:dyDescent="0.25">
      <c r="A750" s="31"/>
      <c r="C750" s="34" t="s">
        <v>57</v>
      </c>
      <c r="D750" s="33" t="s">
        <v>52</v>
      </c>
      <c r="F750" s="35">
        <v>1</v>
      </c>
      <c r="K750" s="36"/>
    </row>
    <row r="751" spans="1:76" ht="89.25" x14ac:dyDescent="0.25">
      <c r="A751" s="31"/>
      <c r="B751" s="37" t="s">
        <v>85</v>
      </c>
      <c r="C751" s="248" t="s">
        <v>1165</v>
      </c>
      <c r="D751" s="249"/>
      <c r="E751" s="249"/>
      <c r="F751" s="249"/>
      <c r="G751" s="249"/>
      <c r="H751" s="249"/>
      <c r="I751" s="249"/>
      <c r="J751" s="249"/>
      <c r="K751" s="250"/>
      <c r="BX751" s="44" t="s">
        <v>1165</v>
      </c>
    </row>
    <row r="752" spans="1:76" x14ac:dyDescent="0.25">
      <c r="A752" s="194" t="s">
        <v>1166</v>
      </c>
      <c r="B752" s="195" t="s">
        <v>1167</v>
      </c>
      <c r="C752" s="298" t="s">
        <v>1168</v>
      </c>
      <c r="D752" s="299"/>
      <c r="E752" s="195" t="s">
        <v>308</v>
      </c>
      <c r="F752" s="196">
        <v>0</v>
      </c>
      <c r="G752" s="196">
        <v>0</v>
      </c>
      <c r="H752" s="196">
        <f>ROUND(F752*AO752,2)</f>
        <v>0</v>
      </c>
      <c r="I752" s="196">
        <f>ROUND(F752*AP752,2)</f>
        <v>0</v>
      </c>
      <c r="J752" s="196">
        <f>ROUND(F752*G752,2)</f>
        <v>0</v>
      </c>
      <c r="K752" s="197" t="s">
        <v>70</v>
      </c>
      <c r="Z752" s="28">
        <f>ROUND(IF(AQ752="5",BJ752,0),2)</f>
        <v>0</v>
      </c>
      <c r="AB752" s="28">
        <f>ROUND(IF(AQ752="1",BH752,0),2)</f>
        <v>0</v>
      </c>
      <c r="AC752" s="28">
        <f>ROUND(IF(AQ752="1",BI752,0),2)</f>
        <v>0</v>
      </c>
      <c r="AD752" s="28">
        <f>ROUND(IF(AQ752="7",BH752,0),2)</f>
        <v>0</v>
      </c>
      <c r="AE752" s="28">
        <f>ROUND(IF(AQ752="7",BI752,0),2)</f>
        <v>0</v>
      </c>
      <c r="AF752" s="28">
        <f>ROUND(IF(AQ752="2",BH752,0),2)</f>
        <v>0</v>
      </c>
      <c r="AG752" s="28">
        <f>ROUND(IF(AQ752="2",BI752,0),2)</f>
        <v>0</v>
      </c>
      <c r="AH752" s="28">
        <f>ROUND(IF(AQ752="0",BJ752,0),2)</f>
        <v>0</v>
      </c>
      <c r="AI752" s="10" t="s">
        <v>1084</v>
      </c>
      <c r="AJ752" s="41">
        <f>IF(AN752=0,J752,0)</f>
        <v>0</v>
      </c>
      <c r="AK752" s="41">
        <f>IF(AN752=12,J752,0)</f>
        <v>0</v>
      </c>
      <c r="AL752" s="41">
        <f>IF(AN752=21,J752,0)</f>
        <v>0</v>
      </c>
      <c r="AN752" s="28">
        <v>21</v>
      </c>
      <c r="AO752" s="28">
        <f>G752*1</f>
        <v>0</v>
      </c>
      <c r="AP752" s="28">
        <f>G752*(1-1)</f>
        <v>0</v>
      </c>
      <c r="AQ752" s="43" t="s">
        <v>57</v>
      </c>
      <c r="AV752" s="28">
        <f>ROUND(AW752+AX752,2)</f>
        <v>0</v>
      </c>
      <c r="AW752" s="28">
        <f>ROUND(F752*AO752,2)</f>
        <v>0</v>
      </c>
      <c r="AX752" s="28">
        <f>ROUND(F752*AP752,2)</f>
        <v>0</v>
      </c>
      <c r="AY752" s="30" t="s">
        <v>1154</v>
      </c>
      <c r="AZ752" s="30" t="s">
        <v>1155</v>
      </c>
      <c r="BA752" s="10" t="s">
        <v>1091</v>
      </c>
      <c r="BC752" s="28">
        <f>AW752+AX752</f>
        <v>0</v>
      </c>
      <c r="BD752" s="28">
        <f>G752/(100-BE752)*100</f>
        <v>0</v>
      </c>
      <c r="BE752" s="28">
        <v>0</v>
      </c>
      <c r="BF752" s="28">
        <f>752</f>
        <v>752</v>
      </c>
      <c r="BH752" s="41">
        <f>F752*AO752</f>
        <v>0</v>
      </c>
      <c r="BI752" s="41">
        <f>F752*AP752</f>
        <v>0</v>
      </c>
      <c r="BJ752" s="41">
        <f>F752*G752</f>
        <v>0</v>
      </c>
      <c r="BK752" s="41"/>
      <c r="BL752" s="28">
        <v>89</v>
      </c>
      <c r="BW752" s="28">
        <v>21</v>
      </c>
      <c r="BX752" s="40" t="s">
        <v>1168</v>
      </c>
    </row>
    <row r="753" spans="1:11" x14ac:dyDescent="0.25">
      <c r="H753" s="300" t="s">
        <v>1169</v>
      </c>
      <c r="I753" s="300"/>
      <c r="J753" s="198">
        <f>ROUND(J13+J16+J41+J50+J81+J116+J195+J211+J235+J307+J396+J424+J428+J441+J444+J450+J458+J477+J510+J514+J529+J540+J550+J557+J562+J602+J704+J709+J717+J722+J728+J741,2)</f>
        <v>0</v>
      </c>
    </row>
    <row r="754" spans="1:11" x14ac:dyDescent="0.25">
      <c r="A754" s="199" t="s">
        <v>148</v>
      </c>
    </row>
    <row r="755" spans="1:11" ht="12.75" customHeight="1" x14ac:dyDescent="0.25">
      <c r="A755" s="230" t="s">
        <v>52</v>
      </c>
      <c r="B755" s="225"/>
      <c r="C755" s="225"/>
      <c r="D755" s="225"/>
      <c r="E755" s="225"/>
      <c r="F755" s="225"/>
      <c r="G755" s="225"/>
      <c r="H755" s="225"/>
      <c r="I755" s="225"/>
      <c r="J755" s="225"/>
      <c r="K755" s="225"/>
    </row>
  </sheetData>
  <mergeCells count="451">
    <mergeCell ref="C749:D749"/>
    <mergeCell ref="C751:K751"/>
    <mergeCell ref="C752:D752"/>
    <mergeCell ref="H753:I753"/>
    <mergeCell ref="A755:K755"/>
    <mergeCell ref="C742:D742"/>
    <mergeCell ref="C743:K743"/>
    <mergeCell ref="C745:K745"/>
    <mergeCell ref="C746:D746"/>
    <mergeCell ref="C748:K748"/>
    <mergeCell ref="C734:D734"/>
    <mergeCell ref="C736:K736"/>
    <mergeCell ref="C737:D737"/>
    <mergeCell ref="C739:D739"/>
    <mergeCell ref="C741:D741"/>
    <mergeCell ref="C727:D727"/>
    <mergeCell ref="C728:D728"/>
    <mergeCell ref="C729:D729"/>
    <mergeCell ref="C731:D731"/>
    <mergeCell ref="C733:K733"/>
    <mergeCell ref="C718:D718"/>
    <mergeCell ref="C721:K721"/>
    <mergeCell ref="C722:D722"/>
    <mergeCell ref="C723:D723"/>
    <mergeCell ref="C726:K726"/>
    <mergeCell ref="C710:D710"/>
    <mergeCell ref="C713:D713"/>
    <mergeCell ref="C714:K714"/>
    <mergeCell ref="C716:K716"/>
    <mergeCell ref="C717:D717"/>
    <mergeCell ref="C703:D703"/>
    <mergeCell ref="C704:D704"/>
    <mergeCell ref="C705:D705"/>
    <mergeCell ref="C708:K708"/>
    <mergeCell ref="C709:D709"/>
    <mergeCell ref="C694:K694"/>
    <mergeCell ref="C696:D696"/>
    <mergeCell ref="C697:K697"/>
    <mergeCell ref="C699:D699"/>
    <mergeCell ref="C701:D701"/>
    <mergeCell ref="C687:D687"/>
    <mergeCell ref="C688:K688"/>
    <mergeCell ref="C690:D690"/>
    <mergeCell ref="C691:K691"/>
    <mergeCell ref="C693:D693"/>
    <mergeCell ref="C679:K679"/>
    <mergeCell ref="C681:D681"/>
    <mergeCell ref="C682:K682"/>
    <mergeCell ref="C684:D684"/>
    <mergeCell ref="C685:K685"/>
    <mergeCell ref="C672:D672"/>
    <mergeCell ref="C673:K673"/>
    <mergeCell ref="C675:D675"/>
    <mergeCell ref="C676:K676"/>
    <mergeCell ref="C678:D678"/>
    <mergeCell ref="C664:K664"/>
    <mergeCell ref="C666:D666"/>
    <mergeCell ref="C667:K667"/>
    <mergeCell ref="C669:D669"/>
    <mergeCell ref="C670:K670"/>
    <mergeCell ref="C657:D657"/>
    <mergeCell ref="C658:K658"/>
    <mergeCell ref="C660:D660"/>
    <mergeCell ref="C661:K661"/>
    <mergeCell ref="C663:D663"/>
    <mergeCell ref="C649:K649"/>
    <mergeCell ref="C651:D651"/>
    <mergeCell ref="C652:K652"/>
    <mergeCell ref="C654:D654"/>
    <mergeCell ref="C655:K655"/>
    <mergeCell ref="C642:D642"/>
    <mergeCell ref="C643:K643"/>
    <mergeCell ref="C645:D645"/>
    <mergeCell ref="C646:K646"/>
    <mergeCell ref="C648:D648"/>
    <mergeCell ref="C634:K634"/>
    <mergeCell ref="C636:D636"/>
    <mergeCell ref="C637:K637"/>
    <mergeCell ref="C639:D639"/>
    <mergeCell ref="C640:K640"/>
    <mergeCell ref="C627:D627"/>
    <mergeCell ref="C628:K628"/>
    <mergeCell ref="C630:D630"/>
    <mergeCell ref="C631:K631"/>
    <mergeCell ref="C633:D633"/>
    <mergeCell ref="C620:K620"/>
    <mergeCell ref="C621:D621"/>
    <mergeCell ref="C622:K622"/>
    <mergeCell ref="C624:D624"/>
    <mergeCell ref="C625:K625"/>
    <mergeCell ref="C613:D613"/>
    <mergeCell ref="C614:K614"/>
    <mergeCell ref="C616:K616"/>
    <mergeCell ref="C617:D617"/>
    <mergeCell ref="C618:K618"/>
    <mergeCell ref="C606:K606"/>
    <mergeCell ref="C607:D607"/>
    <mergeCell ref="C608:K608"/>
    <mergeCell ref="C610:D610"/>
    <mergeCell ref="C611:K611"/>
    <mergeCell ref="C599:D599"/>
    <mergeCell ref="C600:K600"/>
    <mergeCell ref="C602:D602"/>
    <mergeCell ref="C603:D603"/>
    <mergeCell ref="C604:K604"/>
    <mergeCell ref="C591:K591"/>
    <mergeCell ref="C593:D593"/>
    <mergeCell ref="C594:K594"/>
    <mergeCell ref="C596:D596"/>
    <mergeCell ref="C597:K597"/>
    <mergeCell ref="C584:D584"/>
    <mergeCell ref="C585:K585"/>
    <mergeCell ref="C587:D587"/>
    <mergeCell ref="C588:K588"/>
    <mergeCell ref="C590:D590"/>
    <mergeCell ref="C576:K576"/>
    <mergeCell ref="C578:D578"/>
    <mergeCell ref="C579:K579"/>
    <mergeCell ref="C581:D581"/>
    <mergeCell ref="C582:K582"/>
    <mergeCell ref="C569:D569"/>
    <mergeCell ref="C570:K570"/>
    <mergeCell ref="C572:D572"/>
    <mergeCell ref="C573:K573"/>
    <mergeCell ref="C575:D575"/>
    <mergeCell ref="C562:D562"/>
    <mergeCell ref="C563:D563"/>
    <mergeCell ref="C564:K564"/>
    <mergeCell ref="C566:D566"/>
    <mergeCell ref="C567:K567"/>
    <mergeCell ref="C556:D556"/>
    <mergeCell ref="C557:D557"/>
    <mergeCell ref="C558:D558"/>
    <mergeCell ref="C559:K559"/>
    <mergeCell ref="C561:K561"/>
    <mergeCell ref="C548:D548"/>
    <mergeCell ref="C550:D550"/>
    <mergeCell ref="C551:D551"/>
    <mergeCell ref="C553:D553"/>
    <mergeCell ref="C555:K555"/>
    <mergeCell ref="C538:D538"/>
    <mergeCell ref="C540:D540"/>
    <mergeCell ref="C541:D541"/>
    <mergeCell ref="C544:D544"/>
    <mergeCell ref="C547:K547"/>
    <mergeCell ref="C531:K531"/>
    <mergeCell ref="C533:K533"/>
    <mergeCell ref="C534:D534"/>
    <mergeCell ref="C535:K535"/>
    <mergeCell ref="C537:K537"/>
    <mergeCell ref="C523:K523"/>
    <mergeCell ref="C524:D524"/>
    <mergeCell ref="C527:D527"/>
    <mergeCell ref="C529:D529"/>
    <mergeCell ref="C530:D530"/>
    <mergeCell ref="C514:D514"/>
    <mergeCell ref="C515:D515"/>
    <mergeCell ref="C516:K516"/>
    <mergeCell ref="C519:K519"/>
    <mergeCell ref="C520:D520"/>
    <mergeCell ref="C506:D506"/>
    <mergeCell ref="C508:D508"/>
    <mergeCell ref="C510:D510"/>
    <mergeCell ref="C511:D511"/>
    <mergeCell ref="C513:D513"/>
    <mergeCell ref="C496:D496"/>
    <mergeCell ref="C498:D498"/>
    <mergeCell ref="C500:D500"/>
    <mergeCell ref="C502:D502"/>
    <mergeCell ref="C504:D504"/>
    <mergeCell ref="C488:D488"/>
    <mergeCell ref="C490:K490"/>
    <mergeCell ref="C491:D491"/>
    <mergeCell ref="C493:K493"/>
    <mergeCell ref="C494:D494"/>
    <mergeCell ref="C481:K481"/>
    <mergeCell ref="C482:D482"/>
    <mergeCell ref="C484:K484"/>
    <mergeCell ref="C485:D485"/>
    <mergeCell ref="C487:K487"/>
    <mergeCell ref="C474:K474"/>
    <mergeCell ref="C475:D475"/>
    <mergeCell ref="C477:D477"/>
    <mergeCell ref="C478:D478"/>
    <mergeCell ref="C479:K479"/>
    <mergeCell ref="C459:D459"/>
    <mergeCell ref="C460:K460"/>
    <mergeCell ref="C464:D464"/>
    <mergeCell ref="C468:K468"/>
    <mergeCell ref="C469:D469"/>
    <mergeCell ref="C451:D451"/>
    <mergeCell ref="C452:K452"/>
    <mergeCell ref="C456:K456"/>
    <mergeCell ref="C457:D457"/>
    <mergeCell ref="C458:D458"/>
    <mergeCell ref="C445:D445"/>
    <mergeCell ref="C446:K446"/>
    <mergeCell ref="C448:K448"/>
    <mergeCell ref="C449:D449"/>
    <mergeCell ref="C450:D450"/>
    <mergeCell ref="C440:K440"/>
    <mergeCell ref="C441:D441"/>
    <mergeCell ref="C442:D442"/>
    <mergeCell ref="C443:K443"/>
    <mergeCell ref="C444:D444"/>
    <mergeCell ref="C424:D424"/>
    <mergeCell ref="C425:D425"/>
    <mergeCell ref="C427:K427"/>
    <mergeCell ref="C428:D428"/>
    <mergeCell ref="C429:D429"/>
    <mergeCell ref="C415:D415"/>
    <mergeCell ref="C418:K418"/>
    <mergeCell ref="C419:D419"/>
    <mergeCell ref="C421:K421"/>
    <mergeCell ref="C422:D422"/>
    <mergeCell ref="C407:D407"/>
    <mergeCell ref="C408:K408"/>
    <mergeCell ref="C410:K410"/>
    <mergeCell ref="C411:D411"/>
    <mergeCell ref="C414:K414"/>
    <mergeCell ref="C396:D396"/>
    <mergeCell ref="C397:D397"/>
    <mergeCell ref="C398:K398"/>
    <mergeCell ref="C400:D400"/>
    <mergeCell ref="C403:D403"/>
    <mergeCell ref="C388:D388"/>
    <mergeCell ref="C390:D390"/>
    <mergeCell ref="C391:K391"/>
    <mergeCell ref="C393:K393"/>
    <mergeCell ref="C394:D394"/>
    <mergeCell ref="C381:K381"/>
    <mergeCell ref="C382:D382"/>
    <mergeCell ref="C383:K383"/>
    <mergeCell ref="C385:D385"/>
    <mergeCell ref="C386:K386"/>
    <mergeCell ref="C374:D374"/>
    <mergeCell ref="C375:K375"/>
    <mergeCell ref="C377:K377"/>
    <mergeCell ref="C378:D378"/>
    <mergeCell ref="C379:K379"/>
    <mergeCell ref="C366:D366"/>
    <mergeCell ref="C368:K368"/>
    <mergeCell ref="C369:D369"/>
    <mergeCell ref="C371:K371"/>
    <mergeCell ref="C372:D372"/>
    <mergeCell ref="C357:D357"/>
    <mergeCell ref="C359:D359"/>
    <mergeCell ref="C361:D361"/>
    <mergeCell ref="C363:D363"/>
    <mergeCell ref="C365:K365"/>
    <mergeCell ref="C347:D347"/>
    <mergeCell ref="C349:D349"/>
    <mergeCell ref="C351:D351"/>
    <mergeCell ref="C353:D353"/>
    <mergeCell ref="C355:D355"/>
    <mergeCell ref="C338:D338"/>
    <mergeCell ref="C341:D341"/>
    <mergeCell ref="C342:K342"/>
    <mergeCell ref="C344:D344"/>
    <mergeCell ref="C345:K345"/>
    <mergeCell ref="C329:D329"/>
    <mergeCell ref="C330:K330"/>
    <mergeCell ref="C333:D333"/>
    <mergeCell ref="C334:K334"/>
    <mergeCell ref="C336:D336"/>
    <mergeCell ref="C319:K319"/>
    <mergeCell ref="C321:D321"/>
    <mergeCell ref="C324:D324"/>
    <mergeCell ref="C326:D326"/>
    <mergeCell ref="C327:K327"/>
    <mergeCell ref="C309:K309"/>
    <mergeCell ref="C311:D311"/>
    <mergeCell ref="C313:D313"/>
    <mergeCell ref="C314:K314"/>
    <mergeCell ref="C318:D318"/>
    <mergeCell ref="C291:D291"/>
    <mergeCell ref="C304:K304"/>
    <mergeCell ref="C305:D305"/>
    <mergeCell ref="C307:D307"/>
    <mergeCell ref="C308:D308"/>
    <mergeCell ref="C274:K274"/>
    <mergeCell ref="C275:D275"/>
    <mergeCell ref="C281:K281"/>
    <mergeCell ref="C282:D282"/>
    <mergeCell ref="C290:K290"/>
    <mergeCell ref="C264:K264"/>
    <mergeCell ref="C265:D265"/>
    <mergeCell ref="C266:K266"/>
    <mergeCell ref="C268:K268"/>
    <mergeCell ref="C269:D269"/>
    <mergeCell ref="C254:D254"/>
    <mergeCell ref="C257:D257"/>
    <mergeCell ref="C258:K258"/>
    <mergeCell ref="C260:K260"/>
    <mergeCell ref="C261:D261"/>
    <mergeCell ref="C242:D242"/>
    <mergeCell ref="C247:D247"/>
    <mergeCell ref="C248:K248"/>
    <mergeCell ref="C250:D250"/>
    <mergeCell ref="C251:K251"/>
    <mergeCell ref="C232:K232"/>
    <mergeCell ref="C233:D233"/>
    <mergeCell ref="C235:D235"/>
    <mergeCell ref="C236:D236"/>
    <mergeCell ref="C238:D238"/>
    <mergeCell ref="C222:K222"/>
    <mergeCell ref="C224:K224"/>
    <mergeCell ref="C225:D225"/>
    <mergeCell ref="C228:K228"/>
    <mergeCell ref="C229:D229"/>
    <mergeCell ref="C212:D212"/>
    <mergeCell ref="C215:D215"/>
    <mergeCell ref="C217:D217"/>
    <mergeCell ref="C220:K220"/>
    <mergeCell ref="C221:D221"/>
    <mergeCell ref="C199:D199"/>
    <mergeCell ref="C203:D203"/>
    <mergeCell ref="C208:D208"/>
    <mergeCell ref="C210:D210"/>
    <mergeCell ref="C211:D211"/>
    <mergeCell ref="C191:D191"/>
    <mergeCell ref="C193:D193"/>
    <mergeCell ref="C195:D195"/>
    <mergeCell ref="C196:D196"/>
    <mergeCell ref="C197:K197"/>
    <mergeCell ref="C180:D180"/>
    <mergeCell ref="C181:K181"/>
    <mergeCell ref="C184:D184"/>
    <mergeCell ref="C185:K185"/>
    <mergeCell ref="C189:D189"/>
    <mergeCell ref="C165:K165"/>
    <mergeCell ref="C168:D168"/>
    <mergeCell ref="C169:K169"/>
    <mergeCell ref="C173:D173"/>
    <mergeCell ref="C176:D176"/>
    <mergeCell ref="C157:D157"/>
    <mergeCell ref="C160:D160"/>
    <mergeCell ref="C161:K161"/>
    <mergeCell ref="C163:K163"/>
    <mergeCell ref="C164:D164"/>
    <mergeCell ref="C144:K144"/>
    <mergeCell ref="C146:D146"/>
    <mergeCell ref="C148:D148"/>
    <mergeCell ref="C151:D151"/>
    <mergeCell ref="C154:D154"/>
    <mergeCell ref="C135:D135"/>
    <mergeCell ref="C136:K136"/>
    <mergeCell ref="C138:D138"/>
    <mergeCell ref="C141:D141"/>
    <mergeCell ref="C143:D143"/>
    <mergeCell ref="C128:K128"/>
    <mergeCell ref="C130:K130"/>
    <mergeCell ref="C131:D131"/>
    <mergeCell ref="C132:K132"/>
    <mergeCell ref="C134:K134"/>
    <mergeCell ref="C120:K120"/>
    <mergeCell ref="C121:D121"/>
    <mergeCell ref="C123:D123"/>
    <mergeCell ref="C125:D125"/>
    <mergeCell ref="C127:D127"/>
    <mergeCell ref="C114:K114"/>
    <mergeCell ref="C115:D115"/>
    <mergeCell ref="C116:D116"/>
    <mergeCell ref="C117:D117"/>
    <mergeCell ref="C118:K118"/>
    <mergeCell ref="C99:D99"/>
    <mergeCell ref="C100:K100"/>
    <mergeCell ref="C102:D102"/>
    <mergeCell ref="C108:K108"/>
    <mergeCell ref="C109:D109"/>
    <mergeCell ref="C87:K87"/>
    <mergeCell ref="C90:D90"/>
    <mergeCell ref="C93:K93"/>
    <mergeCell ref="C94:D94"/>
    <mergeCell ref="C98:K98"/>
    <mergeCell ref="C80:D80"/>
    <mergeCell ref="C81:D81"/>
    <mergeCell ref="C82:D82"/>
    <mergeCell ref="C83:K83"/>
    <mergeCell ref="C86:D86"/>
    <mergeCell ref="C73:K73"/>
    <mergeCell ref="C74:D74"/>
    <mergeCell ref="C76:K76"/>
    <mergeCell ref="C77:D77"/>
    <mergeCell ref="C79:K79"/>
    <mergeCell ref="C63:K63"/>
    <mergeCell ref="C64:D64"/>
    <mergeCell ref="C65:K65"/>
    <mergeCell ref="C67:K67"/>
    <mergeCell ref="C68:D68"/>
    <mergeCell ref="C55:D55"/>
    <mergeCell ref="C57:K57"/>
    <mergeCell ref="C58:D58"/>
    <mergeCell ref="C60:K60"/>
    <mergeCell ref="C61:D61"/>
    <mergeCell ref="C49:D49"/>
    <mergeCell ref="C50:D50"/>
    <mergeCell ref="C51:D51"/>
    <mergeCell ref="C52:K52"/>
    <mergeCell ref="C53:D53"/>
    <mergeCell ref="C44:D44"/>
    <mergeCell ref="C45:D45"/>
    <mergeCell ref="C46:D46"/>
    <mergeCell ref="C47:D47"/>
    <mergeCell ref="C48:D48"/>
    <mergeCell ref="C33:D33"/>
    <mergeCell ref="C34:K34"/>
    <mergeCell ref="C41:D41"/>
    <mergeCell ref="C42:D42"/>
    <mergeCell ref="C43:D43"/>
    <mergeCell ref="C26:D26"/>
    <mergeCell ref="C28:K28"/>
    <mergeCell ref="C29:D29"/>
    <mergeCell ref="C30:K30"/>
    <mergeCell ref="C32:K32"/>
    <mergeCell ref="C15:K15"/>
    <mergeCell ref="C16:D16"/>
    <mergeCell ref="C17:D17"/>
    <mergeCell ref="C18:K18"/>
    <mergeCell ref="C25:K25"/>
    <mergeCell ref="C11:D11"/>
    <mergeCell ref="H10:J10"/>
    <mergeCell ref="C12:D12"/>
    <mergeCell ref="C13:D13"/>
    <mergeCell ref="C14:D14"/>
    <mergeCell ref="I2:K3"/>
    <mergeCell ref="I4:K5"/>
    <mergeCell ref="I6:K7"/>
    <mergeCell ref="I8:K9"/>
    <mergeCell ref="C10:D10"/>
    <mergeCell ref="C8:D9"/>
    <mergeCell ref="G2:G3"/>
    <mergeCell ref="G4:G5"/>
    <mergeCell ref="G6:G7"/>
    <mergeCell ref="G8:G9"/>
    <mergeCell ref="A1:K1"/>
    <mergeCell ref="A2:B3"/>
    <mergeCell ref="A4:B5"/>
    <mergeCell ref="A6:B7"/>
    <mergeCell ref="A8:B9"/>
    <mergeCell ref="E2:F3"/>
    <mergeCell ref="E4:F5"/>
    <mergeCell ref="E6:F7"/>
    <mergeCell ref="E8:F9"/>
    <mergeCell ref="H2:H3"/>
    <mergeCell ref="H4:H5"/>
    <mergeCell ref="H6:H7"/>
    <mergeCell ref="H8:H9"/>
    <mergeCell ref="C2:D3"/>
    <mergeCell ref="C4:D5"/>
    <mergeCell ref="C6:D7"/>
  </mergeCells>
  <pageMargins left="0.393999993801117" right="0.393999993801117" top="0.59100002050399802" bottom="0.59100002050399802" header="0" footer="0"/>
  <pageSetup fitToHeight="0" orientation="landscape"/>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I36"/>
  <sheetViews>
    <sheetView workbookViewId="0">
      <selection activeCell="A36" sqref="A36:E36"/>
    </sheetView>
  </sheetViews>
  <sheetFormatPr defaultColWidth="12.140625" defaultRowHeight="15" customHeight="1" x14ac:dyDescent="0.25"/>
  <cols>
    <col min="1" max="1" width="9.140625" customWidth="1"/>
    <col min="2" max="2" width="12.85546875" customWidth="1"/>
    <col min="3" max="3" width="22.85546875" customWidth="1"/>
    <col min="4" max="4" width="10" customWidth="1"/>
    <col min="5" max="5" width="14" customWidth="1"/>
    <col min="6" max="6" width="22.85546875" customWidth="1"/>
    <col min="7" max="7" width="9.140625" customWidth="1"/>
    <col min="8" max="8" width="17.140625" customWidth="1"/>
    <col min="9" max="9" width="22.85546875" customWidth="1"/>
  </cols>
  <sheetData>
    <row r="1" spans="1:9" ht="54.75" customHeight="1" x14ac:dyDescent="0.25">
      <c r="A1" s="301" t="s">
        <v>1240</v>
      </c>
      <c r="B1" s="221"/>
      <c r="C1" s="221"/>
      <c r="D1" s="221"/>
      <c r="E1" s="221"/>
      <c r="F1" s="221"/>
      <c r="G1" s="221"/>
      <c r="H1" s="221"/>
      <c r="I1" s="221"/>
    </row>
    <row r="2" spans="1:9" x14ac:dyDescent="0.25">
      <c r="A2" s="222" t="s">
        <v>1</v>
      </c>
      <c r="B2" s="223"/>
      <c r="C2" s="231" t="str">
        <f>'Stavební rozpočet'!C2</f>
        <v>REKONSTRUKCE STŘECHY ZŠ T.G.MASARYKA V IVANČICÍCH</v>
      </c>
      <c r="D2" s="232"/>
      <c r="E2" s="229" t="s">
        <v>5</v>
      </c>
      <c r="F2" s="229" t="str">
        <f>'Stavební rozpočet'!I2</f>
        <v>Město Ivančice</v>
      </c>
      <c r="G2" s="223"/>
      <c r="H2" s="229" t="s">
        <v>1171</v>
      </c>
      <c r="I2" s="234" t="s">
        <v>1172</v>
      </c>
    </row>
    <row r="3" spans="1:9" ht="15" customHeight="1" x14ac:dyDescent="0.25">
      <c r="A3" s="224"/>
      <c r="B3" s="225"/>
      <c r="C3" s="233"/>
      <c r="D3" s="233"/>
      <c r="E3" s="225"/>
      <c r="F3" s="225"/>
      <c r="G3" s="225"/>
      <c r="H3" s="225"/>
      <c r="I3" s="235"/>
    </row>
    <row r="4" spans="1:9" x14ac:dyDescent="0.25">
      <c r="A4" s="226" t="s">
        <v>7</v>
      </c>
      <c r="B4" s="225"/>
      <c r="C4" s="230" t="str">
        <f>'Stavební rozpočet'!C4</f>
        <v>oprava střešní konstrukce</v>
      </c>
      <c r="D4" s="225"/>
      <c r="E4" s="230" t="s">
        <v>11</v>
      </c>
      <c r="F4" s="230" t="str">
        <f>'Stavební rozpočet'!I4</f>
        <v>Tomáš Sýkora</v>
      </c>
      <c r="G4" s="225"/>
      <c r="H4" s="230" t="s">
        <v>1171</v>
      </c>
      <c r="I4" s="235" t="s">
        <v>1173</v>
      </c>
    </row>
    <row r="5" spans="1:9" ht="15" customHeight="1" x14ac:dyDescent="0.25">
      <c r="A5" s="224"/>
      <c r="B5" s="225"/>
      <c r="C5" s="225"/>
      <c r="D5" s="225"/>
      <c r="E5" s="225"/>
      <c r="F5" s="225"/>
      <c r="G5" s="225"/>
      <c r="H5" s="225"/>
      <c r="I5" s="235"/>
    </row>
    <row r="6" spans="1:9" x14ac:dyDescent="0.25">
      <c r="A6" s="226" t="s">
        <v>13</v>
      </c>
      <c r="B6" s="225"/>
      <c r="C6" s="230" t="str">
        <f>'Stavební rozpočet'!C6</f>
        <v>ZŠ TGM Ivančice, Na Brněnce 1, 664 91 Ivančice</v>
      </c>
      <c r="D6" s="225"/>
      <c r="E6" s="230" t="s">
        <v>16</v>
      </c>
      <c r="F6" s="230" t="str">
        <f>'Stavební rozpočet'!I6</f>
        <v> </v>
      </c>
      <c r="G6" s="225"/>
      <c r="H6" s="230" t="s">
        <v>1171</v>
      </c>
      <c r="I6" s="235" t="s">
        <v>52</v>
      </c>
    </row>
    <row r="7" spans="1:9" ht="15" customHeight="1" x14ac:dyDescent="0.25">
      <c r="A7" s="224"/>
      <c r="B7" s="225"/>
      <c r="C7" s="225"/>
      <c r="D7" s="225"/>
      <c r="E7" s="225"/>
      <c r="F7" s="225"/>
      <c r="G7" s="225"/>
      <c r="H7" s="225"/>
      <c r="I7" s="235"/>
    </row>
    <row r="8" spans="1:9" x14ac:dyDescent="0.25">
      <c r="A8" s="226" t="s">
        <v>9</v>
      </c>
      <c r="B8" s="225"/>
      <c r="C8" s="230" t="str">
        <f>'Stavební rozpočet'!G4</f>
        <v>13.01.2025</v>
      </c>
      <c r="D8" s="225"/>
      <c r="E8" s="230" t="s">
        <v>15</v>
      </c>
      <c r="F8" s="230" t="str">
        <f>'Stavební rozpočet'!G6</f>
        <v>13.01.2025</v>
      </c>
      <c r="G8" s="225"/>
      <c r="H8" s="225" t="s">
        <v>1174</v>
      </c>
      <c r="I8" s="304">
        <v>15</v>
      </c>
    </row>
    <row r="9" spans="1:9" x14ac:dyDescent="0.25">
      <c r="A9" s="224"/>
      <c r="B9" s="225"/>
      <c r="C9" s="225"/>
      <c r="D9" s="225"/>
      <c r="E9" s="225"/>
      <c r="F9" s="225"/>
      <c r="G9" s="225"/>
      <c r="H9" s="225"/>
      <c r="I9" s="235"/>
    </row>
    <row r="10" spans="1:9" x14ac:dyDescent="0.25">
      <c r="A10" s="226" t="s">
        <v>18</v>
      </c>
      <c r="B10" s="225"/>
      <c r="C10" s="230" t="str">
        <f>'Stavební rozpočet'!C8</f>
        <v>8013212</v>
      </c>
      <c r="D10" s="225"/>
      <c r="E10" s="230" t="s">
        <v>21</v>
      </c>
      <c r="F10" s="230" t="str">
        <f>'Stavební rozpočet'!I8</f>
        <v>Tomáš Sýkora</v>
      </c>
      <c r="G10" s="225"/>
      <c r="H10" s="225" t="s">
        <v>1175</v>
      </c>
      <c r="I10" s="305" t="str">
        <f>'Stavební rozpočet'!G8</f>
        <v>13.01.2025</v>
      </c>
    </row>
    <row r="11" spans="1:9" x14ac:dyDescent="0.25">
      <c r="A11" s="302"/>
      <c r="B11" s="303"/>
      <c r="C11" s="303"/>
      <c r="D11" s="303"/>
      <c r="E11" s="303"/>
      <c r="F11" s="303"/>
      <c r="G11" s="303"/>
      <c r="H11" s="303"/>
      <c r="I11" s="306"/>
    </row>
    <row r="13" spans="1:9" ht="15.75" x14ac:dyDescent="0.25">
      <c r="A13" s="340" t="s">
        <v>1217</v>
      </c>
      <c r="B13" s="340"/>
      <c r="C13" s="340"/>
      <c r="D13" s="340"/>
      <c r="E13" s="340"/>
    </row>
    <row r="14" spans="1:9" x14ac:dyDescent="0.25">
      <c r="A14" s="341" t="s">
        <v>1218</v>
      </c>
      <c r="B14" s="342"/>
      <c r="C14" s="342"/>
      <c r="D14" s="342"/>
      <c r="E14" s="343"/>
      <c r="F14" s="213" t="s">
        <v>1219</v>
      </c>
      <c r="G14" s="213" t="s">
        <v>380</v>
      </c>
      <c r="H14" s="213" t="s">
        <v>1220</v>
      </c>
      <c r="I14" s="213" t="s">
        <v>1219</v>
      </c>
    </row>
    <row r="15" spans="1:9" x14ac:dyDescent="0.25">
      <c r="A15" s="344" t="s">
        <v>1185</v>
      </c>
      <c r="B15" s="345"/>
      <c r="C15" s="345"/>
      <c r="D15" s="345"/>
      <c r="E15" s="346"/>
      <c r="F15" s="214">
        <v>0</v>
      </c>
      <c r="G15" s="215" t="s">
        <v>52</v>
      </c>
      <c r="H15" s="215" t="s">
        <v>52</v>
      </c>
      <c r="I15" s="214">
        <f>F15</f>
        <v>0</v>
      </c>
    </row>
    <row r="16" spans="1:9" x14ac:dyDescent="0.25">
      <c r="A16" s="344" t="s">
        <v>1187</v>
      </c>
      <c r="B16" s="345"/>
      <c r="C16" s="345"/>
      <c r="D16" s="345"/>
      <c r="E16" s="346"/>
      <c r="F16" s="214">
        <v>0</v>
      </c>
      <c r="G16" s="215" t="s">
        <v>52</v>
      </c>
      <c r="H16" s="215" t="s">
        <v>52</v>
      </c>
      <c r="I16" s="214">
        <f>F16</f>
        <v>0</v>
      </c>
    </row>
    <row r="17" spans="1:9" x14ac:dyDescent="0.25">
      <c r="A17" s="347" t="s">
        <v>1190</v>
      </c>
      <c r="B17" s="348"/>
      <c r="C17" s="348"/>
      <c r="D17" s="348"/>
      <c r="E17" s="349"/>
      <c r="F17" s="216">
        <v>0</v>
      </c>
      <c r="G17" s="217" t="s">
        <v>52</v>
      </c>
      <c r="H17" s="217" t="s">
        <v>52</v>
      </c>
      <c r="I17" s="216">
        <f>F17</f>
        <v>0</v>
      </c>
    </row>
    <row r="18" spans="1:9" x14ac:dyDescent="0.25">
      <c r="A18" s="350" t="s">
        <v>1221</v>
      </c>
      <c r="B18" s="351"/>
      <c r="C18" s="351"/>
      <c r="D18" s="351"/>
      <c r="E18" s="352"/>
      <c r="F18" s="218" t="s">
        <v>52</v>
      </c>
      <c r="G18" s="219" t="s">
        <v>52</v>
      </c>
      <c r="H18" s="219" t="s">
        <v>52</v>
      </c>
      <c r="I18" s="220">
        <f>SUM(I15:I17)</f>
        <v>0</v>
      </c>
    </row>
    <row r="20" spans="1:9" x14ac:dyDescent="0.25">
      <c r="A20" s="341" t="s">
        <v>1182</v>
      </c>
      <c r="B20" s="342"/>
      <c r="C20" s="342"/>
      <c r="D20" s="342"/>
      <c r="E20" s="343"/>
      <c r="F20" s="213" t="s">
        <v>1219</v>
      </c>
      <c r="G20" s="213" t="s">
        <v>380</v>
      </c>
      <c r="H20" s="213" t="s">
        <v>1220</v>
      </c>
      <c r="I20" s="213" t="s">
        <v>1219</v>
      </c>
    </row>
    <row r="21" spans="1:9" x14ac:dyDescent="0.25">
      <c r="A21" s="344" t="s">
        <v>1186</v>
      </c>
      <c r="B21" s="345"/>
      <c r="C21" s="345"/>
      <c r="D21" s="345"/>
      <c r="E21" s="346"/>
      <c r="F21" s="214">
        <v>0</v>
      </c>
      <c r="G21" s="215" t="s">
        <v>52</v>
      </c>
      <c r="H21" s="215" t="s">
        <v>52</v>
      </c>
      <c r="I21" s="214">
        <f t="shared" ref="I21:I26" si="0">F21</f>
        <v>0</v>
      </c>
    </row>
    <row r="22" spans="1:9" x14ac:dyDescent="0.25">
      <c r="A22" s="344" t="s">
        <v>1188</v>
      </c>
      <c r="B22" s="345"/>
      <c r="C22" s="345"/>
      <c r="D22" s="345"/>
      <c r="E22" s="346"/>
      <c r="F22" s="214">
        <v>0</v>
      </c>
      <c r="G22" s="215" t="s">
        <v>52</v>
      </c>
      <c r="H22" s="215" t="s">
        <v>52</v>
      </c>
      <c r="I22" s="214">
        <f t="shared" si="0"/>
        <v>0</v>
      </c>
    </row>
    <row r="23" spans="1:9" x14ac:dyDescent="0.25">
      <c r="A23" s="344" t="s">
        <v>1191</v>
      </c>
      <c r="B23" s="345"/>
      <c r="C23" s="345"/>
      <c r="D23" s="345"/>
      <c r="E23" s="346"/>
      <c r="F23" s="214">
        <v>0</v>
      </c>
      <c r="G23" s="215" t="s">
        <v>52</v>
      </c>
      <c r="H23" s="215" t="s">
        <v>52</v>
      </c>
      <c r="I23" s="214">
        <f t="shared" si="0"/>
        <v>0</v>
      </c>
    </row>
    <row r="24" spans="1:9" x14ac:dyDescent="0.25">
      <c r="A24" s="344" t="s">
        <v>1192</v>
      </c>
      <c r="B24" s="345"/>
      <c r="C24" s="345"/>
      <c r="D24" s="345"/>
      <c r="E24" s="346"/>
      <c r="F24" s="214">
        <v>0</v>
      </c>
      <c r="G24" s="215" t="s">
        <v>52</v>
      </c>
      <c r="H24" s="215" t="s">
        <v>52</v>
      </c>
      <c r="I24" s="214">
        <f t="shared" si="0"/>
        <v>0</v>
      </c>
    </row>
    <row r="25" spans="1:9" x14ac:dyDescent="0.25">
      <c r="A25" s="344" t="s">
        <v>1194</v>
      </c>
      <c r="B25" s="345"/>
      <c r="C25" s="345"/>
      <c r="D25" s="345"/>
      <c r="E25" s="346"/>
      <c r="F25" s="214">
        <v>0</v>
      </c>
      <c r="G25" s="215" t="s">
        <v>52</v>
      </c>
      <c r="H25" s="215" t="s">
        <v>52</v>
      </c>
      <c r="I25" s="214">
        <f t="shared" si="0"/>
        <v>0</v>
      </c>
    </row>
    <row r="26" spans="1:9" x14ac:dyDescent="0.25">
      <c r="A26" s="347" t="s">
        <v>1195</v>
      </c>
      <c r="B26" s="348"/>
      <c r="C26" s="348"/>
      <c r="D26" s="348"/>
      <c r="E26" s="349"/>
      <c r="F26" s="216">
        <v>0</v>
      </c>
      <c r="G26" s="217" t="s">
        <v>52</v>
      </c>
      <c r="H26" s="217" t="s">
        <v>52</v>
      </c>
      <c r="I26" s="216">
        <f t="shared" si="0"/>
        <v>0</v>
      </c>
    </row>
    <row r="27" spans="1:9" x14ac:dyDescent="0.25">
      <c r="A27" s="350" t="s">
        <v>1222</v>
      </c>
      <c r="B27" s="351"/>
      <c r="C27" s="351"/>
      <c r="D27" s="351"/>
      <c r="E27" s="352"/>
      <c r="F27" s="218" t="s">
        <v>52</v>
      </c>
      <c r="G27" s="219" t="s">
        <v>52</v>
      </c>
      <c r="H27" s="219" t="s">
        <v>52</v>
      </c>
      <c r="I27" s="220">
        <f>SUM(I21:I26)</f>
        <v>0</v>
      </c>
    </row>
    <row r="29" spans="1:9" ht="15.75" x14ac:dyDescent="0.25">
      <c r="A29" s="353" t="s">
        <v>1223</v>
      </c>
      <c r="B29" s="354"/>
      <c r="C29" s="354"/>
      <c r="D29" s="354"/>
      <c r="E29" s="355"/>
      <c r="F29" s="356">
        <f>I18+I27</f>
        <v>0</v>
      </c>
      <c r="G29" s="357"/>
      <c r="H29" s="357"/>
      <c r="I29" s="358"/>
    </row>
    <row r="33" spans="1:9" ht="15.75" x14ac:dyDescent="0.25">
      <c r="A33" s="340" t="s">
        <v>1224</v>
      </c>
      <c r="B33" s="340"/>
      <c r="C33" s="340"/>
      <c r="D33" s="340"/>
      <c r="E33" s="340"/>
    </row>
    <row r="34" spans="1:9" x14ac:dyDescent="0.25">
      <c r="A34" s="341" t="s">
        <v>1225</v>
      </c>
      <c r="B34" s="342"/>
      <c r="C34" s="342"/>
      <c r="D34" s="342"/>
      <c r="E34" s="343"/>
      <c r="F34" s="213" t="s">
        <v>1219</v>
      </c>
      <c r="G34" s="213" t="s">
        <v>380</v>
      </c>
      <c r="H34" s="213" t="s">
        <v>1220</v>
      </c>
      <c r="I34" s="213" t="s">
        <v>1219</v>
      </c>
    </row>
    <row r="35" spans="1:9" x14ac:dyDescent="0.25">
      <c r="A35" s="347" t="s">
        <v>52</v>
      </c>
      <c r="B35" s="348"/>
      <c r="C35" s="348"/>
      <c r="D35" s="348"/>
      <c r="E35" s="349"/>
      <c r="F35" s="216">
        <v>0</v>
      </c>
      <c r="G35" s="217" t="s">
        <v>52</v>
      </c>
      <c r="H35" s="217" t="s">
        <v>52</v>
      </c>
      <c r="I35" s="216">
        <f>F35</f>
        <v>0</v>
      </c>
    </row>
    <row r="36" spans="1:9" x14ac:dyDescent="0.25">
      <c r="A36" s="350" t="s">
        <v>1226</v>
      </c>
      <c r="B36" s="351"/>
      <c r="C36" s="351"/>
      <c r="D36" s="351"/>
      <c r="E36" s="352"/>
      <c r="F36" s="218" t="s">
        <v>52</v>
      </c>
      <c r="G36" s="219" t="s">
        <v>52</v>
      </c>
      <c r="H36" s="219" t="s">
        <v>52</v>
      </c>
      <c r="I36" s="220">
        <f>SUM(I35:I35)</f>
        <v>0</v>
      </c>
    </row>
  </sheetData>
  <mergeCells count="51">
    <mergeCell ref="A36:E36"/>
    <mergeCell ref="A29:E29"/>
    <mergeCell ref="F29:I29"/>
    <mergeCell ref="A33:E33"/>
    <mergeCell ref="A34:E34"/>
    <mergeCell ref="A35:E35"/>
    <mergeCell ref="A23:E23"/>
    <mergeCell ref="A24:E24"/>
    <mergeCell ref="A25:E25"/>
    <mergeCell ref="A26:E26"/>
    <mergeCell ref="A27:E27"/>
    <mergeCell ref="A17:E17"/>
    <mergeCell ref="A18:E18"/>
    <mergeCell ref="A20:E20"/>
    <mergeCell ref="A21:E21"/>
    <mergeCell ref="A22:E22"/>
    <mergeCell ref="I10:I11"/>
    <mergeCell ref="A13:E13"/>
    <mergeCell ref="A14:E14"/>
    <mergeCell ref="A15:E15"/>
    <mergeCell ref="A16:E16"/>
    <mergeCell ref="H10:H11"/>
    <mergeCell ref="C2:D3"/>
    <mergeCell ref="C4:D5"/>
    <mergeCell ref="C6:D7"/>
    <mergeCell ref="C8:D9"/>
    <mergeCell ref="C10:D11"/>
    <mergeCell ref="F2:G3"/>
    <mergeCell ref="F4:G5"/>
    <mergeCell ref="F6:G7"/>
    <mergeCell ref="F8:G9"/>
    <mergeCell ref="F10:G11"/>
    <mergeCell ref="A10:B11"/>
    <mergeCell ref="E2:E3"/>
    <mergeCell ref="E4:E5"/>
    <mergeCell ref="E6:E7"/>
    <mergeCell ref="E8:E9"/>
    <mergeCell ref="E10:E11"/>
    <mergeCell ref="A1:I1"/>
    <mergeCell ref="A2:B3"/>
    <mergeCell ref="A4:B5"/>
    <mergeCell ref="A6:B7"/>
    <mergeCell ref="A8:B9"/>
    <mergeCell ref="H2:H3"/>
    <mergeCell ref="H4:H5"/>
    <mergeCell ref="H6:H7"/>
    <mergeCell ref="H8:H9"/>
    <mergeCell ref="I2:I3"/>
    <mergeCell ref="I4:I5"/>
    <mergeCell ref="I6:I7"/>
    <mergeCell ref="I8:I9"/>
  </mergeCells>
  <pageMargins left="0.393999993801117" right="0.393999993801117" top="0.59100002050399802" bottom="0.59100002050399802" header="0" footer="0"/>
  <pageSetup fitToHeight="0"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6"/>
  <sheetViews>
    <sheetView workbookViewId="0">
      <selection activeCell="A36" sqref="A36:E36"/>
    </sheetView>
  </sheetViews>
  <sheetFormatPr defaultColWidth="12.140625" defaultRowHeight="15" customHeight="1" x14ac:dyDescent="0.25"/>
  <cols>
    <col min="1" max="1" width="9.140625" customWidth="1"/>
    <col min="2" max="2" width="12.85546875" customWidth="1"/>
    <col min="3" max="3" width="22.85546875" customWidth="1"/>
    <col min="4" max="4" width="10" customWidth="1"/>
    <col min="5" max="5" width="14" customWidth="1"/>
    <col min="6" max="6" width="22.85546875" customWidth="1"/>
    <col min="7" max="7" width="9.140625" customWidth="1"/>
    <col min="8" max="8" width="17.140625" customWidth="1"/>
    <col min="9" max="9" width="22.85546875" customWidth="1"/>
  </cols>
  <sheetData>
    <row r="1" spans="1:9" ht="54.75" customHeight="1" x14ac:dyDescent="0.25">
      <c r="A1" s="301" t="s">
        <v>1216</v>
      </c>
      <c r="B1" s="221"/>
      <c r="C1" s="221"/>
      <c r="D1" s="221"/>
      <c r="E1" s="221"/>
      <c r="F1" s="221"/>
      <c r="G1" s="221"/>
      <c r="H1" s="221"/>
      <c r="I1" s="221"/>
    </row>
    <row r="2" spans="1:9" x14ac:dyDescent="0.25">
      <c r="A2" s="222" t="s">
        <v>1</v>
      </c>
      <c r="B2" s="223"/>
      <c r="C2" s="231" t="str">
        <f>'Stavební rozpočet'!C2</f>
        <v>REKONSTRUKCE STŘECHY ZŠ T.G.MASARYKA V IVANČICÍCH</v>
      </c>
      <c r="D2" s="232"/>
      <c r="E2" s="229" t="s">
        <v>5</v>
      </c>
      <c r="F2" s="229" t="str">
        <f>'Stavební rozpočet'!I2</f>
        <v>Město Ivančice</v>
      </c>
      <c r="G2" s="223"/>
      <c r="H2" s="229" t="s">
        <v>1171</v>
      </c>
      <c r="I2" s="234" t="s">
        <v>1172</v>
      </c>
    </row>
    <row r="3" spans="1:9" ht="15" customHeight="1" x14ac:dyDescent="0.25">
      <c r="A3" s="224"/>
      <c r="B3" s="225"/>
      <c r="C3" s="233"/>
      <c r="D3" s="233"/>
      <c r="E3" s="225"/>
      <c r="F3" s="225"/>
      <c r="G3" s="225"/>
      <c r="H3" s="225"/>
      <c r="I3" s="235"/>
    </row>
    <row r="4" spans="1:9" x14ac:dyDescent="0.25">
      <c r="A4" s="226" t="s">
        <v>7</v>
      </c>
      <c r="B4" s="225"/>
      <c r="C4" s="230" t="str">
        <f>'Stavební rozpočet'!C4</f>
        <v>oprava střešní konstrukce</v>
      </c>
      <c r="D4" s="225"/>
      <c r="E4" s="230" t="s">
        <v>11</v>
      </c>
      <c r="F4" s="230" t="str">
        <f>'Stavební rozpočet'!I4</f>
        <v>Tomáš Sýkora</v>
      </c>
      <c r="G4" s="225"/>
      <c r="H4" s="230" t="s">
        <v>1171</v>
      </c>
      <c r="I4" s="235" t="s">
        <v>1173</v>
      </c>
    </row>
    <row r="5" spans="1:9" ht="15" customHeight="1" x14ac:dyDescent="0.25">
      <c r="A5" s="224"/>
      <c r="B5" s="225"/>
      <c r="C5" s="225"/>
      <c r="D5" s="225"/>
      <c r="E5" s="225"/>
      <c r="F5" s="225"/>
      <c r="G5" s="225"/>
      <c r="H5" s="225"/>
      <c r="I5" s="235"/>
    </row>
    <row r="6" spans="1:9" x14ac:dyDescent="0.25">
      <c r="A6" s="226" t="s">
        <v>13</v>
      </c>
      <c r="B6" s="225"/>
      <c r="C6" s="230" t="str">
        <f>'Stavební rozpočet'!C6</f>
        <v>ZŠ TGM Ivančice, Na Brněnce 1, 664 91 Ivančice</v>
      </c>
      <c r="D6" s="225"/>
      <c r="E6" s="230" t="s">
        <v>16</v>
      </c>
      <c r="F6" s="230" t="str">
        <f>'Stavební rozpočet'!I6</f>
        <v> </v>
      </c>
      <c r="G6" s="225"/>
      <c r="H6" s="230" t="s">
        <v>1171</v>
      </c>
      <c r="I6" s="235" t="s">
        <v>52</v>
      </c>
    </row>
    <row r="7" spans="1:9" ht="15" customHeight="1" x14ac:dyDescent="0.25">
      <c r="A7" s="224"/>
      <c r="B7" s="225"/>
      <c r="C7" s="225"/>
      <c r="D7" s="225"/>
      <c r="E7" s="225"/>
      <c r="F7" s="225"/>
      <c r="G7" s="225"/>
      <c r="H7" s="225"/>
      <c r="I7" s="235"/>
    </row>
    <row r="8" spans="1:9" x14ac:dyDescent="0.25">
      <c r="A8" s="226" t="s">
        <v>9</v>
      </c>
      <c r="B8" s="225"/>
      <c r="C8" s="230" t="str">
        <f>'Stavební rozpočet'!G4</f>
        <v>13.01.2025</v>
      </c>
      <c r="D8" s="225"/>
      <c r="E8" s="230" t="s">
        <v>15</v>
      </c>
      <c r="F8" s="230" t="str">
        <f>'Stavební rozpočet'!G6</f>
        <v>13.01.2025</v>
      </c>
      <c r="G8" s="225"/>
      <c r="H8" s="225" t="s">
        <v>1174</v>
      </c>
      <c r="I8" s="304">
        <v>218</v>
      </c>
    </row>
    <row r="9" spans="1:9" x14ac:dyDescent="0.25">
      <c r="A9" s="224"/>
      <c r="B9" s="225"/>
      <c r="C9" s="225"/>
      <c r="D9" s="225"/>
      <c r="E9" s="225"/>
      <c r="F9" s="225"/>
      <c r="G9" s="225"/>
      <c r="H9" s="225"/>
      <c r="I9" s="235"/>
    </row>
    <row r="10" spans="1:9" x14ac:dyDescent="0.25">
      <c r="A10" s="226" t="s">
        <v>18</v>
      </c>
      <c r="B10" s="225"/>
      <c r="C10" s="230" t="str">
        <f>'Stavební rozpočet'!C8</f>
        <v>8013212</v>
      </c>
      <c r="D10" s="225"/>
      <c r="E10" s="230" t="s">
        <v>21</v>
      </c>
      <c r="F10" s="230" t="str">
        <f>'Stavební rozpočet'!I8</f>
        <v>Tomáš Sýkora</v>
      </c>
      <c r="G10" s="225"/>
      <c r="H10" s="225" t="s">
        <v>1175</v>
      </c>
      <c r="I10" s="305" t="str">
        <f>'Stavební rozpočet'!G8</f>
        <v>13.01.2025</v>
      </c>
    </row>
    <row r="11" spans="1:9" x14ac:dyDescent="0.25">
      <c r="A11" s="302"/>
      <c r="B11" s="303"/>
      <c r="C11" s="303"/>
      <c r="D11" s="303"/>
      <c r="E11" s="303"/>
      <c r="F11" s="303"/>
      <c r="G11" s="303"/>
      <c r="H11" s="303"/>
      <c r="I11" s="306"/>
    </row>
    <row r="13" spans="1:9" ht="15.75" x14ac:dyDescent="0.25">
      <c r="A13" s="340" t="s">
        <v>1217</v>
      </c>
      <c r="B13" s="340"/>
      <c r="C13" s="340"/>
      <c r="D13" s="340"/>
      <c r="E13" s="340"/>
    </row>
    <row r="14" spans="1:9" x14ac:dyDescent="0.25">
      <c r="A14" s="341" t="s">
        <v>1218</v>
      </c>
      <c r="B14" s="342"/>
      <c r="C14" s="342"/>
      <c r="D14" s="342"/>
      <c r="E14" s="343"/>
      <c r="F14" s="213" t="s">
        <v>1219</v>
      </c>
      <c r="G14" s="213" t="s">
        <v>380</v>
      </c>
      <c r="H14" s="213" t="s">
        <v>1220</v>
      </c>
      <c r="I14" s="213" t="s">
        <v>1219</v>
      </c>
    </row>
    <row r="15" spans="1:9" x14ac:dyDescent="0.25">
      <c r="A15" s="344" t="s">
        <v>1185</v>
      </c>
      <c r="B15" s="345"/>
      <c r="C15" s="345"/>
      <c r="D15" s="345"/>
      <c r="E15" s="346"/>
      <c r="F15" s="214">
        <v>0</v>
      </c>
      <c r="G15" s="215" t="s">
        <v>52</v>
      </c>
      <c r="H15" s="215" t="s">
        <v>52</v>
      </c>
      <c r="I15" s="214">
        <f>F15</f>
        <v>0</v>
      </c>
    </row>
    <row r="16" spans="1:9" x14ac:dyDescent="0.25">
      <c r="A16" s="344" t="s">
        <v>1187</v>
      </c>
      <c r="B16" s="345"/>
      <c r="C16" s="345"/>
      <c r="D16" s="345"/>
      <c r="E16" s="346"/>
      <c r="F16" s="214">
        <v>0</v>
      </c>
      <c r="G16" s="215" t="s">
        <v>52</v>
      </c>
      <c r="H16" s="215" t="s">
        <v>52</v>
      </c>
      <c r="I16" s="214">
        <f>F16</f>
        <v>0</v>
      </c>
    </row>
    <row r="17" spans="1:9" x14ac:dyDescent="0.25">
      <c r="A17" s="347" t="s">
        <v>1190</v>
      </c>
      <c r="B17" s="348"/>
      <c r="C17" s="348"/>
      <c r="D17" s="348"/>
      <c r="E17" s="349"/>
      <c r="F17" s="216">
        <v>0</v>
      </c>
      <c r="G17" s="217" t="s">
        <v>52</v>
      </c>
      <c r="H17" s="217" t="s">
        <v>52</v>
      </c>
      <c r="I17" s="216">
        <f>F17</f>
        <v>0</v>
      </c>
    </row>
    <row r="18" spans="1:9" x14ac:dyDescent="0.25">
      <c r="A18" s="350" t="s">
        <v>1221</v>
      </c>
      <c r="B18" s="351"/>
      <c r="C18" s="351"/>
      <c r="D18" s="351"/>
      <c r="E18" s="352"/>
      <c r="F18" s="218" t="s">
        <v>52</v>
      </c>
      <c r="G18" s="219" t="s">
        <v>52</v>
      </c>
      <c r="H18" s="219" t="s">
        <v>52</v>
      </c>
      <c r="I18" s="220">
        <f>SUM(I15:I17)</f>
        <v>0</v>
      </c>
    </row>
    <row r="20" spans="1:9" x14ac:dyDescent="0.25">
      <c r="A20" s="341" t="s">
        <v>1182</v>
      </c>
      <c r="B20" s="342"/>
      <c r="C20" s="342"/>
      <c r="D20" s="342"/>
      <c r="E20" s="343"/>
      <c r="F20" s="213" t="s">
        <v>1219</v>
      </c>
      <c r="G20" s="213" t="s">
        <v>380</v>
      </c>
      <c r="H20" s="213" t="s">
        <v>1220</v>
      </c>
      <c r="I20" s="213" t="s">
        <v>1219</v>
      </c>
    </row>
    <row r="21" spans="1:9" x14ac:dyDescent="0.25">
      <c r="A21" s="344" t="s">
        <v>1186</v>
      </c>
      <c r="B21" s="345"/>
      <c r="C21" s="345"/>
      <c r="D21" s="345"/>
      <c r="E21" s="346"/>
      <c r="F21" s="214">
        <v>0</v>
      </c>
      <c r="G21" s="215" t="s">
        <v>52</v>
      </c>
      <c r="H21" s="215" t="s">
        <v>52</v>
      </c>
      <c r="I21" s="214">
        <f t="shared" ref="I21:I26" si="0">F21</f>
        <v>0</v>
      </c>
    </row>
    <row r="22" spans="1:9" x14ac:dyDescent="0.25">
      <c r="A22" s="344" t="s">
        <v>1188</v>
      </c>
      <c r="B22" s="345"/>
      <c r="C22" s="345"/>
      <c r="D22" s="345"/>
      <c r="E22" s="346"/>
      <c r="F22" s="214">
        <v>0</v>
      </c>
      <c r="G22" s="215" t="s">
        <v>52</v>
      </c>
      <c r="H22" s="215" t="s">
        <v>52</v>
      </c>
      <c r="I22" s="214">
        <f t="shared" si="0"/>
        <v>0</v>
      </c>
    </row>
    <row r="23" spans="1:9" x14ac:dyDescent="0.25">
      <c r="A23" s="344" t="s">
        <v>1191</v>
      </c>
      <c r="B23" s="345"/>
      <c r="C23" s="345"/>
      <c r="D23" s="345"/>
      <c r="E23" s="346"/>
      <c r="F23" s="214">
        <v>0</v>
      </c>
      <c r="G23" s="215" t="s">
        <v>52</v>
      </c>
      <c r="H23" s="215" t="s">
        <v>52</v>
      </c>
      <c r="I23" s="214">
        <f t="shared" si="0"/>
        <v>0</v>
      </c>
    </row>
    <row r="24" spans="1:9" x14ac:dyDescent="0.25">
      <c r="A24" s="344" t="s">
        <v>1192</v>
      </c>
      <c r="B24" s="345"/>
      <c r="C24" s="345"/>
      <c r="D24" s="345"/>
      <c r="E24" s="346"/>
      <c r="F24" s="214">
        <v>0</v>
      </c>
      <c r="G24" s="215" t="s">
        <v>52</v>
      </c>
      <c r="H24" s="215" t="s">
        <v>52</v>
      </c>
      <c r="I24" s="214">
        <f t="shared" si="0"/>
        <v>0</v>
      </c>
    </row>
    <row r="25" spans="1:9" x14ac:dyDescent="0.25">
      <c r="A25" s="344" t="s">
        <v>1194</v>
      </c>
      <c r="B25" s="345"/>
      <c r="C25" s="345"/>
      <c r="D25" s="345"/>
      <c r="E25" s="346"/>
      <c r="F25" s="214">
        <v>0</v>
      </c>
      <c r="G25" s="215" t="s">
        <v>52</v>
      </c>
      <c r="H25" s="215" t="s">
        <v>52</v>
      </c>
      <c r="I25" s="214">
        <f t="shared" si="0"/>
        <v>0</v>
      </c>
    </row>
    <row r="26" spans="1:9" x14ac:dyDescent="0.25">
      <c r="A26" s="347" t="s">
        <v>1195</v>
      </c>
      <c r="B26" s="348"/>
      <c r="C26" s="348"/>
      <c r="D26" s="348"/>
      <c r="E26" s="349"/>
      <c r="F26" s="216">
        <v>0</v>
      </c>
      <c r="G26" s="217" t="s">
        <v>52</v>
      </c>
      <c r="H26" s="217" t="s">
        <v>52</v>
      </c>
      <c r="I26" s="216">
        <f t="shared" si="0"/>
        <v>0</v>
      </c>
    </row>
    <row r="27" spans="1:9" x14ac:dyDescent="0.25">
      <c r="A27" s="350" t="s">
        <v>1222</v>
      </c>
      <c r="B27" s="351"/>
      <c r="C27" s="351"/>
      <c r="D27" s="351"/>
      <c r="E27" s="352"/>
      <c r="F27" s="218" t="s">
        <v>52</v>
      </c>
      <c r="G27" s="219" t="s">
        <v>52</v>
      </c>
      <c r="H27" s="219" t="s">
        <v>52</v>
      </c>
      <c r="I27" s="220">
        <f>SUM(I21:I26)</f>
        <v>0</v>
      </c>
    </row>
    <row r="29" spans="1:9" ht="15.75" x14ac:dyDescent="0.25">
      <c r="A29" s="353" t="s">
        <v>1223</v>
      </c>
      <c r="B29" s="354"/>
      <c r="C29" s="354"/>
      <c r="D29" s="354"/>
      <c r="E29" s="355"/>
      <c r="F29" s="356">
        <f>I18+I27</f>
        <v>0</v>
      </c>
      <c r="G29" s="357"/>
      <c r="H29" s="357"/>
      <c r="I29" s="358"/>
    </row>
    <row r="33" spans="1:9" ht="15.75" x14ac:dyDescent="0.25">
      <c r="A33" s="340" t="s">
        <v>1224</v>
      </c>
      <c r="B33" s="340"/>
      <c r="C33" s="340"/>
      <c r="D33" s="340"/>
      <c r="E33" s="340"/>
    </row>
    <row r="34" spans="1:9" x14ac:dyDescent="0.25">
      <c r="A34" s="341" t="s">
        <v>1225</v>
      </c>
      <c r="B34" s="342"/>
      <c r="C34" s="342"/>
      <c r="D34" s="342"/>
      <c r="E34" s="343"/>
      <c r="F34" s="213" t="s">
        <v>1219</v>
      </c>
      <c r="G34" s="213" t="s">
        <v>380</v>
      </c>
      <c r="H34" s="213" t="s">
        <v>1220</v>
      </c>
      <c r="I34" s="213" t="s">
        <v>1219</v>
      </c>
    </row>
    <row r="35" spans="1:9" x14ac:dyDescent="0.25">
      <c r="A35" s="347" t="s">
        <v>52</v>
      </c>
      <c r="B35" s="348"/>
      <c r="C35" s="348"/>
      <c r="D35" s="348"/>
      <c r="E35" s="349"/>
      <c r="F35" s="216">
        <v>0</v>
      </c>
      <c r="G35" s="217" t="s">
        <v>52</v>
      </c>
      <c r="H35" s="217" t="s">
        <v>52</v>
      </c>
      <c r="I35" s="216">
        <f>F35</f>
        <v>0</v>
      </c>
    </row>
    <row r="36" spans="1:9" x14ac:dyDescent="0.25">
      <c r="A36" s="350" t="s">
        <v>1226</v>
      </c>
      <c r="B36" s="351"/>
      <c r="C36" s="351"/>
      <c r="D36" s="351"/>
      <c r="E36" s="352"/>
      <c r="F36" s="218" t="s">
        <v>52</v>
      </c>
      <c r="G36" s="219" t="s">
        <v>52</v>
      </c>
      <c r="H36" s="219" t="s">
        <v>52</v>
      </c>
      <c r="I36" s="220">
        <f>SUM(I35:I35)</f>
        <v>0</v>
      </c>
    </row>
  </sheetData>
  <mergeCells count="51">
    <mergeCell ref="A36:E36"/>
    <mergeCell ref="A29:E29"/>
    <mergeCell ref="F29:I29"/>
    <mergeCell ref="A33:E33"/>
    <mergeCell ref="A34:E34"/>
    <mergeCell ref="A35:E35"/>
    <mergeCell ref="A23:E23"/>
    <mergeCell ref="A24:E24"/>
    <mergeCell ref="A25:E25"/>
    <mergeCell ref="A26:E26"/>
    <mergeCell ref="A27:E27"/>
    <mergeCell ref="A17:E17"/>
    <mergeCell ref="A18:E18"/>
    <mergeCell ref="A20:E20"/>
    <mergeCell ref="A21:E21"/>
    <mergeCell ref="A22:E22"/>
    <mergeCell ref="I10:I11"/>
    <mergeCell ref="A13:E13"/>
    <mergeCell ref="A14:E14"/>
    <mergeCell ref="A15:E15"/>
    <mergeCell ref="A16:E16"/>
    <mergeCell ref="H10:H11"/>
    <mergeCell ref="C2:D3"/>
    <mergeCell ref="C4:D5"/>
    <mergeCell ref="C6:D7"/>
    <mergeCell ref="C8:D9"/>
    <mergeCell ref="C10:D11"/>
    <mergeCell ref="F2:G3"/>
    <mergeCell ref="F4:G5"/>
    <mergeCell ref="F6:G7"/>
    <mergeCell ref="F8:G9"/>
    <mergeCell ref="F10:G11"/>
    <mergeCell ref="A10:B11"/>
    <mergeCell ref="E2:E3"/>
    <mergeCell ref="E4:E5"/>
    <mergeCell ref="E6:E7"/>
    <mergeCell ref="E8:E9"/>
    <mergeCell ref="E10:E11"/>
    <mergeCell ref="A1:I1"/>
    <mergeCell ref="A2:B3"/>
    <mergeCell ref="A4:B5"/>
    <mergeCell ref="A6:B7"/>
    <mergeCell ref="A8:B9"/>
    <mergeCell ref="H2:H3"/>
    <mergeCell ref="H4:H5"/>
    <mergeCell ref="H6:H7"/>
    <mergeCell ref="H8:H9"/>
    <mergeCell ref="I2:I3"/>
    <mergeCell ref="I4:I5"/>
    <mergeCell ref="I6:I7"/>
    <mergeCell ref="I8:I9"/>
  </mergeCells>
  <pageMargins left="0.393999993801117" right="0.393999993801117" top="0.59100002050399802" bottom="0.59100002050399802" header="0" footer="0"/>
  <pageSetup fitToHeight="0"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35"/>
  <sheetViews>
    <sheetView workbookViewId="0">
      <selection activeCell="A35" sqref="A35:I35"/>
    </sheetView>
  </sheetViews>
  <sheetFormatPr defaultColWidth="12.140625" defaultRowHeight="15" customHeight="1" x14ac:dyDescent="0.25"/>
  <cols>
    <col min="1" max="1" width="9.140625" customWidth="1"/>
    <col min="2" max="2" width="12.85546875" customWidth="1"/>
    <col min="3" max="3" width="27.140625" customWidth="1"/>
    <col min="4" max="4" width="10" customWidth="1"/>
    <col min="5" max="5" width="14" customWidth="1"/>
    <col min="6" max="6" width="27.140625" customWidth="1"/>
    <col min="7" max="7" width="9.140625" customWidth="1"/>
    <col min="8" max="8" width="12.85546875" customWidth="1"/>
    <col min="9" max="9" width="27.140625" customWidth="1"/>
  </cols>
  <sheetData>
    <row r="1" spans="1:9" ht="54.75" customHeight="1" x14ac:dyDescent="0.25">
      <c r="A1" s="301" t="s">
        <v>1227</v>
      </c>
      <c r="B1" s="221"/>
      <c r="C1" s="221"/>
      <c r="D1" s="221"/>
      <c r="E1" s="221"/>
      <c r="F1" s="221"/>
      <c r="G1" s="221"/>
      <c r="H1" s="221"/>
      <c r="I1" s="221"/>
    </row>
    <row r="2" spans="1:9" x14ac:dyDescent="0.25">
      <c r="A2" s="222" t="s">
        <v>1</v>
      </c>
      <c r="B2" s="223"/>
      <c r="C2" s="231" t="str">
        <f>'Stavební rozpočet'!C2</f>
        <v>REKONSTRUKCE STŘECHY ZŠ T.G.MASARYKA V IVANČICÍCH</v>
      </c>
      <c r="D2" s="232"/>
      <c r="E2" s="229" t="s">
        <v>5</v>
      </c>
      <c r="F2" s="229" t="str">
        <f>'Stavební rozpočet'!I2</f>
        <v>Město Ivančice</v>
      </c>
      <c r="G2" s="223"/>
      <c r="H2" s="229" t="s">
        <v>1171</v>
      </c>
      <c r="I2" s="234" t="s">
        <v>1172</v>
      </c>
    </row>
    <row r="3" spans="1:9" ht="15" customHeight="1" x14ac:dyDescent="0.25">
      <c r="A3" s="224"/>
      <c r="B3" s="225"/>
      <c r="C3" s="233"/>
      <c r="D3" s="233"/>
      <c r="E3" s="225"/>
      <c r="F3" s="225"/>
      <c r="G3" s="225"/>
      <c r="H3" s="225"/>
      <c r="I3" s="235"/>
    </row>
    <row r="4" spans="1:9" x14ac:dyDescent="0.25">
      <c r="A4" s="226" t="s">
        <v>7</v>
      </c>
      <c r="B4" s="225"/>
      <c r="C4" s="230" t="str">
        <f>'Stavební rozpočet'!C4</f>
        <v>oprava střešní konstrukce</v>
      </c>
      <c r="D4" s="225"/>
      <c r="E4" s="230" t="s">
        <v>11</v>
      </c>
      <c r="F4" s="230" t="str">
        <f>'Stavební rozpočet'!I4</f>
        <v>Tomáš Sýkora</v>
      </c>
      <c r="G4" s="225"/>
      <c r="H4" s="230" t="s">
        <v>1171</v>
      </c>
      <c r="I4" s="235" t="s">
        <v>1173</v>
      </c>
    </row>
    <row r="5" spans="1:9" ht="15" customHeight="1" x14ac:dyDescent="0.25">
      <c r="A5" s="224"/>
      <c r="B5" s="225"/>
      <c r="C5" s="225"/>
      <c r="D5" s="225"/>
      <c r="E5" s="225"/>
      <c r="F5" s="225"/>
      <c r="G5" s="225"/>
      <c r="H5" s="225"/>
      <c r="I5" s="235"/>
    </row>
    <row r="6" spans="1:9" x14ac:dyDescent="0.25">
      <c r="A6" s="226" t="s">
        <v>13</v>
      </c>
      <c r="B6" s="225"/>
      <c r="C6" s="230" t="str">
        <f>'Stavební rozpočet'!C6</f>
        <v>ZŠ TGM Ivančice, Na Brněnce 1, 664 91 Ivančice</v>
      </c>
      <c r="D6" s="225"/>
      <c r="E6" s="230" t="s">
        <v>16</v>
      </c>
      <c r="F6" s="230" t="str">
        <f>'Stavební rozpočet'!I6</f>
        <v> </v>
      </c>
      <c r="G6" s="225"/>
      <c r="H6" s="230" t="s">
        <v>1171</v>
      </c>
      <c r="I6" s="235" t="s">
        <v>52</v>
      </c>
    </row>
    <row r="7" spans="1:9" ht="15" customHeight="1" x14ac:dyDescent="0.25">
      <c r="A7" s="224"/>
      <c r="B7" s="225"/>
      <c r="C7" s="225"/>
      <c r="D7" s="225"/>
      <c r="E7" s="225"/>
      <c r="F7" s="225"/>
      <c r="G7" s="225"/>
      <c r="H7" s="225"/>
      <c r="I7" s="235"/>
    </row>
    <row r="8" spans="1:9" x14ac:dyDescent="0.25">
      <c r="A8" s="226" t="s">
        <v>9</v>
      </c>
      <c r="B8" s="225"/>
      <c r="C8" s="230" t="str">
        <f>'Stavební rozpočet'!G4</f>
        <v>13.01.2025</v>
      </c>
      <c r="D8" s="225"/>
      <c r="E8" s="230" t="s">
        <v>15</v>
      </c>
      <c r="F8" s="230" t="str">
        <f>'Stavební rozpočet'!G6</f>
        <v>13.01.2025</v>
      </c>
      <c r="G8" s="225"/>
      <c r="H8" s="225" t="s">
        <v>1174</v>
      </c>
      <c r="I8" s="304">
        <v>22</v>
      </c>
    </row>
    <row r="9" spans="1:9" x14ac:dyDescent="0.25">
      <c r="A9" s="224"/>
      <c r="B9" s="225"/>
      <c r="C9" s="225"/>
      <c r="D9" s="225"/>
      <c r="E9" s="225"/>
      <c r="F9" s="225"/>
      <c r="G9" s="225"/>
      <c r="H9" s="225"/>
      <c r="I9" s="235"/>
    </row>
    <row r="10" spans="1:9" x14ac:dyDescent="0.25">
      <c r="A10" s="226" t="s">
        <v>18</v>
      </c>
      <c r="B10" s="225"/>
      <c r="C10" s="230" t="str">
        <f>'Stavební rozpočet'!C8</f>
        <v>8013212</v>
      </c>
      <c r="D10" s="225"/>
      <c r="E10" s="230" t="s">
        <v>21</v>
      </c>
      <c r="F10" s="230" t="str">
        <f>'Stavební rozpočet'!I8</f>
        <v>Tomáš Sýkora</v>
      </c>
      <c r="G10" s="225"/>
      <c r="H10" s="225" t="s">
        <v>1175</v>
      </c>
      <c r="I10" s="305" t="str">
        <f>'Stavební rozpočet'!G8</f>
        <v>13.01.2025</v>
      </c>
    </row>
    <row r="11" spans="1:9" x14ac:dyDescent="0.25">
      <c r="A11" s="302"/>
      <c r="B11" s="303"/>
      <c r="C11" s="303"/>
      <c r="D11" s="303"/>
      <c r="E11" s="303"/>
      <c r="F11" s="303"/>
      <c r="G11" s="303"/>
      <c r="H11" s="303"/>
      <c r="I11" s="306"/>
    </row>
    <row r="12" spans="1:9" ht="23.25" x14ac:dyDescent="0.25">
      <c r="A12" s="307" t="s">
        <v>1176</v>
      </c>
      <c r="B12" s="307"/>
      <c r="C12" s="307"/>
      <c r="D12" s="307"/>
      <c r="E12" s="307"/>
      <c r="F12" s="307"/>
      <c r="G12" s="307"/>
      <c r="H12" s="307"/>
      <c r="I12" s="307"/>
    </row>
    <row r="13" spans="1:9" ht="26.25" customHeight="1" x14ac:dyDescent="0.25">
      <c r="A13" s="200" t="s">
        <v>1177</v>
      </c>
      <c r="B13" s="308" t="s">
        <v>1178</v>
      </c>
      <c r="C13" s="309"/>
      <c r="D13" s="201" t="s">
        <v>1179</v>
      </c>
      <c r="E13" s="308" t="s">
        <v>1180</v>
      </c>
      <c r="F13" s="309"/>
      <c r="G13" s="201" t="s">
        <v>1181</v>
      </c>
      <c r="H13" s="308" t="s">
        <v>1182</v>
      </c>
      <c r="I13" s="309"/>
    </row>
    <row r="14" spans="1:9" ht="15.75" x14ac:dyDescent="0.25">
      <c r="A14" s="202" t="s">
        <v>1183</v>
      </c>
      <c r="B14" s="203" t="s">
        <v>1184</v>
      </c>
      <c r="C14" s="204">
        <f>SUMIF('Stavební rozpočet'!AI12:AI752,"00",'Stavební rozpočet'!AB12:AB752)</f>
        <v>0</v>
      </c>
      <c r="D14" s="316" t="s">
        <v>1185</v>
      </c>
      <c r="E14" s="317"/>
      <c r="F14" s="204">
        <f>'VORN objektu (00)'!I15</f>
        <v>0</v>
      </c>
      <c r="G14" s="316" t="s">
        <v>1186</v>
      </c>
      <c r="H14" s="317"/>
      <c r="I14" s="205">
        <f>'VORN objektu (00)'!I21</f>
        <v>0</v>
      </c>
    </row>
    <row r="15" spans="1:9" ht="15.75" x14ac:dyDescent="0.25">
      <c r="A15" s="206" t="s">
        <v>52</v>
      </c>
      <c r="B15" s="203" t="s">
        <v>37</v>
      </c>
      <c r="C15" s="204">
        <f>SUMIF('Stavební rozpočet'!AI12:AI752,"00",'Stavební rozpočet'!AC12:AC752)</f>
        <v>0</v>
      </c>
      <c r="D15" s="316" t="s">
        <v>1187</v>
      </c>
      <c r="E15" s="317"/>
      <c r="F15" s="204">
        <f>'VORN objektu (00)'!I16</f>
        <v>0</v>
      </c>
      <c r="G15" s="316" t="s">
        <v>1188</v>
      </c>
      <c r="H15" s="317"/>
      <c r="I15" s="205">
        <f>'VORN objektu (00)'!I22</f>
        <v>0</v>
      </c>
    </row>
    <row r="16" spans="1:9" ht="15.75" x14ac:dyDescent="0.25">
      <c r="A16" s="202" t="s">
        <v>1189</v>
      </c>
      <c r="B16" s="203" t="s">
        <v>1184</v>
      </c>
      <c r="C16" s="204">
        <f>SUMIF('Stavební rozpočet'!AI12:AI752,"00",'Stavební rozpočet'!AD12:AD752)</f>
        <v>0</v>
      </c>
      <c r="D16" s="316" t="s">
        <v>1190</v>
      </c>
      <c r="E16" s="317"/>
      <c r="F16" s="204">
        <f>'VORN objektu (00)'!I17</f>
        <v>0</v>
      </c>
      <c r="G16" s="316" t="s">
        <v>1191</v>
      </c>
      <c r="H16" s="317"/>
      <c r="I16" s="205">
        <f>'VORN objektu (00)'!I23</f>
        <v>0</v>
      </c>
    </row>
    <row r="17" spans="1:9" ht="15.75" x14ac:dyDescent="0.25">
      <c r="A17" s="206" t="s">
        <v>52</v>
      </c>
      <c r="B17" s="203" t="s">
        <v>37</v>
      </c>
      <c r="C17" s="204">
        <f>SUMIF('Stavební rozpočet'!AI12:AI752,"00",'Stavební rozpočet'!AE12:AE752)</f>
        <v>0</v>
      </c>
      <c r="D17" s="316" t="s">
        <v>52</v>
      </c>
      <c r="E17" s="317"/>
      <c r="F17" s="205" t="s">
        <v>52</v>
      </c>
      <c r="G17" s="316" t="s">
        <v>1192</v>
      </c>
      <c r="H17" s="317"/>
      <c r="I17" s="205">
        <f>'VORN objektu (00)'!I24</f>
        <v>0</v>
      </c>
    </row>
    <row r="18" spans="1:9" ht="15.75" x14ac:dyDescent="0.25">
      <c r="A18" s="202" t="s">
        <v>1193</v>
      </c>
      <c r="B18" s="203" t="s">
        <v>1184</v>
      </c>
      <c r="C18" s="204">
        <f>SUMIF('Stavební rozpočet'!AI12:AI752,"00",'Stavební rozpočet'!AF12:AF752)</f>
        <v>0</v>
      </c>
      <c r="D18" s="316" t="s">
        <v>52</v>
      </c>
      <c r="E18" s="317"/>
      <c r="F18" s="205" t="s">
        <v>52</v>
      </c>
      <c r="G18" s="316" t="s">
        <v>1194</v>
      </c>
      <c r="H18" s="317"/>
      <c r="I18" s="205">
        <f>'VORN objektu (00)'!I25</f>
        <v>0</v>
      </c>
    </row>
    <row r="19" spans="1:9" ht="15.75" x14ac:dyDescent="0.25">
      <c r="A19" s="206" t="s">
        <v>52</v>
      </c>
      <c r="B19" s="203" t="s">
        <v>37</v>
      </c>
      <c r="C19" s="204">
        <f>SUMIF('Stavební rozpočet'!AI12:AI752,"00",'Stavební rozpočet'!AG12:AG752)</f>
        <v>0</v>
      </c>
      <c r="D19" s="316" t="s">
        <v>52</v>
      </c>
      <c r="E19" s="317"/>
      <c r="F19" s="205" t="s">
        <v>52</v>
      </c>
      <c r="G19" s="316" t="s">
        <v>1195</v>
      </c>
      <c r="H19" s="317"/>
      <c r="I19" s="205">
        <f>'VORN objektu (00)'!I26</f>
        <v>0</v>
      </c>
    </row>
    <row r="20" spans="1:9" ht="15.75" x14ac:dyDescent="0.25">
      <c r="A20" s="310" t="s">
        <v>1196</v>
      </c>
      <c r="B20" s="311"/>
      <c r="C20" s="204">
        <f>SUMIF('Stavební rozpočet'!AI12:AI752,"00",'Stavební rozpočet'!AH12:AH752)</f>
        <v>0</v>
      </c>
      <c r="D20" s="316" t="s">
        <v>52</v>
      </c>
      <c r="E20" s="317"/>
      <c r="F20" s="205" t="s">
        <v>52</v>
      </c>
      <c r="G20" s="316" t="s">
        <v>52</v>
      </c>
      <c r="H20" s="317"/>
      <c r="I20" s="205" t="s">
        <v>52</v>
      </c>
    </row>
    <row r="21" spans="1:9" ht="15.75" x14ac:dyDescent="0.25">
      <c r="A21" s="312" t="s">
        <v>1197</v>
      </c>
      <c r="B21" s="313"/>
      <c r="C21" s="204">
        <f>SUMIF('Stavební rozpočet'!AI12:AI752,"00",'Stavební rozpočet'!Z12:Z752)</f>
        <v>0</v>
      </c>
      <c r="D21" s="318" t="s">
        <v>52</v>
      </c>
      <c r="E21" s="319"/>
      <c r="F21" s="208" t="s">
        <v>52</v>
      </c>
      <c r="G21" s="318" t="s">
        <v>52</v>
      </c>
      <c r="H21" s="319"/>
      <c r="I21" s="208" t="s">
        <v>52</v>
      </c>
    </row>
    <row r="22" spans="1:9" ht="16.5" customHeight="1" x14ac:dyDescent="0.25">
      <c r="A22" s="314" t="s">
        <v>1198</v>
      </c>
      <c r="B22" s="315"/>
      <c r="C22" s="204">
        <f>ROUND(SUM(C14:C21),2)</f>
        <v>0</v>
      </c>
      <c r="D22" s="320" t="s">
        <v>1199</v>
      </c>
      <c r="E22" s="315"/>
      <c r="F22" s="209">
        <f>SUM(F14:F21)</f>
        <v>0</v>
      </c>
      <c r="G22" s="320" t="s">
        <v>1200</v>
      </c>
      <c r="H22" s="315"/>
      <c r="I22" s="209">
        <f>SUM(I14:I21)</f>
        <v>0</v>
      </c>
    </row>
    <row r="23" spans="1:9" ht="15.75" x14ac:dyDescent="0.25">
      <c r="G23" s="310" t="s">
        <v>1203</v>
      </c>
      <c r="H23" s="311"/>
      <c r="I23" s="204">
        <f>'VORN objektu (00)'!I36</f>
        <v>0</v>
      </c>
    </row>
    <row r="25" spans="1:9" ht="15.75" x14ac:dyDescent="0.25">
      <c r="A25" s="322" t="s">
        <v>1205</v>
      </c>
      <c r="B25" s="323"/>
      <c r="C25" s="210">
        <f>ROUND(('Stavební rozpočet'!AS13+'Stavební rozpočet'!AS16+'Stavební rozpočet'!AS41+'Stavební rozpočet'!AS50),2)</f>
        <v>0</v>
      </c>
    </row>
    <row r="26" spans="1:9" ht="15.75" x14ac:dyDescent="0.25">
      <c r="A26" s="324" t="s">
        <v>1206</v>
      </c>
      <c r="B26" s="325"/>
      <c r="C26" s="211">
        <f>ROUND(('Stavební rozpočet'!AT13+'Stavební rozpočet'!AT16+'Stavební rozpočet'!AT41+'Stavební rozpočet'!AT50),2)</f>
        <v>0</v>
      </c>
      <c r="D26" s="326" t="s">
        <v>1207</v>
      </c>
      <c r="E26" s="323"/>
      <c r="F26" s="210">
        <f>ROUND(C26*(12/100),2)</f>
        <v>0</v>
      </c>
      <c r="G26" s="326" t="s">
        <v>1208</v>
      </c>
      <c r="H26" s="323"/>
      <c r="I26" s="210">
        <f>ROUND(SUM(C25:C27),2)</f>
        <v>0</v>
      </c>
    </row>
    <row r="27" spans="1:9" ht="15.75" x14ac:dyDescent="0.25">
      <c r="A27" s="324" t="s">
        <v>1209</v>
      </c>
      <c r="B27" s="325"/>
      <c r="C27" s="211">
        <f>ROUND(('Stavební rozpočet'!AU13+'Stavební rozpočet'!AU16+'Stavební rozpočet'!AU41+'Stavební rozpočet'!AU50)+(F22+I22+F23+I23+I24),2)</f>
        <v>0</v>
      </c>
      <c r="D27" s="327" t="s">
        <v>1210</v>
      </c>
      <c r="E27" s="325"/>
      <c r="F27" s="211">
        <f>ROUND(C27*(21/100),2)</f>
        <v>0</v>
      </c>
      <c r="G27" s="327" t="s">
        <v>1211</v>
      </c>
      <c r="H27" s="325"/>
      <c r="I27" s="211">
        <f>ROUND(SUM(F26:F27)+I26,2)</f>
        <v>0</v>
      </c>
    </row>
    <row r="29" spans="1:9" x14ac:dyDescent="0.25">
      <c r="A29" s="328" t="s">
        <v>1212</v>
      </c>
      <c r="B29" s="329"/>
      <c r="C29" s="330"/>
      <c r="D29" s="337" t="s">
        <v>1213</v>
      </c>
      <c r="E29" s="329"/>
      <c r="F29" s="330"/>
      <c r="G29" s="337" t="s">
        <v>1214</v>
      </c>
      <c r="H29" s="329"/>
      <c r="I29" s="330"/>
    </row>
    <row r="30" spans="1:9" x14ac:dyDescent="0.25">
      <c r="A30" s="331" t="s">
        <v>52</v>
      </c>
      <c r="B30" s="332"/>
      <c r="C30" s="333"/>
      <c r="D30" s="338" t="s">
        <v>52</v>
      </c>
      <c r="E30" s="332"/>
      <c r="F30" s="333"/>
      <c r="G30" s="338" t="s">
        <v>52</v>
      </c>
      <c r="H30" s="332"/>
      <c r="I30" s="333"/>
    </row>
    <row r="31" spans="1:9" x14ac:dyDescent="0.25">
      <c r="A31" s="331" t="s">
        <v>52</v>
      </c>
      <c r="B31" s="332"/>
      <c r="C31" s="333"/>
      <c r="D31" s="338" t="s">
        <v>52</v>
      </c>
      <c r="E31" s="332"/>
      <c r="F31" s="333"/>
      <c r="G31" s="338" t="s">
        <v>52</v>
      </c>
      <c r="H31" s="332"/>
      <c r="I31" s="333"/>
    </row>
    <row r="32" spans="1:9" x14ac:dyDescent="0.25">
      <c r="A32" s="331" t="s">
        <v>52</v>
      </c>
      <c r="B32" s="332"/>
      <c r="C32" s="333"/>
      <c r="D32" s="338" t="s">
        <v>52</v>
      </c>
      <c r="E32" s="332"/>
      <c r="F32" s="333"/>
      <c r="G32" s="338" t="s">
        <v>52</v>
      </c>
      <c r="H32" s="332"/>
      <c r="I32" s="333"/>
    </row>
    <row r="33" spans="1:9" x14ac:dyDescent="0.25">
      <c r="A33" s="334" t="s">
        <v>1215</v>
      </c>
      <c r="B33" s="335"/>
      <c r="C33" s="336"/>
      <c r="D33" s="339" t="s">
        <v>1215</v>
      </c>
      <c r="E33" s="335"/>
      <c r="F33" s="336"/>
      <c r="G33" s="339" t="s">
        <v>1215</v>
      </c>
      <c r="H33" s="335"/>
      <c r="I33" s="336"/>
    </row>
    <row r="34" spans="1:9" x14ac:dyDescent="0.25">
      <c r="A34" s="212" t="s">
        <v>148</v>
      </c>
    </row>
    <row r="35" spans="1:9" ht="12.75" customHeight="1" x14ac:dyDescent="0.25">
      <c r="A35" s="230" t="s">
        <v>52</v>
      </c>
      <c r="B35" s="225"/>
      <c r="C35" s="225"/>
      <c r="D35" s="225"/>
      <c r="E35" s="225"/>
      <c r="F35" s="225"/>
      <c r="G35" s="225"/>
      <c r="H35" s="225"/>
      <c r="I35" s="225"/>
    </row>
  </sheetData>
  <mergeCells count="80">
    <mergeCell ref="G32:I32"/>
    <mergeCell ref="G33:I33"/>
    <mergeCell ref="A35:I35"/>
    <mergeCell ref="A32:C32"/>
    <mergeCell ref="A33:C33"/>
    <mergeCell ref="D29:F29"/>
    <mergeCell ref="D30:F30"/>
    <mergeCell ref="D31:F31"/>
    <mergeCell ref="D32:F32"/>
    <mergeCell ref="D33:F33"/>
    <mergeCell ref="G26:H26"/>
    <mergeCell ref="G27:H27"/>
    <mergeCell ref="A29:C29"/>
    <mergeCell ref="A30:C30"/>
    <mergeCell ref="A31:C31"/>
    <mergeCell ref="G29:I29"/>
    <mergeCell ref="G30:I30"/>
    <mergeCell ref="G31:I31"/>
    <mergeCell ref="A25:B25"/>
    <mergeCell ref="A26:B26"/>
    <mergeCell ref="A27:B27"/>
    <mergeCell ref="D26:E26"/>
    <mergeCell ref="D27:E27"/>
    <mergeCell ref="G19:H19"/>
    <mergeCell ref="G20:H20"/>
    <mergeCell ref="G21:H21"/>
    <mergeCell ref="G22:H22"/>
    <mergeCell ref="G23:H23"/>
    <mergeCell ref="G14:H14"/>
    <mergeCell ref="G15:H15"/>
    <mergeCell ref="G16:H16"/>
    <mergeCell ref="G17:H17"/>
    <mergeCell ref="G18:H18"/>
    <mergeCell ref="A20:B20"/>
    <mergeCell ref="A21:B21"/>
    <mergeCell ref="A22:B22"/>
    <mergeCell ref="D14:E14"/>
    <mergeCell ref="D15:E15"/>
    <mergeCell ref="D16:E16"/>
    <mergeCell ref="D17:E17"/>
    <mergeCell ref="D18:E18"/>
    <mergeCell ref="D19:E19"/>
    <mergeCell ref="D20:E20"/>
    <mergeCell ref="D21:E21"/>
    <mergeCell ref="D22:E22"/>
    <mergeCell ref="I10:I11"/>
    <mergeCell ref="A12:I12"/>
    <mergeCell ref="B13:C13"/>
    <mergeCell ref="E13:F13"/>
    <mergeCell ref="H13:I13"/>
    <mergeCell ref="F10:G11"/>
    <mergeCell ref="H2:H3"/>
    <mergeCell ref="H4:H5"/>
    <mergeCell ref="H6:H7"/>
    <mergeCell ref="H8:H9"/>
    <mergeCell ref="H10:H11"/>
    <mergeCell ref="A10:B11"/>
    <mergeCell ref="E2:E3"/>
    <mergeCell ref="E4:E5"/>
    <mergeCell ref="E6:E7"/>
    <mergeCell ref="E8:E9"/>
    <mergeCell ref="E10:E11"/>
    <mergeCell ref="C2:D3"/>
    <mergeCell ref="C4:D5"/>
    <mergeCell ref="C6:D7"/>
    <mergeCell ref="C8:D9"/>
    <mergeCell ref="C10:D11"/>
    <mergeCell ref="A1:I1"/>
    <mergeCell ref="A2:B3"/>
    <mergeCell ref="A4:B5"/>
    <mergeCell ref="A6:B7"/>
    <mergeCell ref="A8:B9"/>
    <mergeCell ref="F2:G3"/>
    <mergeCell ref="F4:G5"/>
    <mergeCell ref="F6:G7"/>
    <mergeCell ref="F8:G9"/>
    <mergeCell ref="I2:I3"/>
    <mergeCell ref="I4:I5"/>
    <mergeCell ref="I6:I7"/>
    <mergeCell ref="I8:I9"/>
  </mergeCells>
  <pageMargins left="0.393999993801117" right="0.393999993801117" top="0.59100002050399802" bottom="0.59100002050399802" header="0" footer="0"/>
  <pageSetup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36"/>
  <sheetViews>
    <sheetView workbookViewId="0">
      <selection activeCell="A36" sqref="A36:E36"/>
    </sheetView>
  </sheetViews>
  <sheetFormatPr defaultColWidth="12.140625" defaultRowHeight="15" customHeight="1" x14ac:dyDescent="0.25"/>
  <cols>
    <col min="1" max="1" width="9.140625" customWidth="1"/>
    <col min="2" max="2" width="12.85546875" customWidth="1"/>
    <col min="3" max="3" width="22.85546875" customWidth="1"/>
    <col min="4" max="4" width="10" customWidth="1"/>
    <col min="5" max="5" width="14" customWidth="1"/>
    <col min="6" max="6" width="22.85546875" customWidth="1"/>
    <col min="7" max="7" width="9.140625" customWidth="1"/>
    <col min="8" max="8" width="17.140625" customWidth="1"/>
    <col min="9" max="9" width="22.85546875" customWidth="1"/>
  </cols>
  <sheetData>
    <row r="1" spans="1:9" ht="54.75" customHeight="1" x14ac:dyDescent="0.25">
      <c r="A1" s="301" t="s">
        <v>1228</v>
      </c>
      <c r="B1" s="221"/>
      <c r="C1" s="221"/>
      <c r="D1" s="221"/>
      <c r="E1" s="221"/>
      <c r="F1" s="221"/>
      <c r="G1" s="221"/>
      <c r="H1" s="221"/>
      <c r="I1" s="221"/>
    </row>
    <row r="2" spans="1:9" x14ac:dyDescent="0.25">
      <c r="A2" s="222" t="s">
        <v>1</v>
      </c>
      <c r="B2" s="223"/>
      <c r="C2" s="231" t="str">
        <f>'Stavební rozpočet'!C2</f>
        <v>REKONSTRUKCE STŘECHY ZŠ T.G.MASARYKA V IVANČICÍCH</v>
      </c>
      <c r="D2" s="232"/>
      <c r="E2" s="229" t="s">
        <v>5</v>
      </c>
      <c r="F2" s="229" t="str">
        <f>'Stavební rozpočet'!I2</f>
        <v>Město Ivančice</v>
      </c>
      <c r="G2" s="223"/>
      <c r="H2" s="229" t="s">
        <v>1171</v>
      </c>
      <c r="I2" s="234" t="s">
        <v>1172</v>
      </c>
    </row>
    <row r="3" spans="1:9" ht="15" customHeight="1" x14ac:dyDescent="0.25">
      <c r="A3" s="224"/>
      <c r="B3" s="225"/>
      <c r="C3" s="233"/>
      <c r="D3" s="233"/>
      <c r="E3" s="225"/>
      <c r="F3" s="225"/>
      <c r="G3" s="225"/>
      <c r="H3" s="225"/>
      <c r="I3" s="235"/>
    </row>
    <row r="4" spans="1:9" x14ac:dyDescent="0.25">
      <c r="A4" s="226" t="s">
        <v>7</v>
      </c>
      <c r="B4" s="225"/>
      <c r="C4" s="230" t="str">
        <f>'Stavební rozpočet'!C4</f>
        <v>oprava střešní konstrukce</v>
      </c>
      <c r="D4" s="225"/>
      <c r="E4" s="230" t="s">
        <v>11</v>
      </c>
      <c r="F4" s="230" t="str">
        <f>'Stavební rozpočet'!I4</f>
        <v>Tomáš Sýkora</v>
      </c>
      <c r="G4" s="225"/>
      <c r="H4" s="230" t="s">
        <v>1171</v>
      </c>
      <c r="I4" s="235" t="s">
        <v>1173</v>
      </c>
    </row>
    <row r="5" spans="1:9" ht="15" customHeight="1" x14ac:dyDescent="0.25">
      <c r="A5" s="224"/>
      <c r="B5" s="225"/>
      <c r="C5" s="225"/>
      <c r="D5" s="225"/>
      <c r="E5" s="225"/>
      <c r="F5" s="225"/>
      <c r="G5" s="225"/>
      <c r="H5" s="225"/>
      <c r="I5" s="235"/>
    </row>
    <row r="6" spans="1:9" x14ac:dyDescent="0.25">
      <c r="A6" s="226" t="s">
        <v>13</v>
      </c>
      <c r="B6" s="225"/>
      <c r="C6" s="230" t="str">
        <f>'Stavební rozpočet'!C6</f>
        <v>ZŠ TGM Ivančice, Na Brněnce 1, 664 91 Ivančice</v>
      </c>
      <c r="D6" s="225"/>
      <c r="E6" s="230" t="s">
        <v>16</v>
      </c>
      <c r="F6" s="230" t="str">
        <f>'Stavební rozpočet'!I6</f>
        <v> </v>
      </c>
      <c r="G6" s="225"/>
      <c r="H6" s="230" t="s">
        <v>1171</v>
      </c>
      <c r="I6" s="235" t="s">
        <v>52</v>
      </c>
    </row>
    <row r="7" spans="1:9" ht="15" customHeight="1" x14ac:dyDescent="0.25">
      <c r="A7" s="224"/>
      <c r="B7" s="225"/>
      <c r="C7" s="225"/>
      <c r="D7" s="225"/>
      <c r="E7" s="225"/>
      <c r="F7" s="225"/>
      <c r="G7" s="225"/>
      <c r="H7" s="225"/>
      <c r="I7" s="235"/>
    </row>
    <row r="8" spans="1:9" x14ac:dyDescent="0.25">
      <c r="A8" s="226" t="s">
        <v>9</v>
      </c>
      <c r="B8" s="225"/>
      <c r="C8" s="230" t="str">
        <f>'Stavební rozpočet'!G4</f>
        <v>13.01.2025</v>
      </c>
      <c r="D8" s="225"/>
      <c r="E8" s="230" t="s">
        <v>15</v>
      </c>
      <c r="F8" s="230" t="str">
        <f>'Stavební rozpočet'!G6</f>
        <v>13.01.2025</v>
      </c>
      <c r="G8" s="225"/>
      <c r="H8" s="225" t="s">
        <v>1174</v>
      </c>
      <c r="I8" s="304">
        <v>22</v>
      </c>
    </row>
    <row r="9" spans="1:9" x14ac:dyDescent="0.25">
      <c r="A9" s="224"/>
      <c r="B9" s="225"/>
      <c r="C9" s="225"/>
      <c r="D9" s="225"/>
      <c r="E9" s="225"/>
      <c r="F9" s="225"/>
      <c r="G9" s="225"/>
      <c r="H9" s="225"/>
      <c r="I9" s="235"/>
    </row>
    <row r="10" spans="1:9" x14ac:dyDescent="0.25">
      <c r="A10" s="226" t="s">
        <v>18</v>
      </c>
      <c r="B10" s="225"/>
      <c r="C10" s="230" t="str">
        <f>'Stavební rozpočet'!C8</f>
        <v>8013212</v>
      </c>
      <c r="D10" s="225"/>
      <c r="E10" s="230" t="s">
        <v>21</v>
      </c>
      <c r="F10" s="230" t="str">
        <f>'Stavební rozpočet'!I8</f>
        <v>Tomáš Sýkora</v>
      </c>
      <c r="G10" s="225"/>
      <c r="H10" s="225" t="s">
        <v>1175</v>
      </c>
      <c r="I10" s="305" t="str">
        <f>'Stavební rozpočet'!G8</f>
        <v>13.01.2025</v>
      </c>
    </row>
    <row r="11" spans="1:9" x14ac:dyDescent="0.25">
      <c r="A11" s="302"/>
      <c r="B11" s="303"/>
      <c r="C11" s="303"/>
      <c r="D11" s="303"/>
      <c r="E11" s="303"/>
      <c r="F11" s="303"/>
      <c r="G11" s="303"/>
      <c r="H11" s="303"/>
      <c r="I11" s="306"/>
    </row>
    <row r="13" spans="1:9" ht="15.75" x14ac:dyDescent="0.25">
      <c r="A13" s="340" t="s">
        <v>1217</v>
      </c>
      <c r="B13" s="340"/>
      <c r="C13" s="340"/>
      <c r="D13" s="340"/>
      <c r="E13" s="340"/>
    </row>
    <row r="14" spans="1:9" x14ac:dyDescent="0.25">
      <c r="A14" s="341" t="s">
        <v>1218</v>
      </c>
      <c r="B14" s="342"/>
      <c r="C14" s="342"/>
      <c r="D14" s="342"/>
      <c r="E14" s="343"/>
      <c r="F14" s="213" t="s">
        <v>1219</v>
      </c>
      <c r="G14" s="213" t="s">
        <v>380</v>
      </c>
      <c r="H14" s="213" t="s">
        <v>1220</v>
      </c>
      <c r="I14" s="213" t="s">
        <v>1219</v>
      </c>
    </row>
    <row r="15" spans="1:9" x14ac:dyDescent="0.25">
      <c r="A15" s="344" t="s">
        <v>1185</v>
      </c>
      <c r="B15" s="345"/>
      <c r="C15" s="345"/>
      <c r="D15" s="345"/>
      <c r="E15" s="346"/>
      <c r="F15" s="214">
        <v>0</v>
      </c>
      <c r="G15" s="215" t="s">
        <v>52</v>
      </c>
      <c r="H15" s="215" t="s">
        <v>52</v>
      </c>
      <c r="I15" s="214">
        <f>F15</f>
        <v>0</v>
      </c>
    </row>
    <row r="16" spans="1:9" x14ac:dyDescent="0.25">
      <c r="A16" s="344" t="s">
        <v>1187</v>
      </c>
      <c r="B16" s="345"/>
      <c r="C16" s="345"/>
      <c r="D16" s="345"/>
      <c r="E16" s="346"/>
      <c r="F16" s="214">
        <v>0</v>
      </c>
      <c r="G16" s="215" t="s">
        <v>52</v>
      </c>
      <c r="H16" s="215" t="s">
        <v>52</v>
      </c>
      <c r="I16" s="214">
        <f>F16</f>
        <v>0</v>
      </c>
    </row>
    <row r="17" spans="1:9" x14ac:dyDescent="0.25">
      <c r="A17" s="347" t="s">
        <v>1190</v>
      </c>
      <c r="B17" s="348"/>
      <c r="C17" s="348"/>
      <c r="D17" s="348"/>
      <c r="E17" s="349"/>
      <c r="F17" s="216">
        <v>0</v>
      </c>
      <c r="G17" s="217" t="s">
        <v>52</v>
      </c>
      <c r="H17" s="217" t="s">
        <v>52</v>
      </c>
      <c r="I17" s="216">
        <f>F17</f>
        <v>0</v>
      </c>
    </row>
    <row r="18" spans="1:9" x14ac:dyDescent="0.25">
      <c r="A18" s="350" t="s">
        <v>1221</v>
      </c>
      <c r="B18" s="351"/>
      <c r="C18" s="351"/>
      <c r="D18" s="351"/>
      <c r="E18" s="352"/>
      <c r="F18" s="218" t="s">
        <v>52</v>
      </c>
      <c r="G18" s="219" t="s">
        <v>52</v>
      </c>
      <c r="H18" s="219" t="s">
        <v>52</v>
      </c>
      <c r="I18" s="220">
        <f>SUM(I15:I17)</f>
        <v>0</v>
      </c>
    </row>
    <row r="20" spans="1:9" x14ac:dyDescent="0.25">
      <c r="A20" s="341" t="s">
        <v>1182</v>
      </c>
      <c r="B20" s="342"/>
      <c r="C20" s="342"/>
      <c r="D20" s="342"/>
      <c r="E20" s="343"/>
      <c r="F20" s="213" t="s">
        <v>1219</v>
      </c>
      <c r="G20" s="213" t="s">
        <v>380</v>
      </c>
      <c r="H20" s="213" t="s">
        <v>1220</v>
      </c>
      <c r="I20" s="213" t="s">
        <v>1219</v>
      </c>
    </row>
    <row r="21" spans="1:9" x14ac:dyDescent="0.25">
      <c r="A21" s="344" t="s">
        <v>1186</v>
      </c>
      <c r="B21" s="345"/>
      <c r="C21" s="345"/>
      <c r="D21" s="345"/>
      <c r="E21" s="346"/>
      <c r="F21" s="214">
        <v>0</v>
      </c>
      <c r="G21" s="215" t="s">
        <v>52</v>
      </c>
      <c r="H21" s="215" t="s">
        <v>52</v>
      </c>
      <c r="I21" s="214">
        <f t="shared" ref="I21:I26" si="0">F21</f>
        <v>0</v>
      </c>
    </row>
    <row r="22" spans="1:9" x14ac:dyDescent="0.25">
      <c r="A22" s="344" t="s">
        <v>1188</v>
      </c>
      <c r="B22" s="345"/>
      <c r="C22" s="345"/>
      <c r="D22" s="345"/>
      <c r="E22" s="346"/>
      <c r="F22" s="214">
        <v>0</v>
      </c>
      <c r="G22" s="215" t="s">
        <v>52</v>
      </c>
      <c r="H22" s="215" t="s">
        <v>52</v>
      </c>
      <c r="I22" s="214">
        <f t="shared" si="0"/>
        <v>0</v>
      </c>
    </row>
    <row r="23" spans="1:9" x14ac:dyDescent="0.25">
      <c r="A23" s="344" t="s">
        <v>1191</v>
      </c>
      <c r="B23" s="345"/>
      <c r="C23" s="345"/>
      <c r="D23" s="345"/>
      <c r="E23" s="346"/>
      <c r="F23" s="214">
        <v>0</v>
      </c>
      <c r="G23" s="215" t="s">
        <v>52</v>
      </c>
      <c r="H23" s="215" t="s">
        <v>52</v>
      </c>
      <c r="I23" s="214">
        <f t="shared" si="0"/>
        <v>0</v>
      </c>
    </row>
    <row r="24" spans="1:9" x14ac:dyDescent="0.25">
      <c r="A24" s="344" t="s">
        <v>1192</v>
      </c>
      <c r="B24" s="345"/>
      <c r="C24" s="345"/>
      <c r="D24" s="345"/>
      <c r="E24" s="346"/>
      <c r="F24" s="214">
        <v>0</v>
      </c>
      <c r="G24" s="215" t="s">
        <v>52</v>
      </c>
      <c r="H24" s="215" t="s">
        <v>52</v>
      </c>
      <c r="I24" s="214">
        <f t="shared" si="0"/>
        <v>0</v>
      </c>
    </row>
    <row r="25" spans="1:9" x14ac:dyDescent="0.25">
      <c r="A25" s="344" t="s">
        <v>1194</v>
      </c>
      <c r="B25" s="345"/>
      <c r="C25" s="345"/>
      <c r="D25" s="345"/>
      <c r="E25" s="346"/>
      <c r="F25" s="214">
        <v>0</v>
      </c>
      <c r="G25" s="215" t="s">
        <v>52</v>
      </c>
      <c r="H25" s="215" t="s">
        <v>52</v>
      </c>
      <c r="I25" s="214">
        <f t="shared" si="0"/>
        <v>0</v>
      </c>
    </row>
    <row r="26" spans="1:9" x14ac:dyDescent="0.25">
      <c r="A26" s="347" t="s">
        <v>1195</v>
      </c>
      <c r="B26" s="348"/>
      <c r="C26" s="348"/>
      <c r="D26" s="348"/>
      <c r="E26" s="349"/>
      <c r="F26" s="216">
        <v>0</v>
      </c>
      <c r="G26" s="217" t="s">
        <v>52</v>
      </c>
      <c r="H26" s="217" t="s">
        <v>52</v>
      </c>
      <c r="I26" s="216">
        <f t="shared" si="0"/>
        <v>0</v>
      </c>
    </row>
    <row r="27" spans="1:9" x14ac:dyDescent="0.25">
      <c r="A27" s="350" t="s">
        <v>1222</v>
      </c>
      <c r="B27" s="351"/>
      <c r="C27" s="351"/>
      <c r="D27" s="351"/>
      <c r="E27" s="352"/>
      <c r="F27" s="218" t="s">
        <v>52</v>
      </c>
      <c r="G27" s="219" t="s">
        <v>52</v>
      </c>
      <c r="H27" s="219" t="s">
        <v>52</v>
      </c>
      <c r="I27" s="220">
        <f>SUM(I21:I26)</f>
        <v>0</v>
      </c>
    </row>
    <row r="29" spans="1:9" ht="15.75" x14ac:dyDescent="0.25">
      <c r="A29" s="353" t="s">
        <v>1223</v>
      </c>
      <c r="B29" s="354"/>
      <c r="C29" s="354"/>
      <c r="D29" s="354"/>
      <c r="E29" s="355"/>
      <c r="F29" s="356">
        <f>I18+I27</f>
        <v>0</v>
      </c>
      <c r="G29" s="357"/>
      <c r="H29" s="357"/>
      <c r="I29" s="358"/>
    </row>
    <row r="33" spans="1:9" ht="15.75" x14ac:dyDescent="0.25">
      <c r="A33" s="340" t="s">
        <v>1224</v>
      </c>
      <c r="B33" s="340"/>
      <c r="C33" s="340"/>
      <c r="D33" s="340"/>
      <c r="E33" s="340"/>
    </row>
    <row r="34" spans="1:9" x14ac:dyDescent="0.25">
      <c r="A34" s="341" t="s">
        <v>1225</v>
      </c>
      <c r="B34" s="342"/>
      <c r="C34" s="342"/>
      <c r="D34" s="342"/>
      <c r="E34" s="343"/>
      <c r="F34" s="213" t="s">
        <v>1219</v>
      </c>
      <c r="G34" s="213" t="s">
        <v>380</v>
      </c>
      <c r="H34" s="213" t="s">
        <v>1220</v>
      </c>
      <c r="I34" s="213" t="s">
        <v>1219</v>
      </c>
    </row>
    <row r="35" spans="1:9" x14ac:dyDescent="0.25">
      <c r="A35" s="347" t="s">
        <v>52</v>
      </c>
      <c r="B35" s="348"/>
      <c r="C35" s="348"/>
      <c r="D35" s="348"/>
      <c r="E35" s="349"/>
      <c r="F35" s="216">
        <v>0</v>
      </c>
      <c r="G35" s="217" t="s">
        <v>52</v>
      </c>
      <c r="H35" s="217" t="s">
        <v>52</v>
      </c>
      <c r="I35" s="216">
        <f>F35</f>
        <v>0</v>
      </c>
    </row>
    <row r="36" spans="1:9" x14ac:dyDescent="0.25">
      <c r="A36" s="350" t="s">
        <v>1226</v>
      </c>
      <c r="B36" s="351"/>
      <c r="C36" s="351"/>
      <c r="D36" s="351"/>
      <c r="E36" s="352"/>
      <c r="F36" s="218" t="s">
        <v>52</v>
      </c>
      <c r="G36" s="219" t="s">
        <v>52</v>
      </c>
      <c r="H36" s="219" t="s">
        <v>52</v>
      </c>
      <c r="I36" s="220">
        <f>SUM(I35:I35)</f>
        <v>0</v>
      </c>
    </row>
  </sheetData>
  <mergeCells count="51">
    <mergeCell ref="A36:E36"/>
    <mergeCell ref="A29:E29"/>
    <mergeCell ref="F29:I29"/>
    <mergeCell ref="A33:E33"/>
    <mergeCell ref="A34:E34"/>
    <mergeCell ref="A35:E35"/>
    <mergeCell ref="A23:E23"/>
    <mergeCell ref="A24:E24"/>
    <mergeCell ref="A25:E25"/>
    <mergeCell ref="A26:E26"/>
    <mergeCell ref="A27:E27"/>
    <mergeCell ref="A17:E17"/>
    <mergeCell ref="A18:E18"/>
    <mergeCell ref="A20:E20"/>
    <mergeCell ref="A21:E21"/>
    <mergeCell ref="A22:E22"/>
    <mergeCell ref="I10:I11"/>
    <mergeCell ref="A13:E13"/>
    <mergeCell ref="A14:E14"/>
    <mergeCell ref="A15:E15"/>
    <mergeCell ref="A16:E16"/>
    <mergeCell ref="H10:H11"/>
    <mergeCell ref="C2:D3"/>
    <mergeCell ref="C4:D5"/>
    <mergeCell ref="C6:D7"/>
    <mergeCell ref="C8:D9"/>
    <mergeCell ref="C10:D11"/>
    <mergeCell ref="F2:G3"/>
    <mergeCell ref="F4:G5"/>
    <mergeCell ref="F6:G7"/>
    <mergeCell ref="F8:G9"/>
    <mergeCell ref="F10:G11"/>
    <mergeCell ref="A10:B11"/>
    <mergeCell ref="E2:E3"/>
    <mergeCell ref="E4:E5"/>
    <mergeCell ref="E6:E7"/>
    <mergeCell ref="E8:E9"/>
    <mergeCell ref="E10:E11"/>
    <mergeCell ref="A1:I1"/>
    <mergeCell ref="A2:B3"/>
    <mergeCell ref="A4:B5"/>
    <mergeCell ref="A6:B7"/>
    <mergeCell ref="A8:B9"/>
    <mergeCell ref="H2:H3"/>
    <mergeCell ref="H4:H5"/>
    <mergeCell ref="H6:H7"/>
    <mergeCell ref="H8:H9"/>
    <mergeCell ref="I2:I3"/>
    <mergeCell ref="I4:I5"/>
    <mergeCell ref="I6:I7"/>
    <mergeCell ref="I8:I9"/>
  </mergeCells>
  <pageMargins left="0.393999993801117" right="0.393999993801117" top="0.59100002050399802" bottom="0.59100002050399802" header="0" footer="0"/>
  <pageSetup fitToHeight="0"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35"/>
  <sheetViews>
    <sheetView workbookViewId="0">
      <selection activeCell="A35" sqref="A35:I35"/>
    </sheetView>
  </sheetViews>
  <sheetFormatPr defaultColWidth="12.140625" defaultRowHeight="15" customHeight="1" x14ac:dyDescent="0.25"/>
  <cols>
    <col min="1" max="1" width="9.140625" customWidth="1"/>
    <col min="2" max="2" width="12.85546875" customWidth="1"/>
    <col min="3" max="3" width="27.140625" customWidth="1"/>
    <col min="4" max="4" width="10" customWidth="1"/>
    <col min="5" max="5" width="14" customWidth="1"/>
    <col min="6" max="6" width="27.140625" customWidth="1"/>
    <col min="7" max="7" width="9.140625" customWidth="1"/>
    <col min="8" max="8" width="12.85546875" customWidth="1"/>
    <col min="9" max="9" width="27.140625" customWidth="1"/>
  </cols>
  <sheetData>
    <row r="1" spans="1:9" ht="54.75" customHeight="1" x14ac:dyDescent="0.25">
      <c r="A1" s="301" t="s">
        <v>1229</v>
      </c>
      <c r="B1" s="221"/>
      <c r="C1" s="221"/>
      <c r="D1" s="221"/>
      <c r="E1" s="221"/>
      <c r="F1" s="221"/>
      <c r="G1" s="221"/>
      <c r="H1" s="221"/>
      <c r="I1" s="221"/>
    </row>
    <row r="2" spans="1:9" x14ac:dyDescent="0.25">
      <c r="A2" s="222" t="s">
        <v>1</v>
      </c>
      <c r="B2" s="223"/>
      <c r="C2" s="231" t="str">
        <f>'Stavební rozpočet'!C2</f>
        <v>REKONSTRUKCE STŘECHY ZŠ T.G.MASARYKA V IVANČICÍCH</v>
      </c>
      <c r="D2" s="232"/>
      <c r="E2" s="229" t="s">
        <v>5</v>
      </c>
      <c r="F2" s="229" t="str">
        <f>'Stavební rozpočet'!I2</f>
        <v>Město Ivančice</v>
      </c>
      <c r="G2" s="223"/>
      <c r="H2" s="229" t="s">
        <v>1171</v>
      </c>
      <c r="I2" s="234" t="s">
        <v>1172</v>
      </c>
    </row>
    <row r="3" spans="1:9" ht="15" customHeight="1" x14ac:dyDescent="0.25">
      <c r="A3" s="224"/>
      <c r="B3" s="225"/>
      <c r="C3" s="233"/>
      <c r="D3" s="233"/>
      <c r="E3" s="225"/>
      <c r="F3" s="225"/>
      <c r="G3" s="225"/>
      <c r="H3" s="225"/>
      <c r="I3" s="235"/>
    </row>
    <row r="4" spans="1:9" x14ac:dyDescent="0.25">
      <c r="A4" s="226" t="s">
        <v>7</v>
      </c>
      <c r="B4" s="225"/>
      <c r="C4" s="230" t="str">
        <f>'Stavební rozpočet'!C4</f>
        <v>oprava střešní konstrukce</v>
      </c>
      <c r="D4" s="225"/>
      <c r="E4" s="230" t="s">
        <v>11</v>
      </c>
      <c r="F4" s="230" t="str">
        <f>'Stavební rozpočet'!I4</f>
        <v>Tomáš Sýkora</v>
      </c>
      <c r="G4" s="225"/>
      <c r="H4" s="230" t="s">
        <v>1171</v>
      </c>
      <c r="I4" s="235" t="s">
        <v>1173</v>
      </c>
    </row>
    <row r="5" spans="1:9" ht="15" customHeight="1" x14ac:dyDescent="0.25">
      <c r="A5" s="224"/>
      <c r="B5" s="225"/>
      <c r="C5" s="225"/>
      <c r="D5" s="225"/>
      <c r="E5" s="225"/>
      <c r="F5" s="225"/>
      <c r="G5" s="225"/>
      <c r="H5" s="225"/>
      <c r="I5" s="235"/>
    </row>
    <row r="6" spans="1:9" x14ac:dyDescent="0.25">
      <c r="A6" s="226" t="s">
        <v>13</v>
      </c>
      <c r="B6" s="225"/>
      <c r="C6" s="230" t="str">
        <f>'Stavební rozpočet'!C6</f>
        <v>ZŠ TGM Ivančice, Na Brněnce 1, 664 91 Ivančice</v>
      </c>
      <c r="D6" s="225"/>
      <c r="E6" s="230" t="s">
        <v>16</v>
      </c>
      <c r="F6" s="230" t="str">
        <f>'Stavební rozpočet'!I6</f>
        <v> </v>
      </c>
      <c r="G6" s="225"/>
      <c r="H6" s="230" t="s">
        <v>1171</v>
      </c>
      <c r="I6" s="235" t="s">
        <v>52</v>
      </c>
    </row>
    <row r="7" spans="1:9" ht="15" customHeight="1" x14ac:dyDescent="0.25">
      <c r="A7" s="224"/>
      <c r="B7" s="225"/>
      <c r="C7" s="225"/>
      <c r="D7" s="225"/>
      <c r="E7" s="225"/>
      <c r="F7" s="225"/>
      <c r="G7" s="225"/>
      <c r="H7" s="225"/>
      <c r="I7" s="235"/>
    </row>
    <row r="8" spans="1:9" x14ac:dyDescent="0.25">
      <c r="A8" s="226" t="s">
        <v>9</v>
      </c>
      <c r="B8" s="225"/>
      <c r="C8" s="230" t="str">
        <f>'Stavební rozpočet'!G4</f>
        <v>13.01.2025</v>
      </c>
      <c r="D8" s="225"/>
      <c r="E8" s="230" t="s">
        <v>15</v>
      </c>
      <c r="F8" s="230" t="str">
        <f>'Stavební rozpočet'!G6</f>
        <v>13.01.2025</v>
      </c>
      <c r="G8" s="225"/>
      <c r="H8" s="225" t="s">
        <v>1174</v>
      </c>
      <c r="I8" s="304">
        <v>37</v>
      </c>
    </row>
    <row r="9" spans="1:9" x14ac:dyDescent="0.25">
      <c r="A9" s="224"/>
      <c r="B9" s="225"/>
      <c r="C9" s="225"/>
      <c r="D9" s="225"/>
      <c r="E9" s="225"/>
      <c r="F9" s="225"/>
      <c r="G9" s="225"/>
      <c r="H9" s="225"/>
      <c r="I9" s="235"/>
    </row>
    <row r="10" spans="1:9" x14ac:dyDescent="0.25">
      <c r="A10" s="226" t="s">
        <v>18</v>
      </c>
      <c r="B10" s="225"/>
      <c r="C10" s="230" t="str">
        <f>'Stavební rozpočet'!C8</f>
        <v>8013212</v>
      </c>
      <c r="D10" s="225"/>
      <c r="E10" s="230" t="s">
        <v>21</v>
      </c>
      <c r="F10" s="230" t="str">
        <f>'Stavební rozpočet'!I8</f>
        <v>Tomáš Sýkora</v>
      </c>
      <c r="G10" s="225"/>
      <c r="H10" s="225" t="s">
        <v>1175</v>
      </c>
      <c r="I10" s="305" t="str">
        <f>'Stavební rozpočet'!G8</f>
        <v>13.01.2025</v>
      </c>
    </row>
    <row r="11" spans="1:9" x14ac:dyDescent="0.25">
      <c r="A11" s="302"/>
      <c r="B11" s="303"/>
      <c r="C11" s="303"/>
      <c r="D11" s="303"/>
      <c r="E11" s="303"/>
      <c r="F11" s="303"/>
      <c r="G11" s="303"/>
      <c r="H11" s="303"/>
      <c r="I11" s="306"/>
    </row>
    <row r="12" spans="1:9" ht="23.25" x14ac:dyDescent="0.25">
      <c r="A12" s="307" t="s">
        <v>1176</v>
      </c>
      <c r="B12" s="307"/>
      <c r="C12" s="307"/>
      <c r="D12" s="307"/>
      <c r="E12" s="307"/>
      <c r="F12" s="307"/>
      <c r="G12" s="307"/>
      <c r="H12" s="307"/>
      <c r="I12" s="307"/>
    </row>
    <row r="13" spans="1:9" ht="26.25" customHeight="1" x14ac:dyDescent="0.25">
      <c r="A13" s="200" t="s">
        <v>1177</v>
      </c>
      <c r="B13" s="308" t="s">
        <v>1178</v>
      </c>
      <c r="C13" s="309"/>
      <c r="D13" s="201" t="s">
        <v>1179</v>
      </c>
      <c r="E13" s="308" t="s">
        <v>1180</v>
      </c>
      <c r="F13" s="309"/>
      <c r="G13" s="201" t="s">
        <v>1181</v>
      </c>
      <c r="H13" s="308" t="s">
        <v>1182</v>
      </c>
      <c r="I13" s="309"/>
    </row>
    <row r="14" spans="1:9" ht="15.75" x14ac:dyDescent="0.25">
      <c r="A14" s="202" t="s">
        <v>1183</v>
      </c>
      <c r="B14" s="203" t="s">
        <v>1184</v>
      </c>
      <c r="C14" s="204">
        <f>SUMIF('Stavební rozpočet'!AI12:AI752,"01",'Stavební rozpočet'!AB12:AB752)</f>
        <v>0</v>
      </c>
      <c r="D14" s="316" t="s">
        <v>1185</v>
      </c>
      <c r="E14" s="317"/>
      <c r="F14" s="204">
        <f>'VORN objektu (01)'!I15</f>
        <v>0</v>
      </c>
      <c r="G14" s="316" t="s">
        <v>1186</v>
      </c>
      <c r="H14" s="317"/>
      <c r="I14" s="205">
        <f>'VORN objektu (01)'!I21</f>
        <v>0</v>
      </c>
    </row>
    <row r="15" spans="1:9" ht="15.75" x14ac:dyDescent="0.25">
      <c r="A15" s="206" t="s">
        <v>52</v>
      </c>
      <c r="B15" s="203" t="s">
        <v>37</v>
      </c>
      <c r="C15" s="204">
        <f>SUMIF('Stavební rozpočet'!AI12:AI752,"01",'Stavební rozpočet'!AC12:AC752)</f>
        <v>0</v>
      </c>
      <c r="D15" s="316" t="s">
        <v>1187</v>
      </c>
      <c r="E15" s="317"/>
      <c r="F15" s="204">
        <f>'VORN objektu (01)'!I16</f>
        <v>0</v>
      </c>
      <c r="G15" s="316" t="s">
        <v>1188</v>
      </c>
      <c r="H15" s="317"/>
      <c r="I15" s="205">
        <f>'VORN objektu (01)'!I22</f>
        <v>0</v>
      </c>
    </row>
    <row r="16" spans="1:9" ht="15.75" x14ac:dyDescent="0.25">
      <c r="A16" s="202" t="s">
        <v>1189</v>
      </c>
      <c r="B16" s="203" t="s">
        <v>1184</v>
      </c>
      <c r="C16" s="204">
        <f>SUMIF('Stavební rozpočet'!AI12:AI752,"01",'Stavební rozpočet'!AD12:AD752)</f>
        <v>0</v>
      </c>
      <c r="D16" s="316" t="s">
        <v>1190</v>
      </c>
      <c r="E16" s="317"/>
      <c r="F16" s="204">
        <f>'VORN objektu (01)'!I17</f>
        <v>0</v>
      </c>
      <c r="G16" s="316" t="s">
        <v>1191</v>
      </c>
      <c r="H16" s="317"/>
      <c r="I16" s="205">
        <f>'VORN objektu (01)'!I23</f>
        <v>0</v>
      </c>
    </row>
    <row r="17" spans="1:9" ht="15.75" x14ac:dyDescent="0.25">
      <c r="A17" s="206" t="s">
        <v>52</v>
      </c>
      <c r="B17" s="203" t="s">
        <v>37</v>
      </c>
      <c r="C17" s="204">
        <f>SUMIF('Stavební rozpočet'!AI12:AI752,"01",'Stavební rozpočet'!AE12:AE752)</f>
        <v>0</v>
      </c>
      <c r="D17" s="316" t="s">
        <v>52</v>
      </c>
      <c r="E17" s="317"/>
      <c r="F17" s="205" t="s">
        <v>52</v>
      </c>
      <c r="G17" s="316" t="s">
        <v>1192</v>
      </c>
      <c r="H17" s="317"/>
      <c r="I17" s="205">
        <f>'VORN objektu (01)'!I24</f>
        <v>0</v>
      </c>
    </row>
    <row r="18" spans="1:9" ht="15.75" x14ac:dyDescent="0.25">
      <c r="A18" s="202" t="s">
        <v>1193</v>
      </c>
      <c r="B18" s="203" t="s">
        <v>1184</v>
      </c>
      <c r="C18" s="204">
        <f>SUMIF('Stavební rozpočet'!AI12:AI752,"01",'Stavební rozpočet'!AF12:AF752)</f>
        <v>0</v>
      </c>
      <c r="D18" s="316" t="s">
        <v>52</v>
      </c>
      <c r="E18" s="317"/>
      <c r="F18" s="205" t="s">
        <v>52</v>
      </c>
      <c r="G18" s="316" t="s">
        <v>1194</v>
      </c>
      <c r="H18" s="317"/>
      <c r="I18" s="205">
        <f>'VORN objektu (01)'!I25</f>
        <v>0</v>
      </c>
    </row>
    <row r="19" spans="1:9" ht="15.75" x14ac:dyDescent="0.25">
      <c r="A19" s="206" t="s">
        <v>52</v>
      </c>
      <c r="B19" s="203" t="s">
        <v>37</v>
      </c>
      <c r="C19" s="204">
        <f>SUMIF('Stavební rozpočet'!AI12:AI752,"01",'Stavební rozpočet'!AG12:AG752)</f>
        <v>0</v>
      </c>
      <c r="D19" s="316" t="s">
        <v>52</v>
      </c>
      <c r="E19" s="317"/>
      <c r="F19" s="205" t="s">
        <v>52</v>
      </c>
      <c r="G19" s="316" t="s">
        <v>1195</v>
      </c>
      <c r="H19" s="317"/>
      <c r="I19" s="205">
        <f>'VORN objektu (01)'!I26</f>
        <v>0</v>
      </c>
    </row>
    <row r="20" spans="1:9" ht="15.75" x14ac:dyDescent="0.25">
      <c r="A20" s="310" t="s">
        <v>1196</v>
      </c>
      <c r="B20" s="311"/>
      <c r="C20" s="204">
        <f>SUMIF('Stavební rozpočet'!AI12:AI752,"01",'Stavební rozpočet'!AH12:AH752)</f>
        <v>0</v>
      </c>
      <c r="D20" s="316" t="s">
        <v>52</v>
      </c>
      <c r="E20" s="317"/>
      <c r="F20" s="205" t="s">
        <v>52</v>
      </c>
      <c r="G20" s="316" t="s">
        <v>52</v>
      </c>
      <c r="H20" s="317"/>
      <c r="I20" s="205" t="s">
        <v>52</v>
      </c>
    </row>
    <row r="21" spans="1:9" ht="15.75" x14ac:dyDescent="0.25">
      <c r="A21" s="312" t="s">
        <v>1197</v>
      </c>
      <c r="B21" s="313"/>
      <c r="C21" s="204">
        <f>SUMIF('Stavební rozpočet'!AI12:AI752,"01",'Stavební rozpočet'!Z12:Z752)</f>
        <v>0</v>
      </c>
      <c r="D21" s="318" t="s">
        <v>52</v>
      </c>
      <c r="E21" s="319"/>
      <c r="F21" s="208" t="s">
        <v>52</v>
      </c>
      <c r="G21" s="318" t="s">
        <v>52</v>
      </c>
      <c r="H21" s="319"/>
      <c r="I21" s="208" t="s">
        <v>52</v>
      </c>
    </row>
    <row r="22" spans="1:9" ht="16.5" customHeight="1" x14ac:dyDescent="0.25">
      <c r="A22" s="314" t="s">
        <v>1198</v>
      </c>
      <c r="B22" s="315"/>
      <c r="C22" s="204">
        <f>ROUND(SUM(C14:C21),2)</f>
        <v>0</v>
      </c>
      <c r="D22" s="320" t="s">
        <v>1199</v>
      </c>
      <c r="E22" s="315"/>
      <c r="F22" s="209">
        <f>SUM(F14:F21)</f>
        <v>0</v>
      </c>
      <c r="G22" s="320" t="s">
        <v>1200</v>
      </c>
      <c r="H22" s="315"/>
      <c r="I22" s="209">
        <f>SUM(I14:I21)</f>
        <v>0</v>
      </c>
    </row>
    <row r="23" spans="1:9" ht="15.75" x14ac:dyDescent="0.25">
      <c r="G23" s="310" t="s">
        <v>1203</v>
      </c>
      <c r="H23" s="311"/>
      <c r="I23" s="204">
        <f>'VORN objektu (01)'!I36</f>
        <v>0</v>
      </c>
    </row>
    <row r="25" spans="1:9" ht="15.75" x14ac:dyDescent="0.25">
      <c r="A25" s="322" t="s">
        <v>1205</v>
      </c>
      <c r="B25" s="323"/>
      <c r="C25" s="210">
        <f>ROUND(('Stavební rozpočet'!AS81+'Stavební rozpočet'!AS116+'Stavební rozpočet'!AS195),2)</f>
        <v>0</v>
      </c>
    </row>
    <row r="26" spans="1:9" ht="15.75" x14ac:dyDescent="0.25">
      <c r="A26" s="324" t="s">
        <v>1206</v>
      </c>
      <c r="B26" s="325"/>
      <c r="C26" s="211">
        <f>ROUND(('Stavební rozpočet'!AT81+'Stavební rozpočet'!AT116+'Stavební rozpočet'!AT195),2)</f>
        <v>0</v>
      </c>
      <c r="D26" s="326" t="s">
        <v>1207</v>
      </c>
      <c r="E26" s="323"/>
      <c r="F26" s="210">
        <f>ROUND(C26*(12/100),2)</f>
        <v>0</v>
      </c>
      <c r="G26" s="326" t="s">
        <v>1208</v>
      </c>
      <c r="H26" s="323"/>
      <c r="I26" s="210">
        <f>ROUND(SUM(C25:C27),2)</f>
        <v>0</v>
      </c>
    </row>
    <row r="27" spans="1:9" ht="15.75" x14ac:dyDescent="0.25">
      <c r="A27" s="324" t="s">
        <v>1209</v>
      </c>
      <c r="B27" s="325"/>
      <c r="C27" s="211">
        <f>ROUND(('Stavební rozpočet'!AU81+'Stavební rozpočet'!AU116+'Stavební rozpočet'!AU195)+(F22+I22+F23+I23+I24),2)</f>
        <v>0</v>
      </c>
      <c r="D27" s="327" t="s">
        <v>1210</v>
      </c>
      <c r="E27" s="325"/>
      <c r="F27" s="211">
        <f>ROUND(C27*(21/100),2)</f>
        <v>0</v>
      </c>
      <c r="G27" s="327" t="s">
        <v>1211</v>
      </c>
      <c r="H27" s="325"/>
      <c r="I27" s="211">
        <f>ROUND(SUM(F26:F27)+I26,2)</f>
        <v>0</v>
      </c>
    </row>
    <row r="29" spans="1:9" x14ac:dyDescent="0.25">
      <c r="A29" s="328" t="s">
        <v>1212</v>
      </c>
      <c r="B29" s="329"/>
      <c r="C29" s="330"/>
      <c r="D29" s="337" t="s">
        <v>1213</v>
      </c>
      <c r="E29" s="329"/>
      <c r="F29" s="330"/>
      <c r="G29" s="337" t="s">
        <v>1214</v>
      </c>
      <c r="H29" s="329"/>
      <c r="I29" s="330"/>
    </row>
    <row r="30" spans="1:9" x14ac:dyDescent="0.25">
      <c r="A30" s="331" t="s">
        <v>52</v>
      </c>
      <c r="B30" s="332"/>
      <c r="C30" s="333"/>
      <c r="D30" s="338" t="s">
        <v>52</v>
      </c>
      <c r="E30" s="332"/>
      <c r="F30" s="333"/>
      <c r="G30" s="338" t="s">
        <v>52</v>
      </c>
      <c r="H30" s="332"/>
      <c r="I30" s="333"/>
    </row>
    <row r="31" spans="1:9" x14ac:dyDescent="0.25">
      <c r="A31" s="331" t="s">
        <v>52</v>
      </c>
      <c r="B31" s="332"/>
      <c r="C31" s="333"/>
      <c r="D31" s="338" t="s">
        <v>52</v>
      </c>
      <c r="E31" s="332"/>
      <c r="F31" s="333"/>
      <c r="G31" s="338" t="s">
        <v>52</v>
      </c>
      <c r="H31" s="332"/>
      <c r="I31" s="333"/>
    </row>
    <row r="32" spans="1:9" x14ac:dyDescent="0.25">
      <c r="A32" s="331" t="s">
        <v>52</v>
      </c>
      <c r="B32" s="332"/>
      <c r="C32" s="333"/>
      <c r="D32" s="338" t="s">
        <v>52</v>
      </c>
      <c r="E32" s="332"/>
      <c r="F32" s="333"/>
      <c r="G32" s="338" t="s">
        <v>52</v>
      </c>
      <c r="H32" s="332"/>
      <c r="I32" s="333"/>
    </row>
    <row r="33" spans="1:9" x14ac:dyDescent="0.25">
      <c r="A33" s="334" t="s">
        <v>1215</v>
      </c>
      <c r="B33" s="335"/>
      <c r="C33" s="336"/>
      <c r="D33" s="339" t="s">
        <v>1215</v>
      </c>
      <c r="E33" s="335"/>
      <c r="F33" s="336"/>
      <c r="G33" s="339" t="s">
        <v>1215</v>
      </c>
      <c r="H33" s="335"/>
      <c r="I33" s="336"/>
    </row>
    <row r="34" spans="1:9" x14ac:dyDescent="0.25">
      <c r="A34" s="212" t="s">
        <v>148</v>
      </c>
    </row>
    <row r="35" spans="1:9" ht="12.75" customHeight="1" x14ac:dyDescent="0.25">
      <c r="A35" s="230" t="s">
        <v>52</v>
      </c>
      <c r="B35" s="225"/>
      <c r="C35" s="225"/>
      <c r="D35" s="225"/>
      <c r="E35" s="225"/>
      <c r="F35" s="225"/>
      <c r="G35" s="225"/>
      <c r="H35" s="225"/>
      <c r="I35" s="225"/>
    </row>
  </sheetData>
  <mergeCells count="80">
    <mergeCell ref="G32:I32"/>
    <mergeCell ref="G33:I33"/>
    <mergeCell ref="A35:I35"/>
    <mergeCell ref="A32:C32"/>
    <mergeCell ref="A33:C33"/>
    <mergeCell ref="D29:F29"/>
    <mergeCell ref="D30:F30"/>
    <mergeCell ref="D31:F31"/>
    <mergeCell ref="D32:F32"/>
    <mergeCell ref="D33:F33"/>
    <mergeCell ref="G26:H26"/>
    <mergeCell ref="G27:H27"/>
    <mergeCell ref="A29:C29"/>
    <mergeCell ref="A30:C30"/>
    <mergeCell ref="A31:C31"/>
    <mergeCell ref="G29:I29"/>
    <mergeCell ref="G30:I30"/>
    <mergeCell ref="G31:I31"/>
    <mergeCell ref="A25:B25"/>
    <mergeCell ref="A26:B26"/>
    <mergeCell ref="A27:B27"/>
    <mergeCell ref="D26:E26"/>
    <mergeCell ref="D27:E27"/>
    <mergeCell ref="G19:H19"/>
    <mergeCell ref="G20:H20"/>
    <mergeCell ref="G21:H21"/>
    <mergeCell ref="G22:H22"/>
    <mergeCell ref="G23:H23"/>
    <mergeCell ref="G14:H14"/>
    <mergeCell ref="G15:H15"/>
    <mergeCell ref="G16:H16"/>
    <mergeCell ref="G17:H17"/>
    <mergeCell ref="G18:H18"/>
    <mergeCell ref="A20:B20"/>
    <mergeCell ref="A21:B21"/>
    <mergeCell ref="A22:B22"/>
    <mergeCell ref="D14:E14"/>
    <mergeCell ref="D15:E15"/>
    <mergeCell ref="D16:E16"/>
    <mergeCell ref="D17:E17"/>
    <mergeCell ref="D18:E18"/>
    <mergeCell ref="D19:E19"/>
    <mergeCell ref="D20:E20"/>
    <mergeCell ref="D21:E21"/>
    <mergeCell ref="D22:E22"/>
    <mergeCell ref="I10:I11"/>
    <mergeCell ref="A12:I12"/>
    <mergeCell ref="B13:C13"/>
    <mergeCell ref="E13:F13"/>
    <mergeCell ref="H13:I13"/>
    <mergeCell ref="F10:G11"/>
    <mergeCell ref="H2:H3"/>
    <mergeCell ref="H4:H5"/>
    <mergeCell ref="H6:H7"/>
    <mergeCell ref="H8:H9"/>
    <mergeCell ref="H10:H11"/>
    <mergeCell ref="A10:B11"/>
    <mergeCell ref="E2:E3"/>
    <mergeCell ref="E4:E5"/>
    <mergeCell ref="E6:E7"/>
    <mergeCell ref="E8:E9"/>
    <mergeCell ref="E10:E11"/>
    <mergeCell ref="C2:D3"/>
    <mergeCell ref="C4:D5"/>
    <mergeCell ref="C6:D7"/>
    <mergeCell ref="C8:D9"/>
    <mergeCell ref="C10:D11"/>
    <mergeCell ref="A1:I1"/>
    <mergeCell ref="A2:B3"/>
    <mergeCell ref="A4:B5"/>
    <mergeCell ref="A6:B7"/>
    <mergeCell ref="A8:B9"/>
    <mergeCell ref="F2:G3"/>
    <mergeCell ref="F4:G5"/>
    <mergeCell ref="F6:G7"/>
    <mergeCell ref="F8:G9"/>
    <mergeCell ref="I2:I3"/>
    <mergeCell ref="I4:I5"/>
    <mergeCell ref="I6:I7"/>
    <mergeCell ref="I8:I9"/>
  </mergeCells>
  <pageMargins left="0.393999993801117" right="0.393999993801117" top="0.59100002050399802" bottom="0.59100002050399802" header="0" footer="0"/>
  <pageSetup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36"/>
  <sheetViews>
    <sheetView workbookViewId="0">
      <selection activeCell="A36" sqref="A36:E36"/>
    </sheetView>
  </sheetViews>
  <sheetFormatPr defaultColWidth="12.140625" defaultRowHeight="15" customHeight="1" x14ac:dyDescent="0.25"/>
  <cols>
    <col min="1" max="1" width="9.140625" customWidth="1"/>
    <col min="2" max="2" width="12.85546875" customWidth="1"/>
    <col min="3" max="3" width="22.85546875" customWidth="1"/>
    <col min="4" max="4" width="10" customWidth="1"/>
    <col min="5" max="5" width="14" customWidth="1"/>
    <col min="6" max="6" width="22.85546875" customWidth="1"/>
    <col min="7" max="7" width="9.140625" customWidth="1"/>
    <col min="8" max="8" width="17.140625" customWidth="1"/>
    <col min="9" max="9" width="22.85546875" customWidth="1"/>
  </cols>
  <sheetData>
    <row r="1" spans="1:9" ht="54.75" customHeight="1" x14ac:dyDescent="0.25">
      <c r="A1" s="301" t="s">
        <v>1230</v>
      </c>
      <c r="B1" s="221"/>
      <c r="C1" s="221"/>
      <c r="D1" s="221"/>
      <c r="E1" s="221"/>
      <c r="F1" s="221"/>
      <c r="G1" s="221"/>
      <c r="H1" s="221"/>
      <c r="I1" s="221"/>
    </row>
    <row r="2" spans="1:9" x14ac:dyDescent="0.25">
      <c r="A2" s="222" t="s">
        <v>1</v>
      </c>
      <c r="B2" s="223"/>
      <c r="C2" s="231" t="str">
        <f>'Stavební rozpočet'!C2</f>
        <v>REKONSTRUKCE STŘECHY ZŠ T.G.MASARYKA V IVANČICÍCH</v>
      </c>
      <c r="D2" s="232"/>
      <c r="E2" s="229" t="s">
        <v>5</v>
      </c>
      <c r="F2" s="229" t="str">
        <f>'Stavební rozpočet'!I2</f>
        <v>Město Ivančice</v>
      </c>
      <c r="G2" s="223"/>
      <c r="H2" s="229" t="s">
        <v>1171</v>
      </c>
      <c r="I2" s="234" t="s">
        <v>1172</v>
      </c>
    </row>
    <row r="3" spans="1:9" ht="15" customHeight="1" x14ac:dyDescent="0.25">
      <c r="A3" s="224"/>
      <c r="B3" s="225"/>
      <c r="C3" s="233"/>
      <c r="D3" s="233"/>
      <c r="E3" s="225"/>
      <c r="F3" s="225"/>
      <c r="G3" s="225"/>
      <c r="H3" s="225"/>
      <c r="I3" s="235"/>
    </row>
    <row r="4" spans="1:9" x14ac:dyDescent="0.25">
      <c r="A4" s="226" t="s">
        <v>7</v>
      </c>
      <c r="B4" s="225"/>
      <c r="C4" s="230" t="str">
        <f>'Stavební rozpočet'!C4</f>
        <v>oprava střešní konstrukce</v>
      </c>
      <c r="D4" s="225"/>
      <c r="E4" s="230" t="s">
        <v>11</v>
      </c>
      <c r="F4" s="230" t="str">
        <f>'Stavební rozpočet'!I4</f>
        <v>Tomáš Sýkora</v>
      </c>
      <c r="G4" s="225"/>
      <c r="H4" s="230" t="s">
        <v>1171</v>
      </c>
      <c r="I4" s="235" t="s">
        <v>1173</v>
      </c>
    </row>
    <row r="5" spans="1:9" ht="15" customHeight="1" x14ac:dyDescent="0.25">
      <c r="A5" s="224"/>
      <c r="B5" s="225"/>
      <c r="C5" s="225"/>
      <c r="D5" s="225"/>
      <c r="E5" s="225"/>
      <c r="F5" s="225"/>
      <c r="G5" s="225"/>
      <c r="H5" s="225"/>
      <c r="I5" s="235"/>
    </row>
    <row r="6" spans="1:9" x14ac:dyDescent="0.25">
      <c r="A6" s="226" t="s">
        <v>13</v>
      </c>
      <c r="B6" s="225"/>
      <c r="C6" s="230" t="str">
        <f>'Stavební rozpočet'!C6</f>
        <v>ZŠ TGM Ivančice, Na Brněnce 1, 664 91 Ivančice</v>
      </c>
      <c r="D6" s="225"/>
      <c r="E6" s="230" t="s">
        <v>16</v>
      </c>
      <c r="F6" s="230" t="str">
        <f>'Stavební rozpočet'!I6</f>
        <v> </v>
      </c>
      <c r="G6" s="225"/>
      <c r="H6" s="230" t="s">
        <v>1171</v>
      </c>
      <c r="I6" s="235" t="s">
        <v>52</v>
      </c>
    </row>
    <row r="7" spans="1:9" ht="15" customHeight="1" x14ac:dyDescent="0.25">
      <c r="A7" s="224"/>
      <c r="B7" s="225"/>
      <c r="C7" s="225"/>
      <c r="D7" s="225"/>
      <c r="E7" s="225"/>
      <c r="F7" s="225"/>
      <c r="G7" s="225"/>
      <c r="H7" s="225"/>
      <c r="I7" s="235"/>
    </row>
    <row r="8" spans="1:9" x14ac:dyDescent="0.25">
      <c r="A8" s="226" t="s">
        <v>9</v>
      </c>
      <c r="B8" s="225"/>
      <c r="C8" s="230" t="str">
        <f>'Stavební rozpočet'!G4</f>
        <v>13.01.2025</v>
      </c>
      <c r="D8" s="225"/>
      <c r="E8" s="230" t="s">
        <v>15</v>
      </c>
      <c r="F8" s="230" t="str">
        <f>'Stavební rozpočet'!G6</f>
        <v>13.01.2025</v>
      </c>
      <c r="G8" s="225"/>
      <c r="H8" s="225" t="s">
        <v>1174</v>
      </c>
      <c r="I8" s="304">
        <v>37</v>
      </c>
    </row>
    <row r="9" spans="1:9" x14ac:dyDescent="0.25">
      <c r="A9" s="224"/>
      <c r="B9" s="225"/>
      <c r="C9" s="225"/>
      <c r="D9" s="225"/>
      <c r="E9" s="225"/>
      <c r="F9" s="225"/>
      <c r="G9" s="225"/>
      <c r="H9" s="225"/>
      <c r="I9" s="235"/>
    </row>
    <row r="10" spans="1:9" x14ac:dyDescent="0.25">
      <c r="A10" s="226" t="s">
        <v>18</v>
      </c>
      <c r="B10" s="225"/>
      <c r="C10" s="230" t="str">
        <f>'Stavební rozpočet'!C8</f>
        <v>8013212</v>
      </c>
      <c r="D10" s="225"/>
      <c r="E10" s="230" t="s">
        <v>21</v>
      </c>
      <c r="F10" s="230" t="str">
        <f>'Stavební rozpočet'!I8</f>
        <v>Tomáš Sýkora</v>
      </c>
      <c r="G10" s="225"/>
      <c r="H10" s="225" t="s">
        <v>1175</v>
      </c>
      <c r="I10" s="305" t="str">
        <f>'Stavební rozpočet'!G8</f>
        <v>13.01.2025</v>
      </c>
    </row>
    <row r="11" spans="1:9" x14ac:dyDescent="0.25">
      <c r="A11" s="302"/>
      <c r="B11" s="303"/>
      <c r="C11" s="303"/>
      <c r="D11" s="303"/>
      <c r="E11" s="303"/>
      <c r="F11" s="303"/>
      <c r="G11" s="303"/>
      <c r="H11" s="303"/>
      <c r="I11" s="306"/>
    </row>
    <row r="13" spans="1:9" ht="15.75" x14ac:dyDescent="0.25">
      <c r="A13" s="340" t="s">
        <v>1217</v>
      </c>
      <c r="B13" s="340"/>
      <c r="C13" s="340"/>
      <c r="D13" s="340"/>
      <c r="E13" s="340"/>
    </row>
    <row r="14" spans="1:9" x14ac:dyDescent="0.25">
      <c r="A14" s="341" t="s">
        <v>1218</v>
      </c>
      <c r="B14" s="342"/>
      <c r="C14" s="342"/>
      <c r="D14" s="342"/>
      <c r="E14" s="343"/>
      <c r="F14" s="213" t="s">
        <v>1219</v>
      </c>
      <c r="G14" s="213" t="s">
        <v>380</v>
      </c>
      <c r="H14" s="213" t="s">
        <v>1220</v>
      </c>
      <c r="I14" s="213" t="s">
        <v>1219</v>
      </c>
    </row>
    <row r="15" spans="1:9" x14ac:dyDescent="0.25">
      <c r="A15" s="344" t="s">
        <v>1185</v>
      </c>
      <c r="B15" s="345"/>
      <c r="C15" s="345"/>
      <c r="D15" s="345"/>
      <c r="E15" s="346"/>
      <c r="F15" s="214">
        <v>0</v>
      </c>
      <c r="G15" s="215" t="s">
        <v>52</v>
      </c>
      <c r="H15" s="215" t="s">
        <v>52</v>
      </c>
      <c r="I15" s="214">
        <f>F15</f>
        <v>0</v>
      </c>
    </row>
    <row r="16" spans="1:9" x14ac:dyDescent="0.25">
      <c r="A16" s="344" t="s">
        <v>1187</v>
      </c>
      <c r="B16" s="345"/>
      <c r="C16" s="345"/>
      <c r="D16" s="345"/>
      <c r="E16" s="346"/>
      <c r="F16" s="214">
        <v>0</v>
      </c>
      <c r="G16" s="215" t="s">
        <v>52</v>
      </c>
      <c r="H16" s="215" t="s">
        <v>52</v>
      </c>
      <c r="I16" s="214">
        <f>F16</f>
        <v>0</v>
      </c>
    </row>
    <row r="17" spans="1:9" x14ac:dyDescent="0.25">
      <c r="A17" s="347" t="s">
        <v>1190</v>
      </c>
      <c r="B17" s="348"/>
      <c r="C17" s="348"/>
      <c r="D17" s="348"/>
      <c r="E17" s="349"/>
      <c r="F17" s="216">
        <v>0</v>
      </c>
      <c r="G17" s="217" t="s">
        <v>52</v>
      </c>
      <c r="H17" s="217" t="s">
        <v>52</v>
      </c>
      <c r="I17" s="216">
        <f>F17</f>
        <v>0</v>
      </c>
    </row>
    <row r="18" spans="1:9" x14ac:dyDescent="0.25">
      <c r="A18" s="350" t="s">
        <v>1221</v>
      </c>
      <c r="B18" s="351"/>
      <c r="C18" s="351"/>
      <c r="D18" s="351"/>
      <c r="E18" s="352"/>
      <c r="F18" s="218" t="s">
        <v>52</v>
      </c>
      <c r="G18" s="219" t="s">
        <v>52</v>
      </c>
      <c r="H18" s="219" t="s">
        <v>52</v>
      </c>
      <c r="I18" s="220">
        <f>SUM(I15:I17)</f>
        <v>0</v>
      </c>
    </row>
    <row r="20" spans="1:9" x14ac:dyDescent="0.25">
      <c r="A20" s="341" t="s">
        <v>1182</v>
      </c>
      <c r="B20" s="342"/>
      <c r="C20" s="342"/>
      <c r="D20" s="342"/>
      <c r="E20" s="343"/>
      <c r="F20" s="213" t="s">
        <v>1219</v>
      </c>
      <c r="G20" s="213" t="s">
        <v>380</v>
      </c>
      <c r="H20" s="213" t="s">
        <v>1220</v>
      </c>
      <c r="I20" s="213" t="s">
        <v>1219</v>
      </c>
    </row>
    <row r="21" spans="1:9" x14ac:dyDescent="0.25">
      <c r="A21" s="344" t="s">
        <v>1186</v>
      </c>
      <c r="B21" s="345"/>
      <c r="C21" s="345"/>
      <c r="D21" s="345"/>
      <c r="E21" s="346"/>
      <c r="F21" s="214">
        <v>0</v>
      </c>
      <c r="G21" s="215" t="s">
        <v>52</v>
      </c>
      <c r="H21" s="215" t="s">
        <v>52</v>
      </c>
      <c r="I21" s="214">
        <f t="shared" ref="I21:I26" si="0">F21</f>
        <v>0</v>
      </c>
    </row>
    <row r="22" spans="1:9" x14ac:dyDescent="0.25">
      <c r="A22" s="344" t="s">
        <v>1188</v>
      </c>
      <c r="B22" s="345"/>
      <c r="C22" s="345"/>
      <c r="D22" s="345"/>
      <c r="E22" s="346"/>
      <c r="F22" s="214">
        <v>0</v>
      </c>
      <c r="G22" s="215" t="s">
        <v>52</v>
      </c>
      <c r="H22" s="215" t="s">
        <v>52</v>
      </c>
      <c r="I22" s="214">
        <f t="shared" si="0"/>
        <v>0</v>
      </c>
    </row>
    <row r="23" spans="1:9" x14ac:dyDescent="0.25">
      <c r="A23" s="344" t="s">
        <v>1191</v>
      </c>
      <c r="B23" s="345"/>
      <c r="C23" s="345"/>
      <c r="D23" s="345"/>
      <c r="E23" s="346"/>
      <c r="F23" s="214">
        <v>0</v>
      </c>
      <c r="G23" s="215" t="s">
        <v>52</v>
      </c>
      <c r="H23" s="215" t="s">
        <v>52</v>
      </c>
      <c r="I23" s="214">
        <f t="shared" si="0"/>
        <v>0</v>
      </c>
    </row>
    <row r="24" spans="1:9" x14ac:dyDescent="0.25">
      <c r="A24" s="344" t="s">
        <v>1192</v>
      </c>
      <c r="B24" s="345"/>
      <c r="C24" s="345"/>
      <c r="D24" s="345"/>
      <c r="E24" s="346"/>
      <c r="F24" s="214">
        <v>0</v>
      </c>
      <c r="G24" s="215" t="s">
        <v>52</v>
      </c>
      <c r="H24" s="215" t="s">
        <v>52</v>
      </c>
      <c r="I24" s="214">
        <f t="shared" si="0"/>
        <v>0</v>
      </c>
    </row>
    <row r="25" spans="1:9" x14ac:dyDescent="0.25">
      <c r="A25" s="344" t="s">
        <v>1194</v>
      </c>
      <c r="B25" s="345"/>
      <c r="C25" s="345"/>
      <c r="D25" s="345"/>
      <c r="E25" s="346"/>
      <c r="F25" s="214">
        <v>0</v>
      </c>
      <c r="G25" s="215" t="s">
        <v>52</v>
      </c>
      <c r="H25" s="215" t="s">
        <v>52</v>
      </c>
      <c r="I25" s="214">
        <f t="shared" si="0"/>
        <v>0</v>
      </c>
    </row>
    <row r="26" spans="1:9" x14ac:dyDescent="0.25">
      <c r="A26" s="347" t="s">
        <v>1195</v>
      </c>
      <c r="B26" s="348"/>
      <c r="C26" s="348"/>
      <c r="D26" s="348"/>
      <c r="E26" s="349"/>
      <c r="F26" s="216">
        <v>0</v>
      </c>
      <c r="G26" s="217" t="s">
        <v>52</v>
      </c>
      <c r="H26" s="217" t="s">
        <v>52</v>
      </c>
      <c r="I26" s="216">
        <f t="shared" si="0"/>
        <v>0</v>
      </c>
    </row>
    <row r="27" spans="1:9" x14ac:dyDescent="0.25">
      <c r="A27" s="350" t="s">
        <v>1222</v>
      </c>
      <c r="B27" s="351"/>
      <c r="C27" s="351"/>
      <c r="D27" s="351"/>
      <c r="E27" s="352"/>
      <c r="F27" s="218" t="s">
        <v>52</v>
      </c>
      <c r="G27" s="219" t="s">
        <v>52</v>
      </c>
      <c r="H27" s="219" t="s">
        <v>52</v>
      </c>
      <c r="I27" s="220">
        <f>SUM(I21:I26)</f>
        <v>0</v>
      </c>
    </row>
    <row r="29" spans="1:9" ht="15.75" x14ac:dyDescent="0.25">
      <c r="A29" s="353" t="s">
        <v>1223</v>
      </c>
      <c r="B29" s="354"/>
      <c r="C29" s="354"/>
      <c r="D29" s="354"/>
      <c r="E29" s="355"/>
      <c r="F29" s="356">
        <f>I18+I27</f>
        <v>0</v>
      </c>
      <c r="G29" s="357"/>
      <c r="H29" s="357"/>
      <c r="I29" s="358"/>
    </row>
    <row r="33" spans="1:9" ht="15.75" x14ac:dyDescent="0.25">
      <c r="A33" s="340" t="s">
        <v>1224</v>
      </c>
      <c r="B33" s="340"/>
      <c r="C33" s="340"/>
      <c r="D33" s="340"/>
      <c r="E33" s="340"/>
    </row>
    <row r="34" spans="1:9" x14ac:dyDescent="0.25">
      <c r="A34" s="341" t="s">
        <v>1225</v>
      </c>
      <c r="B34" s="342"/>
      <c r="C34" s="342"/>
      <c r="D34" s="342"/>
      <c r="E34" s="343"/>
      <c r="F34" s="213" t="s">
        <v>1219</v>
      </c>
      <c r="G34" s="213" t="s">
        <v>380</v>
      </c>
      <c r="H34" s="213" t="s">
        <v>1220</v>
      </c>
      <c r="I34" s="213" t="s">
        <v>1219</v>
      </c>
    </row>
    <row r="35" spans="1:9" x14ac:dyDescent="0.25">
      <c r="A35" s="347" t="s">
        <v>52</v>
      </c>
      <c r="B35" s="348"/>
      <c r="C35" s="348"/>
      <c r="D35" s="348"/>
      <c r="E35" s="349"/>
      <c r="F35" s="216">
        <v>0</v>
      </c>
      <c r="G35" s="217" t="s">
        <v>52</v>
      </c>
      <c r="H35" s="217" t="s">
        <v>52</v>
      </c>
      <c r="I35" s="216">
        <f>F35</f>
        <v>0</v>
      </c>
    </row>
    <row r="36" spans="1:9" x14ac:dyDescent="0.25">
      <c r="A36" s="350" t="s">
        <v>1226</v>
      </c>
      <c r="B36" s="351"/>
      <c r="C36" s="351"/>
      <c r="D36" s="351"/>
      <c r="E36" s="352"/>
      <c r="F36" s="218" t="s">
        <v>52</v>
      </c>
      <c r="G36" s="219" t="s">
        <v>52</v>
      </c>
      <c r="H36" s="219" t="s">
        <v>52</v>
      </c>
      <c r="I36" s="220">
        <f>SUM(I35:I35)</f>
        <v>0</v>
      </c>
    </row>
  </sheetData>
  <mergeCells count="51">
    <mergeCell ref="A36:E36"/>
    <mergeCell ref="A29:E29"/>
    <mergeCell ref="F29:I29"/>
    <mergeCell ref="A33:E33"/>
    <mergeCell ref="A34:E34"/>
    <mergeCell ref="A35:E35"/>
    <mergeCell ref="A23:E23"/>
    <mergeCell ref="A24:E24"/>
    <mergeCell ref="A25:E25"/>
    <mergeCell ref="A26:E26"/>
    <mergeCell ref="A27:E27"/>
    <mergeCell ref="A17:E17"/>
    <mergeCell ref="A18:E18"/>
    <mergeCell ref="A20:E20"/>
    <mergeCell ref="A21:E21"/>
    <mergeCell ref="A22:E22"/>
    <mergeCell ref="I10:I11"/>
    <mergeCell ref="A13:E13"/>
    <mergeCell ref="A14:E14"/>
    <mergeCell ref="A15:E15"/>
    <mergeCell ref="A16:E16"/>
    <mergeCell ref="H10:H11"/>
    <mergeCell ref="C2:D3"/>
    <mergeCell ref="C4:D5"/>
    <mergeCell ref="C6:D7"/>
    <mergeCell ref="C8:D9"/>
    <mergeCell ref="C10:D11"/>
    <mergeCell ref="F2:G3"/>
    <mergeCell ref="F4:G5"/>
    <mergeCell ref="F6:G7"/>
    <mergeCell ref="F8:G9"/>
    <mergeCell ref="F10:G11"/>
    <mergeCell ref="A10:B11"/>
    <mergeCell ref="E2:E3"/>
    <mergeCell ref="E4:E5"/>
    <mergeCell ref="E6:E7"/>
    <mergeCell ref="E8:E9"/>
    <mergeCell ref="E10:E11"/>
    <mergeCell ref="A1:I1"/>
    <mergeCell ref="A2:B3"/>
    <mergeCell ref="A4:B5"/>
    <mergeCell ref="A6:B7"/>
    <mergeCell ref="A8:B9"/>
    <mergeCell ref="H2:H3"/>
    <mergeCell ref="H4:H5"/>
    <mergeCell ref="H6:H7"/>
    <mergeCell ref="H8:H9"/>
    <mergeCell ref="I2:I3"/>
    <mergeCell ref="I4:I5"/>
    <mergeCell ref="I6:I7"/>
    <mergeCell ref="I8:I9"/>
  </mergeCells>
  <pageMargins left="0.393999993801117" right="0.393999993801117" top="0.59100002050399802" bottom="0.59100002050399802" header="0" footer="0"/>
  <pageSetup fitToHeight="0" orientation="landscape"/>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35"/>
  <sheetViews>
    <sheetView workbookViewId="0">
      <selection activeCell="A35" sqref="A35:I35"/>
    </sheetView>
  </sheetViews>
  <sheetFormatPr defaultColWidth="12.140625" defaultRowHeight="15" customHeight="1" x14ac:dyDescent="0.25"/>
  <cols>
    <col min="1" max="1" width="9.140625" customWidth="1"/>
    <col min="2" max="2" width="12.85546875" customWidth="1"/>
    <col min="3" max="3" width="27.140625" customWidth="1"/>
    <col min="4" max="4" width="10" customWidth="1"/>
    <col min="5" max="5" width="14" customWidth="1"/>
    <col min="6" max="6" width="27.140625" customWidth="1"/>
    <col min="7" max="7" width="9.140625" customWidth="1"/>
    <col min="8" max="8" width="12.85546875" customWidth="1"/>
    <col min="9" max="9" width="27.140625" customWidth="1"/>
  </cols>
  <sheetData>
    <row r="1" spans="1:9" ht="54.75" customHeight="1" x14ac:dyDescent="0.25">
      <c r="A1" s="301" t="s">
        <v>1231</v>
      </c>
      <c r="B1" s="221"/>
      <c r="C1" s="221"/>
      <c r="D1" s="221"/>
      <c r="E1" s="221"/>
      <c r="F1" s="221"/>
      <c r="G1" s="221"/>
      <c r="H1" s="221"/>
      <c r="I1" s="221"/>
    </row>
    <row r="2" spans="1:9" x14ac:dyDescent="0.25">
      <c r="A2" s="222" t="s">
        <v>1</v>
      </c>
      <c r="B2" s="223"/>
      <c r="C2" s="231" t="str">
        <f>'Stavební rozpočet'!C2</f>
        <v>REKONSTRUKCE STŘECHY ZŠ T.G.MASARYKA V IVANČICÍCH</v>
      </c>
      <c r="D2" s="232"/>
      <c r="E2" s="229" t="s">
        <v>5</v>
      </c>
      <c r="F2" s="229" t="str">
        <f>'Stavební rozpočet'!I2</f>
        <v>Město Ivančice</v>
      </c>
      <c r="G2" s="223"/>
      <c r="H2" s="229" t="s">
        <v>1171</v>
      </c>
      <c r="I2" s="234" t="s">
        <v>1172</v>
      </c>
    </row>
    <row r="3" spans="1:9" ht="15" customHeight="1" x14ac:dyDescent="0.25">
      <c r="A3" s="224"/>
      <c r="B3" s="225"/>
      <c r="C3" s="233"/>
      <c r="D3" s="233"/>
      <c r="E3" s="225"/>
      <c r="F3" s="225"/>
      <c r="G3" s="225"/>
      <c r="H3" s="225"/>
      <c r="I3" s="235"/>
    </row>
    <row r="4" spans="1:9" x14ac:dyDescent="0.25">
      <c r="A4" s="226" t="s">
        <v>7</v>
      </c>
      <c r="B4" s="225"/>
      <c r="C4" s="230" t="str">
        <f>'Stavební rozpočet'!C4</f>
        <v>oprava střešní konstrukce</v>
      </c>
      <c r="D4" s="225"/>
      <c r="E4" s="230" t="s">
        <v>11</v>
      </c>
      <c r="F4" s="230" t="str">
        <f>'Stavební rozpočet'!I4</f>
        <v>Tomáš Sýkora</v>
      </c>
      <c r="G4" s="225"/>
      <c r="H4" s="230" t="s">
        <v>1171</v>
      </c>
      <c r="I4" s="235" t="s">
        <v>1173</v>
      </c>
    </row>
    <row r="5" spans="1:9" ht="15" customHeight="1" x14ac:dyDescent="0.25">
      <c r="A5" s="224"/>
      <c r="B5" s="225"/>
      <c r="C5" s="225"/>
      <c r="D5" s="225"/>
      <c r="E5" s="225"/>
      <c r="F5" s="225"/>
      <c r="G5" s="225"/>
      <c r="H5" s="225"/>
      <c r="I5" s="235"/>
    </row>
    <row r="6" spans="1:9" x14ac:dyDescent="0.25">
      <c r="A6" s="226" t="s">
        <v>13</v>
      </c>
      <c r="B6" s="225"/>
      <c r="C6" s="230" t="str">
        <f>'Stavební rozpočet'!C6</f>
        <v>ZŠ TGM Ivančice, Na Brněnce 1, 664 91 Ivančice</v>
      </c>
      <c r="D6" s="225"/>
      <c r="E6" s="230" t="s">
        <v>16</v>
      </c>
      <c r="F6" s="230" t="str">
        <f>'Stavební rozpočet'!I6</f>
        <v> </v>
      </c>
      <c r="G6" s="225"/>
      <c r="H6" s="230" t="s">
        <v>1171</v>
      </c>
      <c r="I6" s="235" t="s">
        <v>52</v>
      </c>
    </row>
    <row r="7" spans="1:9" ht="15" customHeight="1" x14ac:dyDescent="0.25">
      <c r="A7" s="224"/>
      <c r="B7" s="225"/>
      <c r="C7" s="225"/>
      <c r="D7" s="225"/>
      <c r="E7" s="225"/>
      <c r="F7" s="225"/>
      <c r="G7" s="225"/>
      <c r="H7" s="225"/>
      <c r="I7" s="235"/>
    </row>
    <row r="8" spans="1:9" x14ac:dyDescent="0.25">
      <c r="A8" s="226" t="s">
        <v>9</v>
      </c>
      <c r="B8" s="225"/>
      <c r="C8" s="230" t="str">
        <f>'Stavební rozpočet'!G4</f>
        <v>13.01.2025</v>
      </c>
      <c r="D8" s="225"/>
      <c r="E8" s="230" t="s">
        <v>15</v>
      </c>
      <c r="F8" s="230" t="str">
        <f>'Stavební rozpočet'!G6</f>
        <v>13.01.2025</v>
      </c>
      <c r="G8" s="225"/>
      <c r="H8" s="225" t="s">
        <v>1174</v>
      </c>
      <c r="I8" s="304">
        <v>65</v>
      </c>
    </row>
    <row r="9" spans="1:9" x14ac:dyDescent="0.25">
      <c r="A9" s="224"/>
      <c r="B9" s="225"/>
      <c r="C9" s="225"/>
      <c r="D9" s="225"/>
      <c r="E9" s="225"/>
      <c r="F9" s="225"/>
      <c r="G9" s="225"/>
      <c r="H9" s="225"/>
      <c r="I9" s="235"/>
    </row>
    <row r="10" spans="1:9" x14ac:dyDescent="0.25">
      <c r="A10" s="226" t="s">
        <v>18</v>
      </c>
      <c r="B10" s="225"/>
      <c r="C10" s="230" t="str">
        <f>'Stavební rozpočet'!C8</f>
        <v>8013212</v>
      </c>
      <c r="D10" s="225"/>
      <c r="E10" s="230" t="s">
        <v>21</v>
      </c>
      <c r="F10" s="230" t="str">
        <f>'Stavební rozpočet'!I8</f>
        <v>Tomáš Sýkora</v>
      </c>
      <c r="G10" s="225"/>
      <c r="H10" s="225" t="s">
        <v>1175</v>
      </c>
      <c r="I10" s="305" t="str">
        <f>'Stavební rozpočet'!G8</f>
        <v>13.01.2025</v>
      </c>
    </row>
    <row r="11" spans="1:9" x14ac:dyDescent="0.25">
      <c r="A11" s="302"/>
      <c r="B11" s="303"/>
      <c r="C11" s="303"/>
      <c r="D11" s="303"/>
      <c r="E11" s="303"/>
      <c r="F11" s="303"/>
      <c r="G11" s="303"/>
      <c r="H11" s="303"/>
      <c r="I11" s="306"/>
    </row>
    <row r="12" spans="1:9" ht="23.25" x14ac:dyDescent="0.25">
      <c r="A12" s="307" t="s">
        <v>1176</v>
      </c>
      <c r="B12" s="307"/>
      <c r="C12" s="307"/>
      <c r="D12" s="307"/>
      <c r="E12" s="307"/>
      <c r="F12" s="307"/>
      <c r="G12" s="307"/>
      <c r="H12" s="307"/>
      <c r="I12" s="307"/>
    </row>
    <row r="13" spans="1:9" ht="26.25" customHeight="1" x14ac:dyDescent="0.25">
      <c r="A13" s="200" t="s">
        <v>1177</v>
      </c>
      <c r="B13" s="308" t="s">
        <v>1178</v>
      </c>
      <c r="C13" s="309"/>
      <c r="D13" s="201" t="s">
        <v>1179</v>
      </c>
      <c r="E13" s="308" t="s">
        <v>1180</v>
      </c>
      <c r="F13" s="309"/>
      <c r="G13" s="201" t="s">
        <v>1181</v>
      </c>
      <c r="H13" s="308" t="s">
        <v>1182</v>
      </c>
      <c r="I13" s="309"/>
    </row>
    <row r="14" spans="1:9" ht="15.75" x14ac:dyDescent="0.25">
      <c r="A14" s="202" t="s">
        <v>1183</v>
      </c>
      <c r="B14" s="203" t="s">
        <v>1184</v>
      </c>
      <c r="C14" s="204">
        <f>SUMIF('Stavební rozpočet'!AI12:AI752,"02",'Stavební rozpočet'!AB12:AB752)</f>
        <v>0</v>
      </c>
      <c r="D14" s="316" t="s">
        <v>1185</v>
      </c>
      <c r="E14" s="317"/>
      <c r="F14" s="204">
        <f>'VORN objektu (02)'!I15</f>
        <v>0</v>
      </c>
      <c r="G14" s="316" t="s">
        <v>1186</v>
      </c>
      <c r="H14" s="317"/>
      <c r="I14" s="205">
        <f>'VORN objektu (02)'!I21</f>
        <v>0</v>
      </c>
    </row>
    <row r="15" spans="1:9" ht="15.75" x14ac:dyDescent="0.25">
      <c r="A15" s="206" t="s">
        <v>52</v>
      </c>
      <c r="B15" s="203" t="s">
        <v>37</v>
      </c>
      <c r="C15" s="204">
        <f>SUMIF('Stavební rozpočet'!AI12:AI752,"02",'Stavební rozpočet'!AC12:AC752)</f>
        <v>0</v>
      </c>
      <c r="D15" s="316" t="s">
        <v>1187</v>
      </c>
      <c r="E15" s="317"/>
      <c r="F15" s="204">
        <f>'VORN objektu (02)'!I16</f>
        <v>0</v>
      </c>
      <c r="G15" s="316" t="s">
        <v>1188</v>
      </c>
      <c r="H15" s="317"/>
      <c r="I15" s="205">
        <f>'VORN objektu (02)'!I22</f>
        <v>0</v>
      </c>
    </row>
    <row r="16" spans="1:9" ht="15.75" x14ac:dyDescent="0.25">
      <c r="A16" s="202" t="s">
        <v>1189</v>
      </c>
      <c r="B16" s="203" t="s">
        <v>1184</v>
      </c>
      <c r="C16" s="204">
        <f>SUMIF('Stavební rozpočet'!AI12:AI752,"02",'Stavební rozpočet'!AD12:AD752)</f>
        <v>0</v>
      </c>
      <c r="D16" s="316" t="s">
        <v>1190</v>
      </c>
      <c r="E16" s="317"/>
      <c r="F16" s="204">
        <f>'VORN objektu (02)'!I17</f>
        <v>0</v>
      </c>
      <c r="G16" s="316" t="s">
        <v>1191</v>
      </c>
      <c r="H16" s="317"/>
      <c r="I16" s="205">
        <f>'VORN objektu (02)'!I23</f>
        <v>0</v>
      </c>
    </row>
    <row r="17" spans="1:9" ht="15.75" x14ac:dyDescent="0.25">
      <c r="A17" s="206" t="s">
        <v>52</v>
      </c>
      <c r="B17" s="203" t="s">
        <v>37</v>
      </c>
      <c r="C17" s="204">
        <f>SUMIF('Stavební rozpočet'!AI12:AI752,"02",'Stavební rozpočet'!AE12:AE752)</f>
        <v>0</v>
      </c>
      <c r="D17" s="316" t="s">
        <v>52</v>
      </c>
      <c r="E17" s="317"/>
      <c r="F17" s="205" t="s">
        <v>52</v>
      </c>
      <c r="G17" s="316" t="s">
        <v>1192</v>
      </c>
      <c r="H17" s="317"/>
      <c r="I17" s="205">
        <f>'VORN objektu (02)'!I24</f>
        <v>0</v>
      </c>
    </row>
    <row r="18" spans="1:9" ht="15.75" x14ac:dyDescent="0.25">
      <c r="A18" s="202" t="s">
        <v>1193</v>
      </c>
      <c r="B18" s="203" t="s">
        <v>1184</v>
      </c>
      <c r="C18" s="204">
        <f>SUMIF('Stavební rozpočet'!AI12:AI752,"02",'Stavební rozpočet'!AF12:AF752)</f>
        <v>0</v>
      </c>
      <c r="D18" s="316" t="s">
        <v>52</v>
      </c>
      <c r="E18" s="317"/>
      <c r="F18" s="205" t="s">
        <v>52</v>
      </c>
      <c r="G18" s="316" t="s">
        <v>1194</v>
      </c>
      <c r="H18" s="317"/>
      <c r="I18" s="205">
        <f>'VORN objektu (02)'!I25</f>
        <v>0</v>
      </c>
    </row>
    <row r="19" spans="1:9" ht="15.75" x14ac:dyDescent="0.25">
      <c r="A19" s="206" t="s">
        <v>52</v>
      </c>
      <c r="B19" s="203" t="s">
        <v>37</v>
      </c>
      <c r="C19" s="204">
        <f>SUMIF('Stavební rozpočet'!AI12:AI752,"02",'Stavební rozpočet'!AG12:AG752)</f>
        <v>0</v>
      </c>
      <c r="D19" s="316" t="s">
        <v>52</v>
      </c>
      <c r="E19" s="317"/>
      <c r="F19" s="205" t="s">
        <v>52</v>
      </c>
      <c r="G19" s="316" t="s">
        <v>1195</v>
      </c>
      <c r="H19" s="317"/>
      <c r="I19" s="205">
        <f>'VORN objektu (02)'!I26</f>
        <v>0</v>
      </c>
    </row>
    <row r="20" spans="1:9" ht="15.75" x14ac:dyDescent="0.25">
      <c r="A20" s="310" t="s">
        <v>1196</v>
      </c>
      <c r="B20" s="311"/>
      <c r="C20" s="204">
        <f>SUMIF('Stavební rozpočet'!AI12:AI752,"02",'Stavební rozpočet'!AH12:AH752)</f>
        <v>0</v>
      </c>
      <c r="D20" s="316" t="s">
        <v>52</v>
      </c>
      <c r="E20" s="317"/>
      <c r="F20" s="205" t="s">
        <v>52</v>
      </c>
      <c r="G20" s="316" t="s">
        <v>52</v>
      </c>
      <c r="H20" s="317"/>
      <c r="I20" s="205" t="s">
        <v>52</v>
      </c>
    </row>
    <row r="21" spans="1:9" ht="15.75" x14ac:dyDescent="0.25">
      <c r="A21" s="312" t="s">
        <v>1197</v>
      </c>
      <c r="B21" s="313"/>
      <c r="C21" s="204">
        <f>SUMIF('Stavební rozpočet'!AI12:AI752,"02",'Stavební rozpočet'!Z12:Z752)</f>
        <v>0</v>
      </c>
      <c r="D21" s="318" t="s">
        <v>52</v>
      </c>
      <c r="E21" s="319"/>
      <c r="F21" s="208" t="s">
        <v>52</v>
      </c>
      <c r="G21" s="318" t="s">
        <v>52</v>
      </c>
      <c r="H21" s="319"/>
      <c r="I21" s="208" t="s">
        <v>52</v>
      </c>
    </row>
    <row r="22" spans="1:9" ht="16.5" customHeight="1" x14ac:dyDescent="0.25">
      <c r="A22" s="314" t="s">
        <v>1198</v>
      </c>
      <c r="B22" s="315"/>
      <c r="C22" s="204">
        <f>ROUND(SUM(C14:C21),2)</f>
        <v>0</v>
      </c>
      <c r="D22" s="320" t="s">
        <v>1199</v>
      </c>
      <c r="E22" s="315"/>
      <c r="F22" s="209">
        <f>SUM(F14:F21)</f>
        <v>0</v>
      </c>
      <c r="G22" s="320" t="s">
        <v>1200</v>
      </c>
      <c r="H22" s="315"/>
      <c r="I22" s="209">
        <f>SUM(I14:I21)</f>
        <v>0</v>
      </c>
    </row>
    <row r="23" spans="1:9" ht="15.75" x14ac:dyDescent="0.25">
      <c r="G23" s="310" t="s">
        <v>1203</v>
      </c>
      <c r="H23" s="311"/>
      <c r="I23" s="204">
        <f>'VORN objektu (02)'!I36</f>
        <v>0</v>
      </c>
    </row>
    <row r="25" spans="1:9" ht="15.75" x14ac:dyDescent="0.25">
      <c r="A25" s="322" t="s">
        <v>1205</v>
      </c>
      <c r="B25" s="323"/>
      <c r="C25" s="210">
        <f>ROUND(('Stavební rozpočet'!AS211+'Stavební rozpočet'!AS235+'Stavební rozpočet'!AS307+'Stavební rozpočet'!AS396+'Stavební rozpočet'!AS424+'Stavební rozpočet'!AS428+'Stavební rozpočet'!AS441+'Stavební rozpočet'!AS444),2)</f>
        <v>0</v>
      </c>
    </row>
    <row r="26" spans="1:9" ht="15.75" x14ac:dyDescent="0.25">
      <c r="A26" s="324" t="s">
        <v>1206</v>
      </c>
      <c r="B26" s="325"/>
      <c r="C26" s="211">
        <f>ROUND(('Stavební rozpočet'!AT211+'Stavební rozpočet'!AT235+'Stavební rozpočet'!AT307+'Stavební rozpočet'!AT396+'Stavební rozpočet'!AT424+'Stavební rozpočet'!AT428+'Stavební rozpočet'!AT441+'Stavební rozpočet'!AT444),2)</f>
        <v>0</v>
      </c>
      <c r="D26" s="326" t="s">
        <v>1207</v>
      </c>
      <c r="E26" s="323"/>
      <c r="F26" s="210">
        <f>ROUND(C26*(12/100),2)</f>
        <v>0</v>
      </c>
      <c r="G26" s="326" t="s">
        <v>1208</v>
      </c>
      <c r="H26" s="323"/>
      <c r="I26" s="210">
        <f>ROUND(SUM(C25:C27),2)</f>
        <v>0</v>
      </c>
    </row>
    <row r="27" spans="1:9" ht="15.75" x14ac:dyDescent="0.25">
      <c r="A27" s="324" t="s">
        <v>1209</v>
      </c>
      <c r="B27" s="325"/>
      <c r="C27" s="211">
        <f>ROUND(('Stavební rozpočet'!AU211+'Stavební rozpočet'!AU235+'Stavební rozpočet'!AU307+'Stavební rozpočet'!AU396+'Stavební rozpočet'!AU424+'Stavební rozpočet'!AU428+'Stavební rozpočet'!AU441+'Stavební rozpočet'!AU444)+(F22+I22+F23+I23+I24),2)</f>
        <v>0</v>
      </c>
      <c r="D27" s="327" t="s">
        <v>1210</v>
      </c>
      <c r="E27" s="325"/>
      <c r="F27" s="211">
        <f>ROUND(C27*(21/100),2)</f>
        <v>0</v>
      </c>
      <c r="G27" s="327" t="s">
        <v>1211</v>
      </c>
      <c r="H27" s="325"/>
      <c r="I27" s="211">
        <f>ROUND(SUM(F26:F27)+I26,2)</f>
        <v>0</v>
      </c>
    </row>
    <row r="29" spans="1:9" x14ac:dyDescent="0.25">
      <c r="A29" s="328" t="s">
        <v>1212</v>
      </c>
      <c r="B29" s="329"/>
      <c r="C29" s="330"/>
      <c r="D29" s="337" t="s">
        <v>1213</v>
      </c>
      <c r="E29" s="329"/>
      <c r="F29" s="330"/>
      <c r="G29" s="337" t="s">
        <v>1214</v>
      </c>
      <c r="H29" s="329"/>
      <c r="I29" s="330"/>
    </row>
    <row r="30" spans="1:9" x14ac:dyDescent="0.25">
      <c r="A30" s="331" t="s">
        <v>52</v>
      </c>
      <c r="B30" s="332"/>
      <c r="C30" s="333"/>
      <c r="D30" s="338" t="s">
        <v>52</v>
      </c>
      <c r="E30" s="332"/>
      <c r="F30" s="333"/>
      <c r="G30" s="338" t="s">
        <v>52</v>
      </c>
      <c r="H30" s="332"/>
      <c r="I30" s="333"/>
    </row>
    <row r="31" spans="1:9" x14ac:dyDescent="0.25">
      <c r="A31" s="331" t="s">
        <v>52</v>
      </c>
      <c r="B31" s="332"/>
      <c r="C31" s="333"/>
      <c r="D31" s="338" t="s">
        <v>52</v>
      </c>
      <c r="E31" s="332"/>
      <c r="F31" s="333"/>
      <c r="G31" s="338" t="s">
        <v>52</v>
      </c>
      <c r="H31" s="332"/>
      <c r="I31" s="333"/>
    </row>
    <row r="32" spans="1:9" x14ac:dyDescent="0.25">
      <c r="A32" s="331" t="s">
        <v>52</v>
      </c>
      <c r="B32" s="332"/>
      <c r="C32" s="333"/>
      <c r="D32" s="338" t="s">
        <v>52</v>
      </c>
      <c r="E32" s="332"/>
      <c r="F32" s="333"/>
      <c r="G32" s="338" t="s">
        <v>52</v>
      </c>
      <c r="H32" s="332"/>
      <c r="I32" s="333"/>
    </row>
    <row r="33" spans="1:9" x14ac:dyDescent="0.25">
      <c r="A33" s="334" t="s">
        <v>1215</v>
      </c>
      <c r="B33" s="335"/>
      <c r="C33" s="336"/>
      <c r="D33" s="339" t="s">
        <v>1215</v>
      </c>
      <c r="E33" s="335"/>
      <c r="F33" s="336"/>
      <c r="G33" s="339" t="s">
        <v>1215</v>
      </c>
      <c r="H33" s="335"/>
      <c r="I33" s="336"/>
    </row>
    <row r="34" spans="1:9" x14ac:dyDescent="0.25">
      <c r="A34" s="212" t="s">
        <v>148</v>
      </c>
    </row>
    <row r="35" spans="1:9" ht="12.75" customHeight="1" x14ac:dyDescent="0.25">
      <c r="A35" s="230" t="s">
        <v>52</v>
      </c>
      <c r="B35" s="225"/>
      <c r="C35" s="225"/>
      <c r="D35" s="225"/>
      <c r="E35" s="225"/>
      <c r="F35" s="225"/>
      <c r="G35" s="225"/>
      <c r="H35" s="225"/>
      <c r="I35" s="225"/>
    </row>
  </sheetData>
  <mergeCells count="80">
    <mergeCell ref="G32:I32"/>
    <mergeCell ref="G33:I33"/>
    <mergeCell ref="A35:I35"/>
    <mergeCell ref="A32:C32"/>
    <mergeCell ref="A33:C33"/>
    <mergeCell ref="D29:F29"/>
    <mergeCell ref="D30:F30"/>
    <mergeCell ref="D31:F31"/>
    <mergeCell ref="D32:F32"/>
    <mergeCell ref="D33:F33"/>
    <mergeCell ref="G26:H26"/>
    <mergeCell ref="G27:H27"/>
    <mergeCell ref="A29:C29"/>
    <mergeCell ref="A30:C30"/>
    <mergeCell ref="A31:C31"/>
    <mergeCell ref="G29:I29"/>
    <mergeCell ref="G30:I30"/>
    <mergeCell ref="G31:I31"/>
    <mergeCell ref="A25:B25"/>
    <mergeCell ref="A26:B26"/>
    <mergeCell ref="A27:B27"/>
    <mergeCell ref="D26:E26"/>
    <mergeCell ref="D27:E27"/>
    <mergeCell ref="G19:H19"/>
    <mergeCell ref="G20:H20"/>
    <mergeCell ref="G21:H21"/>
    <mergeCell ref="G22:H22"/>
    <mergeCell ref="G23:H23"/>
    <mergeCell ref="G14:H14"/>
    <mergeCell ref="G15:H15"/>
    <mergeCell ref="G16:H16"/>
    <mergeCell ref="G17:H17"/>
    <mergeCell ref="G18:H18"/>
    <mergeCell ref="A20:B20"/>
    <mergeCell ref="A21:B21"/>
    <mergeCell ref="A22:B22"/>
    <mergeCell ref="D14:E14"/>
    <mergeCell ref="D15:E15"/>
    <mergeCell ref="D16:E16"/>
    <mergeCell ref="D17:E17"/>
    <mergeCell ref="D18:E18"/>
    <mergeCell ref="D19:E19"/>
    <mergeCell ref="D20:E20"/>
    <mergeCell ref="D21:E21"/>
    <mergeCell ref="D22:E22"/>
    <mergeCell ref="I10:I11"/>
    <mergeCell ref="A12:I12"/>
    <mergeCell ref="B13:C13"/>
    <mergeCell ref="E13:F13"/>
    <mergeCell ref="H13:I13"/>
    <mergeCell ref="F10:G11"/>
    <mergeCell ref="H2:H3"/>
    <mergeCell ref="H4:H5"/>
    <mergeCell ref="H6:H7"/>
    <mergeCell ref="H8:H9"/>
    <mergeCell ref="H10:H11"/>
    <mergeCell ref="A10:B11"/>
    <mergeCell ref="E2:E3"/>
    <mergeCell ref="E4:E5"/>
    <mergeCell ref="E6:E7"/>
    <mergeCell ref="E8:E9"/>
    <mergeCell ref="E10:E11"/>
    <mergeCell ref="C2:D3"/>
    <mergeCell ref="C4:D5"/>
    <mergeCell ref="C6:D7"/>
    <mergeCell ref="C8:D9"/>
    <mergeCell ref="C10:D11"/>
    <mergeCell ref="A1:I1"/>
    <mergeCell ref="A2:B3"/>
    <mergeCell ref="A4:B5"/>
    <mergeCell ref="A6:B7"/>
    <mergeCell ref="A8:B9"/>
    <mergeCell ref="F2:G3"/>
    <mergeCell ref="F4:G5"/>
    <mergeCell ref="F6:G7"/>
    <mergeCell ref="F8:G9"/>
    <mergeCell ref="I2:I3"/>
    <mergeCell ref="I4:I5"/>
    <mergeCell ref="I6:I7"/>
    <mergeCell ref="I8:I9"/>
  </mergeCells>
  <pageMargins left="0.393999993801117" right="0.393999993801117" top="0.59100002050399802" bottom="0.59100002050399802" header="0" footer="0"/>
  <pageSetup orientation="landscape"/>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36"/>
  <sheetViews>
    <sheetView workbookViewId="0">
      <selection activeCell="A36" sqref="A36:E36"/>
    </sheetView>
  </sheetViews>
  <sheetFormatPr defaultColWidth="12.140625" defaultRowHeight="15" customHeight="1" x14ac:dyDescent="0.25"/>
  <cols>
    <col min="1" max="1" width="9.140625" customWidth="1"/>
    <col min="2" max="2" width="12.85546875" customWidth="1"/>
    <col min="3" max="3" width="22.85546875" customWidth="1"/>
    <col min="4" max="4" width="10" customWidth="1"/>
    <col min="5" max="5" width="14" customWidth="1"/>
    <col min="6" max="6" width="22.85546875" customWidth="1"/>
    <col min="7" max="7" width="9.140625" customWidth="1"/>
    <col min="8" max="8" width="17.140625" customWidth="1"/>
    <col min="9" max="9" width="22.85546875" customWidth="1"/>
  </cols>
  <sheetData>
    <row r="1" spans="1:9" ht="54.75" customHeight="1" x14ac:dyDescent="0.25">
      <c r="A1" s="301" t="s">
        <v>1232</v>
      </c>
      <c r="B1" s="221"/>
      <c r="C1" s="221"/>
      <c r="D1" s="221"/>
      <c r="E1" s="221"/>
      <c r="F1" s="221"/>
      <c r="G1" s="221"/>
      <c r="H1" s="221"/>
      <c r="I1" s="221"/>
    </row>
    <row r="2" spans="1:9" x14ac:dyDescent="0.25">
      <c r="A2" s="222" t="s">
        <v>1</v>
      </c>
      <c r="B2" s="223"/>
      <c r="C2" s="231" t="str">
        <f>'Stavební rozpočet'!C2</f>
        <v>REKONSTRUKCE STŘECHY ZŠ T.G.MASARYKA V IVANČICÍCH</v>
      </c>
      <c r="D2" s="232"/>
      <c r="E2" s="229" t="s">
        <v>5</v>
      </c>
      <c r="F2" s="229" t="str">
        <f>'Stavební rozpočet'!I2</f>
        <v>Město Ivančice</v>
      </c>
      <c r="G2" s="223"/>
      <c r="H2" s="229" t="s">
        <v>1171</v>
      </c>
      <c r="I2" s="234" t="s">
        <v>1172</v>
      </c>
    </row>
    <row r="3" spans="1:9" ht="15" customHeight="1" x14ac:dyDescent="0.25">
      <c r="A3" s="224"/>
      <c r="B3" s="225"/>
      <c r="C3" s="233"/>
      <c r="D3" s="233"/>
      <c r="E3" s="225"/>
      <c r="F3" s="225"/>
      <c r="G3" s="225"/>
      <c r="H3" s="225"/>
      <c r="I3" s="235"/>
    </row>
    <row r="4" spans="1:9" x14ac:dyDescent="0.25">
      <c r="A4" s="226" t="s">
        <v>7</v>
      </c>
      <c r="B4" s="225"/>
      <c r="C4" s="230" t="str">
        <f>'Stavební rozpočet'!C4</f>
        <v>oprava střešní konstrukce</v>
      </c>
      <c r="D4" s="225"/>
      <c r="E4" s="230" t="s">
        <v>11</v>
      </c>
      <c r="F4" s="230" t="str">
        <f>'Stavební rozpočet'!I4</f>
        <v>Tomáš Sýkora</v>
      </c>
      <c r="G4" s="225"/>
      <c r="H4" s="230" t="s">
        <v>1171</v>
      </c>
      <c r="I4" s="235" t="s">
        <v>1173</v>
      </c>
    </row>
    <row r="5" spans="1:9" ht="15" customHeight="1" x14ac:dyDescent="0.25">
      <c r="A5" s="224"/>
      <c r="B5" s="225"/>
      <c r="C5" s="225"/>
      <c r="D5" s="225"/>
      <c r="E5" s="225"/>
      <c r="F5" s="225"/>
      <c r="G5" s="225"/>
      <c r="H5" s="225"/>
      <c r="I5" s="235"/>
    </row>
    <row r="6" spans="1:9" x14ac:dyDescent="0.25">
      <c r="A6" s="226" t="s">
        <v>13</v>
      </c>
      <c r="B6" s="225"/>
      <c r="C6" s="230" t="str">
        <f>'Stavební rozpočet'!C6</f>
        <v>ZŠ TGM Ivančice, Na Brněnce 1, 664 91 Ivančice</v>
      </c>
      <c r="D6" s="225"/>
      <c r="E6" s="230" t="s">
        <v>16</v>
      </c>
      <c r="F6" s="230" t="str">
        <f>'Stavební rozpočet'!I6</f>
        <v> </v>
      </c>
      <c r="G6" s="225"/>
      <c r="H6" s="230" t="s">
        <v>1171</v>
      </c>
      <c r="I6" s="235" t="s">
        <v>52</v>
      </c>
    </row>
    <row r="7" spans="1:9" ht="15" customHeight="1" x14ac:dyDescent="0.25">
      <c r="A7" s="224"/>
      <c r="B7" s="225"/>
      <c r="C7" s="225"/>
      <c r="D7" s="225"/>
      <c r="E7" s="225"/>
      <c r="F7" s="225"/>
      <c r="G7" s="225"/>
      <c r="H7" s="225"/>
      <c r="I7" s="235"/>
    </row>
    <row r="8" spans="1:9" x14ac:dyDescent="0.25">
      <c r="A8" s="226" t="s">
        <v>9</v>
      </c>
      <c r="B8" s="225"/>
      <c r="C8" s="230" t="str">
        <f>'Stavební rozpočet'!G4</f>
        <v>13.01.2025</v>
      </c>
      <c r="D8" s="225"/>
      <c r="E8" s="230" t="s">
        <v>15</v>
      </c>
      <c r="F8" s="230" t="str">
        <f>'Stavební rozpočet'!G6</f>
        <v>13.01.2025</v>
      </c>
      <c r="G8" s="225"/>
      <c r="H8" s="225" t="s">
        <v>1174</v>
      </c>
      <c r="I8" s="304">
        <v>65</v>
      </c>
    </row>
    <row r="9" spans="1:9" x14ac:dyDescent="0.25">
      <c r="A9" s="224"/>
      <c r="B9" s="225"/>
      <c r="C9" s="225"/>
      <c r="D9" s="225"/>
      <c r="E9" s="225"/>
      <c r="F9" s="225"/>
      <c r="G9" s="225"/>
      <c r="H9" s="225"/>
      <c r="I9" s="235"/>
    </row>
    <row r="10" spans="1:9" x14ac:dyDescent="0.25">
      <c r="A10" s="226" t="s">
        <v>18</v>
      </c>
      <c r="B10" s="225"/>
      <c r="C10" s="230" t="str">
        <f>'Stavební rozpočet'!C8</f>
        <v>8013212</v>
      </c>
      <c r="D10" s="225"/>
      <c r="E10" s="230" t="s">
        <v>21</v>
      </c>
      <c r="F10" s="230" t="str">
        <f>'Stavební rozpočet'!I8</f>
        <v>Tomáš Sýkora</v>
      </c>
      <c r="G10" s="225"/>
      <c r="H10" s="225" t="s">
        <v>1175</v>
      </c>
      <c r="I10" s="305" t="str">
        <f>'Stavební rozpočet'!G8</f>
        <v>13.01.2025</v>
      </c>
    </row>
    <row r="11" spans="1:9" x14ac:dyDescent="0.25">
      <c r="A11" s="302"/>
      <c r="B11" s="303"/>
      <c r="C11" s="303"/>
      <c r="D11" s="303"/>
      <c r="E11" s="303"/>
      <c r="F11" s="303"/>
      <c r="G11" s="303"/>
      <c r="H11" s="303"/>
      <c r="I11" s="306"/>
    </row>
    <row r="13" spans="1:9" ht="15.75" x14ac:dyDescent="0.25">
      <c r="A13" s="340" t="s">
        <v>1217</v>
      </c>
      <c r="B13" s="340"/>
      <c r="C13" s="340"/>
      <c r="D13" s="340"/>
      <c r="E13" s="340"/>
    </row>
    <row r="14" spans="1:9" x14ac:dyDescent="0.25">
      <c r="A14" s="341" t="s">
        <v>1218</v>
      </c>
      <c r="B14" s="342"/>
      <c r="C14" s="342"/>
      <c r="D14" s="342"/>
      <c r="E14" s="343"/>
      <c r="F14" s="213" t="s">
        <v>1219</v>
      </c>
      <c r="G14" s="213" t="s">
        <v>380</v>
      </c>
      <c r="H14" s="213" t="s">
        <v>1220</v>
      </c>
      <c r="I14" s="213" t="s">
        <v>1219</v>
      </c>
    </row>
    <row r="15" spans="1:9" x14ac:dyDescent="0.25">
      <c r="A15" s="344" t="s">
        <v>1185</v>
      </c>
      <c r="B15" s="345"/>
      <c r="C15" s="345"/>
      <c r="D15" s="345"/>
      <c r="E15" s="346"/>
      <c r="F15" s="214">
        <v>0</v>
      </c>
      <c r="G15" s="215" t="s">
        <v>52</v>
      </c>
      <c r="H15" s="215" t="s">
        <v>52</v>
      </c>
      <c r="I15" s="214">
        <f>F15</f>
        <v>0</v>
      </c>
    </row>
    <row r="16" spans="1:9" x14ac:dyDescent="0.25">
      <c r="A16" s="344" t="s">
        <v>1187</v>
      </c>
      <c r="B16" s="345"/>
      <c r="C16" s="345"/>
      <c r="D16" s="345"/>
      <c r="E16" s="346"/>
      <c r="F16" s="214">
        <v>0</v>
      </c>
      <c r="G16" s="215" t="s">
        <v>52</v>
      </c>
      <c r="H16" s="215" t="s">
        <v>52</v>
      </c>
      <c r="I16" s="214">
        <f>F16</f>
        <v>0</v>
      </c>
    </row>
    <row r="17" spans="1:9" x14ac:dyDescent="0.25">
      <c r="A17" s="347" t="s">
        <v>1190</v>
      </c>
      <c r="B17" s="348"/>
      <c r="C17" s="348"/>
      <c r="D17" s="348"/>
      <c r="E17" s="349"/>
      <c r="F17" s="216">
        <v>0</v>
      </c>
      <c r="G17" s="217" t="s">
        <v>52</v>
      </c>
      <c r="H17" s="217" t="s">
        <v>52</v>
      </c>
      <c r="I17" s="216">
        <f>F17</f>
        <v>0</v>
      </c>
    </row>
    <row r="18" spans="1:9" x14ac:dyDescent="0.25">
      <c r="A18" s="350" t="s">
        <v>1221</v>
      </c>
      <c r="B18" s="351"/>
      <c r="C18" s="351"/>
      <c r="D18" s="351"/>
      <c r="E18" s="352"/>
      <c r="F18" s="218" t="s">
        <v>52</v>
      </c>
      <c r="G18" s="219" t="s">
        <v>52</v>
      </c>
      <c r="H18" s="219" t="s">
        <v>52</v>
      </c>
      <c r="I18" s="220">
        <f>SUM(I15:I17)</f>
        <v>0</v>
      </c>
    </row>
    <row r="20" spans="1:9" x14ac:dyDescent="0.25">
      <c r="A20" s="341" t="s">
        <v>1182</v>
      </c>
      <c r="B20" s="342"/>
      <c r="C20" s="342"/>
      <c r="D20" s="342"/>
      <c r="E20" s="343"/>
      <c r="F20" s="213" t="s">
        <v>1219</v>
      </c>
      <c r="G20" s="213" t="s">
        <v>380</v>
      </c>
      <c r="H20" s="213" t="s">
        <v>1220</v>
      </c>
      <c r="I20" s="213" t="s">
        <v>1219</v>
      </c>
    </row>
    <row r="21" spans="1:9" x14ac:dyDescent="0.25">
      <c r="A21" s="344" t="s">
        <v>1186</v>
      </c>
      <c r="B21" s="345"/>
      <c r="C21" s="345"/>
      <c r="D21" s="345"/>
      <c r="E21" s="346"/>
      <c r="F21" s="214">
        <v>0</v>
      </c>
      <c r="G21" s="215" t="s">
        <v>52</v>
      </c>
      <c r="H21" s="215" t="s">
        <v>52</v>
      </c>
      <c r="I21" s="214">
        <f t="shared" ref="I21:I26" si="0">F21</f>
        <v>0</v>
      </c>
    </row>
    <row r="22" spans="1:9" x14ac:dyDescent="0.25">
      <c r="A22" s="344" t="s">
        <v>1188</v>
      </c>
      <c r="B22" s="345"/>
      <c r="C22" s="345"/>
      <c r="D22" s="345"/>
      <c r="E22" s="346"/>
      <c r="F22" s="214">
        <v>0</v>
      </c>
      <c r="G22" s="215" t="s">
        <v>52</v>
      </c>
      <c r="H22" s="215" t="s">
        <v>52</v>
      </c>
      <c r="I22" s="214">
        <f t="shared" si="0"/>
        <v>0</v>
      </c>
    </row>
    <row r="23" spans="1:9" x14ac:dyDescent="0.25">
      <c r="A23" s="344" t="s">
        <v>1191</v>
      </c>
      <c r="B23" s="345"/>
      <c r="C23" s="345"/>
      <c r="D23" s="345"/>
      <c r="E23" s="346"/>
      <c r="F23" s="214">
        <v>0</v>
      </c>
      <c r="G23" s="215" t="s">
        <v>52</v>
      </c>
      <c r="H23" s="215" t="s">
        <v>52</v>
      </c>
      <c r="I23" s="214">
        <f t="shared" si="0"/>
        <v>0</v>
      </c>
    </row>
    <row r="24" spans="1:9" x14ac:dyDescent="0.25">
      <c r="A24" s="344" t="s">
        <v>1192</v>
      </c>
      <c r="B24" s="345"/>
      <c r="C24" s="345"/>
      <c r="D24" s="345"/>
      <c r="E24" s="346"/>
      <c r="F24" s="214">
        <v>0</v>
      </c>
      <c r="G24" s="215" t="s">
        <v>52</v>
      </c>
      <c r="H24" s="215" t="s">
        <v>52</v>
      </c>
      <c r="I24" s="214">
        <f t="shared" si="0"/>
        <v>0</v>
      </c>
    </row>
    <row r="25" spans="1:9" x14ac:dyDescent="0.25">
      <c r="A25" s="344" t="s">
        <v>1194</v>
      </c>
      <c r="B25" s="345"/>
      <c r="C25" s="345"/>
      <c r="D25" s="345"/>
      <c r="E25" s="346"/>
      <c r="F25" s="214">
        <v>0</v>
      </c>
      <c r="G25" s="215" t="s">
        <v>52</v>
      </c>
      <c r="H25" s="215" t="s">
        <v>52</v>
      </c>
      <c r="I25" s="214">
        <f t="shared" si="0"/>
        <v>0</v>
      </c>
    </row>
    <row r="26" spans="1:9" x14ac:dyDescent="0.25">
      <c r="A26" s="347" t="s">
        <v>1195</v>
      </c>
      <c r="B26" s="348"/>
      <c r="C26" s="348"/>
      <c r="D26" s="348"/>
      <c r="E26" s="349"/>
      <c r="F26" s="216">
        <v>0</v>
      </c>
      <c r="G26" s="217" t="s">
        <v>52</v>
      </c>
      <c r="H26" s="217" t="s">
        <v>52</v>
      </c>
      <c r="I26" s="216">
        <f t="shared" si="0"/>
        <v>0</v>
      </c>
    </row>
    <row r="27" spans="1:9" x14ac:dyDescent="0.25">
      <c r="A27" s="350" t="s">
        <v>1222</v>
      </c>
      <c r="B27" s="351"/>
      <c r="C27" s="351"/>
      <c r="D27" s="351"/>
      <c r="E27" s="352"/>
      <c r="F27" s="218" t="s">
        <v>52</v>
      </c>
      <c r="G27" s="219" t="s">
        <v>52</v>
      </c>
      <c r="H27" s="219" t="s">
        <v>52</v>
      </c>
      <c r="I27" s="220">
        <f>SUM(I21:I26)</f>
        <v>0</v>
      </c>
    </row>
    <row r="29" spans="1:9" ht="15.75" x14ac:dyDescent="0.25">
      <c r="A29" s="353" t="s">
        <v>1223</v>
      </c>
      <c r="B29" s="354"/>
      <c r="C29" s="354"/>
      <c r="D29" s="354"/>
      <c r="E29" s="355"/>
      <c r="F29" s="356">
        <f>I18+I27</f>
        <v>0</v>
      </c>
      <c r="G29" s="357"/>
      <c r="H29" s="357"/>
      <c r="I29" s="358"/>
    </row>
    <row r="33" spans="1:9" ht="15.75" x14ac:dyDescent="0.25">
      <c r="A33" s="340" t="s">
        <v>1224</v>
      </c>
      <c r="B33" s="340"/>
      <c r="C33" s="340"/>
      <c r="D33" s="340"/>
      <c r="E33" s="340"/>
    </row>
    <row r="34" spans="1:9" x14ac:dyDescent="0.25">
      <c r="A34" s="341" t="s">
        <v>1225</v>
      </c>
      <c r="B34" s="342"/>
      <c r="C34" s="342"/>
      <c r="D34" s="342"/>
      <c r="E34" s="343"/>
      <c r="F34" s="213" t="s">
        <v>1219</v>
      </c>
      <c r="G34" s="213" t="s">
        <v>380</v>
      </c>
      <c r="H34" s="213" t="s">
        <v>1220</v>
      </c>
      <c r="I34" s="213" t="s">
        <v>1219</v>
      </c>
    </row>
    <row r="35" spans="1:9" x14ac:dyDescent="0.25">
      <c r="A35" s="347" t="s">
        <v>52</v>
      </c>
      <c r="B35" s="348"/>
      <c r="C35" s="348"/>
      <c r="D35" s="348"/>
      <c r="E35" s="349"/>
      <c r="F35" s="216">
        <v>0</v>
      </c>
      <c r="G35" s="217" t="s">
        <v>52</v>
      </c>
      <c r="H35" s="217" t="s">
        <v>52</v>
      </c>
      <c r="I35" s="216">
        <f>F35</f>
        <v>0</v>
      </c>
    </row>
    <row r="36" spans="1:9" x14ac:dyDescent="0.25">
      <c r="A36" s="350" t="s">
        <v>1226</v>
      </c>
      <c r="B36" s="351"/>
      <c r="C36" s="351"/>
      <c r="D36" s="351"/>
      <c r="E36" s="352"/>
      <c r="F36" s="218" t="s">
        <v>52</v>
      </c>
      <c r="G36" s="219" t="s">
        <v>52</v>
      </c>
      <c r="H36" s="219" t="s">
        <v>52</v>
      </c>
      <c r="I36" s="220">
        <f>SUM(I35:I35)</f>
        <v>0</v>
      </c>
    </row>
  </sheetData>
  <mergeCells count="51">
    <mergeCell ref="A36:E36"/>
    <mergeCell ref="A29:E29"/>
    <mergeCell ref="F29:I29"/>
    <mergeCell ref="A33:E33"/>
    <mergeCell ref="A34:E34"/>
    <mergeCell ref="A35:E35"/>
    <mergeCell ref="A23:E23"/>
    <mergeCell ref="A24:E24"/>
    <mergeCell ref="A25:E25"/>
    <mergeCell ref="A26:E26"/>
    <mergeCell ref="A27:E27"/>
    <mergeCell ref="A17:E17"/>
    <mergeCell ref="A18:E18"/>
    <mergeCell ref="A20:E20"/>
    <mergeCell ref="A21:E21"/>
    <mergeCell ref="A22:E22"/>
    <mergeCell ref="I10:I11"/>
    <mergeCell ref="A13:E13"/>
    <mergeCell ref="A14:E14"/>
    <mergeCell ref="A15:E15"/>
    <mergeCell ref="A16:E16"/>
    <mergeCell ref="H10:H11"/>
    <mergeCell ref="C2:D3"/>
    <mergeCell ref="C4:D5"/>
    <mergeCell ref="C6:D7"/>
    <mergeCell ref="C8:D9"/>
    <mergeCell ref="C10:D11"/>
    <mergeCell ref="F2:G3"/>
    <mergeCell ref="F4:G5"/>
    <mergeCell ref="F6:G7"/>
    <mergeCell ref="F8:G9"/>
    <mergeCell ref="F10:G11"/>
    <mergeCell ref="A10:B11"/>
    <mergeCell ref="E2:E3"/>
    <mergeCell ref="E4:E5"/>
    <mergeCell ref="E6:E7"/>
    <mergeCell ref="E8:E9"/>
    <mergeCell ref="E10:E11"/>
    <mergeCell ref="A1:I1"/>
    <mergeCell ref="A2:B3"/>
    <mergeCell ref="A4:B5"/>
    <mergeCell ref="A6:B7"/>
    <mergeCell ref="A8:B9"/>
    <mergeCell ref="H2:H3"/>
    <mergeCell ref="H4:H5"/>
    <mergeCell ref="H6:H7"/>
    <mergeCell ref="H8:H9"/>
    <mergeCell ref="I2:I3"/>
    <mergeCell ref="I4:I5"/>
    <mergeCell ref="I6:I7"/>
    <mergeCell ref="I8:I9"/>
  </mergeCells>
  <pageMargins left="0.393999993801117" right="0.393999993801117" top="0.59100002050399802" bottom="0.59100002050399802" header="0" footer="0"/>
  <pageSetup fitToHeight="0"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I35"/>
  <sheetViews>
    <sheetView workbookViewId="0">
      <selection activeCell="A35" sqref="A35:I35"/>
    </sheetView>
  </sheetViews>
  <sheetFormatPr defaultColWidth="12.140625" defaultRowHeight="15" customHeight="1" x14ac:dyDescent="0.25"/>
  <cols>
    <col min="1" max="1" width="9.140625" customWidth="1"/>
    <col min="2" max="2" width="12.85546875" customWidth="1"/>
    <col min="3" max="3" width="27.140625" customWidth="1"/>
    <col min="4" max="4" width="10" customWidth="1"/>
    <col min="5" max="5" width="14" customWidth="1"/>
    <col min="6" max="6" width="27.140625" customWidth="1"/>
    <col min="7" max="7" width="9.140625" customWidth="1"/>
    <col min="8" max="8" width="12.85546875" customWidth="1"/>
    <col min="9" max="9" width="27.140625" customWidth="1"/>
  </cols>
  <sheetData>
    <row r="1" spans="1:9" ht="54.75" customHeight="1" x14ac:dyDescent="0.25">
      <c r="A1" s="301" t="s">
        <v>1233</v>
      </c>
      <c r="B1" s="221"/>
      <c r="C1" s="221"/>
      <c r="D1" s="221"/>
      <c r="E1" s="221"/>
      <c r="F1" s="221"/>
      <c r="G1" s="221"/>
      <c r="H1" s="221"/>
      <c r="I1" s="221"/>
    </row>
    <row r="2" spans="1:9" x14ac:dyDescent="0.25">
      <c r="A2" s="222" t="s">
        <v>1</v>
      </c>
      <c r="B2" s="223"/>
      <c r="C2" s="231" t="str">
        <f>'Stavební rozpočet'!C2</f>
        <v>REKONSTRUKCE STŘECHY ZŠ T.G.MASARYKA V IVANČICÍCH</v>
      </c>
      <c r="D2" s="232"/>
      <c r="E2" s="229" t="s">
        <v>5</v>
      </c>
      <c r="F2" s="229" t="str">
        <f>'Stavební rozpočet'!I2</f>
        <v>Město Ivančice</v>
      </c>
      <c r="G2" s="223"/>
      <c r="H2" s="229" t="s">
        <v>1171</v>
      </c>
      <c r="I2" s="234" t="s">
        <v>1172</v>
      </c>
    </row>
    <row r="3" spans="1:9" ht="15" customHeight="1" x14ac:dyDescent="0.25">
      <c r="A3" s="224"/>
      <c r="B3" s="225"/>
      <c r="C3" s="233"/>
      <c r="D3" s="233"/>
      <c r="E3" s="225"/>
      <c r="F3" s="225"/>
      <c r="G3" s="225"/>
      <c r="H3" s="225"/>
      <c r="I3" s="235"/>
    </row>
    <row r="4" spans="1:9" x14ac:dyDescent="0.25">
      <c r="A4" s="226" t="s">
        <v>7</v>
      </c>
      <c r="B4" s="225"/>
      <c r="C4" s="230" t="str">
        <f>'Stavební rozpočet'!C4</f>
        <v>oprava střešní konstrukce</v>
      </c>
      <c r="D4" s="225"/>
      <c r="E4" s="230" t="s">
        <v>11</v>
      </c>
      <c r="F4" s="230" t="str">
        <f>'Stavební rozpočet'!I4</f>
        <v>Tomáš Sýkora</v>
      </c>
      <c r="G4" s="225"/>
      <c r="H4" s="230" t="s">
        <v>1171</v>
      </c>
      <c r="I4" s="235" t="s">
        <v>1173</v>
      </c>
    </row>
    <row r="5" spans="1:9" ht="15" customHeight="1" x14ac:dyDescent="0.25">
      <c r="A5" s="224"/>
      <c r="B5" s="225"/>
      <c r="C5" s="225"/>
      <c r="D5" s="225"/>
      <c r="E5" s="225"/>
      <c r="F5" s="225"/>
      <c r="G5" s="225"/>
      <c r="H5" s="225"/>
      <c r="I5" s="235"/>
    </row>
    <row r="6" spans="1:9" x14ac:dyDescent="0.25">
      <c r="A6" s="226" t="s">
        <v>13</v>
      </c>
      <c r="B6" s="225"/>
      <c r="C6" s="230" t="str">
        <f>'Stavební rozpočet'!C6</f>
        <v>ZŠ TGM Ivančice, Na Brněnce 1, 664 91 Ivančice</v>
      </c>
      <c r="D6" s="225"/>
      <c r="E6" s="230" t="s">
        <v>16</v>
      </c>
      <c r="F6" s="230" t="str">
        <f>'Stavební rozpočet'!I6</f>
        <v> </v>
      </c>
      <c r="G6" s="225"/>
      <c r="H6" s="230" t="s">
        <v>1171</v>
      </c>
      <c r="I6" s="235" t="s">
        <v>52</v>
      </c>
    </row>
    <row r="7" spans="1:9" ht="15" customHeight="1" x14ac:dyDescent="0.25">
      <c r="A7" s="224"/>
      <c r="B7" s="225"/>
      <c r="C7" s="225"/>
      <c r="D7" s="225"/>
      <c r="E7" s="225"/>
      <c r="F7" s="225"/>
      <c r="G7" s="225"/>
      <c r="H7" s="225"/>
      <c r="I7" s="235"/>
    </row>
    <row r="8" spans="1:9" x14ac:dyDescent="0.25">
      <c r="A8" s="226" t="s">
        <v>9</v>
      </c>
      <c r="B8" s="225"/>
      <c r="C8" s="230" t="str">
        <f>'Stavební rozpočet'!G4</f>
        <v>13.01.2025</v>
      </c>
      <c r="D8" s="225"/>
      <c r="E8" s="230" t="s">
        <v>15</v>
      </c>
      <c r="F8" s="230" t="str">
        <f>'Stavební rozpočet'!G6</f>
        <v>13.01.2025</v>
      </c>
      <c r="G8" s="225"/>
      <c r="H8" s="225" t="s">
        <v>1174</v>
      </c>
      <c r="I8" s="304">
        <v>20</v>
      </c>
    </row>
    <row r="9" spans="1:9" x14ac:dyDescent="0.25">
      <c r="A9" s="224"/>
      <c r="B9" s="225"/>
      <c r="C9" s="225"/>
      <c r="D9" s="225"/>
      <c r="E9" s="225"/>
      <c r="F9" s="225"/>
      <c r="G9" s="225"/>
      <c r="H9" s="225"/>
      <c r="I9" s="235"/>
    </row>
    <row r="10" spans="1:9" x14ac:dyDescent="0.25">
      <c r="A10" s="226" t="s">
        <v>18</v>
      </c>
      <c r="B10" s="225"/>
      <c r="C10" s="230" t="str">
        <f>'Stavební rozpočet'!C8</f>
        <v>8013212</v>
      </c>
      <c r="D10" s="225"/>
      <c r="E10" s="230" t="s">
        <v>21</v>
      </c>
      <c r="F10" s="230" t="str">
        <f>'Stavební rozpočet'!I8</f>
        <v>Tomáš Sýkora</v>
      </c>
      <c r="G10" s="225"/>
      <c r="H10" s="225" t="s">
        <v>1175</v>
      </c>
      <c r="I10" s="305" t="str">
        <f>'Stavební rozpočet'!G8</f>
        <v>13.01.2025</v>
      </c>
    </row>
    <row r="11" spans="1:9" x14ac:dyDescent="0.25">
      <c r="A11" s="302"/>
      <c r="B11" s="303"/>
      <c r="C11" s="303"/>
      <c r="D11" s="303"/>
      <c r="E11" s="303"/>
      <c r="F11" s="303"/>
      <c r="G11" s="303"/>
      <c r="H11" s="303"/>
      <c r="I11" s="306"/>
    </row>
    <row r="12" spans="1:9" ht="23.25" x14ac:dyDescent="0.25">
      <c r="A12" s="307" t="s">
        <v>1176</v>
      </c>
      <c r="B12" s="307"/>
      <c r="C12" s="307"/>
      <c r="D12" s="307"/>
      <c r="E12" s="307"/>
      <c r="F12" s="307"/>
      <c r="G12" s="307"/>
      <c r="H12" s="307"/>
      <c r="I12" s="307"/>
    </row>
    <row r="13" spans="1:9" ht="26.25" customHeight="1" x14ac:dyDescent="0.25">
      <c r="A13" s="200" t="s">
        <v>1177</v>
      </c>
      <c r="B13" s="308" t="s">
        <v>1178</v>
      </c>
      <c r="C13" s="309"/>
      <c r="D13" s="201" t="s">
        <v>1179</v>
      </c>
      <c r="E13" s="308" t="s">
        <v>1180</v>
      </c>
      <c r="F13" s="309"/>
      <c r="G13" s="201" t="s">
        <v>1181</v>
      </c>
      <c r="H13" s="308" t="s">
        <v>1182</v>
      </c>
      <c r="I13" s="309"/>
    </row>
    <row r="14" spans="1:9" ht="15.75" x14ac:dyDescent="0.25">
      <c r="A14" s="202" t="s">
        <v>1183</v>
      </c>
      <c r="B14" s="203" t="s">
        <v>1184</v>
      </c>
      <c r="C14" s="204">
        <f>SUMIF('Stavební rozpočet'!AI12:AI752,"03",'Stavební rozpočet'!AB12:AB752)</f>
        <v>0</v>
      </c>
      <c r="D14" s="316" t="s">
        <v>1185</v>
      </c>
      <c r="E14" s="317"/>
      <c r="F14" s="204">
        <f>'VORN objektu (03)'!I15</f>
        <v>0</v>
      </c>
      <c r="G14" s="316" t="s">
        <v>1186</v>
      </c>
      <c r="H14" s="317"/>
      <c r="I14" s="205">
        <f>'VORN objektu (03)'!I21</f>
        <v>0</v>
      </c>
    </row>
    <row r="15" spans="1:9" ht="15.75" x14ac:dyDescent="0.25">
      <c r="A15" s="206" t="s">
        <v>52</v>
      </c>
      <c r="B15" s="203" t="s">
        <v>37</v>
      </c>
      <c r="C15" s="204">
        <f>SUMIF('Stavební rozpočet'!AI12:AI752,"03",'Stavební rozpočet'!AC12:AC752)</f>
        <v>0</v>
      </c>
      <c r="D15" s="316" t="s">
        <v>1187</v>
      </c>
      <c r="E15" s="317"/>
      <c r="F15" s="204">
        <f>'VORN objektu (03)'!I16</f>
        <v>0</v>
      </c>
      <c r="G15" s="316" t="s">
        <v>1188</v>
      </c>
      <c r="H15" s="317"/>
      <c r="I15" s="205">
        <f>'VORN objektu (03)'!I22</f>
        <v>0</v>
      </c>
    </row>
    <row r="16" spans="1:9" ht="15.75" x14ac:dyDescent="0.25">
      <c r="A16" s="202" t="s">
        <v>1189</v>
      </c>
      <c r="B16" s="203" t="s">
        <v>1184</v>
      </c>
      <c r="C16" s="204">
        <f>SUMIF('Stavební rozpočet'!AI12:AI752,"03",'Stavební rozpočet'!AD12:AD752)</f>
        <v>0</v>
      </c>
      <c r="D16" s="316" t="s">
        <v>1190</v>
      </c>
      <c r="E16" s="317"/>
      <c r="F16" s="204">
        <f>'VORN objektu (03)'!I17</f>
        <v>0</v>
      </c>
      <c r="G16" s="316" t="s">
        <v>1191</v>
      </c>
      <c r="H16" s="317"/>
      <c r="I16" s="205">
        <f>'VORN objektu (03)'!I23</f>
        <v>0</v>
      </c>
    </row>
    <row r="17" spans="1:9" ht="15.75" x14ac:dyDescent="0.25">
      <c r="A17" s="206" t="s">
        <v>52</v>
      </c>
      <c r="B17" s="203" t="s">
        <v>37</v>
      </c>
      <c r="C17" s="204">
        <f>SUMIF('Stavební rozpočet'!AI12:AI752,"03",'Stavební rozpočet'!AE12:AE752)</f>
        <v>0</v>
      </c>
      <c r="D17" s="316" t="s">
        <v>52</v>
      </c>
      <c r="E17" s="317"/>
      <c r="F17" s="205" t="s">
        <v>52</v>
      </c>
      <c r="G17" s="316" t="s">
        <v>1192</v>
      </c>
      <c r="H17" s="317"/>
      <c r="I17" s="205">
        <f>'VORN objektu (03)'!I24</f>
        <v>0</v>
      </c>
    </row>
    <row r="18" spans="1:9" ht="15.75" x14ac:dyDescent="0.25">
      <c r="A18" s="202" t="s">
        <v>1193</v>
      </c>
      <c r="B18" s="203" t="s">
        <v>1184</v>
      </c>
      <c r="C18" s="204">
        <f>SUMIF('Stavební rozpočet'!AI12:AI752,"03",'Stavební rozpočet'!AF12:AF752)</f>
        <v>0</v>
      </c>
      <c r="D18" s="316" t="s">
        <v>52</v>
      </c>
      <c r="E18" s="317"/>
      <c r="F18" s="205" t="s">
        <v>52</v>
      </c>
      <c r="G18" s="316" t="s">
        <v>1194</v>
      </c>
      <c r="H18" s="317"/>
      <c r="I18" s="205">
        <f>'VORN objektu (03)'!I25</f>
        <v>0</v>
      </c>
    </row>
    <row r="19" spans="1:9" ht="15.75" x14ac:dyDescent="0.25">
      <c r="A19" s="206" t="s">
        <v>52</v>
      </c>
      <c r="B19" s="203" t="s">
        <v>37</v>
      </c>
      <c r="C19" s="204">
        <f>SUMIF('Stavební rozpočet'!AI12:AI752,"03",'Stavební rozpočet'!AG12:AG752)</f>
        <v>0</v>
      </c>
      <c r="D19" s="316" t="s">
        <v>52</v>
      </c>
      <c r="E19" s="317"/>
      <c r="F19" s="205" t="s">
        <v>52</v>
      </c>
      <c r="G19" s="316" t="s">
        <v>1195</v>
      </c>
      <c r="H19" s="317"/>
      <c r="I19" s="205">
        <f>'VORN objektu (03)'!I26</f>
        <v>0</v>
      </c>
    </row>
    <row r="20" spans="1:9" ht="15.75" x14ac:dyDescent="0.25">
      <c r="A20" s="310" t="s">
        <v>1196</v>
      </c>
      <c r="B20" s="311"/>
      <c r="C20" s="204">
        <f>SUMIF('Stavební rozpočet'!AI12:AI752,"03",'Stavební rozpočet'!AH12:AH752)</f>
        <v>0</v>
      </c>
      <c r="D20" s="316" t="s">
        <v>52</v>
      </c>
      <c r="E20" s="317"/>
      <c r="F20" s="205" t="s">
        <v>52</v>
      </c>
      <c r="G20" s="316" t="s">
        <v>52</v>
      </c>
      <c r="H20" s="317"/>
      <c r="I20" s="205" t="s">
        <v>52</v>
      </c>
    </row>
    <row r="21" spans="1:9" ht="15.75" x14ac:dyDescent="0.25">
      <c r="A21" s="312" t="s">
        <v>1197</v>
      </c>
      <c r="B21" s="313"/>
      <c r="C21" s="204">
        <f>SUMIF('Stavební rozpočet'!AI12:AI752,"03",'Stavební rozpočet'!Z12:Z752)</f>
        <v>0</v>
      </c>
      <c r="D21" s="318" t="s">
        <v>52</v>
      </c>
      <c r="E21" s="319"/>
      <c r="F21" s="208" t="s">
        <v>52</v>
      </c>
      <c r="G21" s="318" t="s">
        <v>52</v>
      </c>
      <c r="H21" s="319"/>
      <c r="I21" s="208" t="s">
        <v>52</v>
      </c>
    </row>
    <row r="22" spans="1:9" ht="16.5" customHeight="1" x14ac:dyDescent="0.25">
      <c r="A22" s="314" t="s">
        <v>1198</v>
      </c>
      <c r="B22" s="315"/>
      <c r="C22" s="204">
        <f>ROUND(SUM(C14:C21),2)</f>
        <v>0</v>
      </c>
      <c r="D22" s="320" t="s">
        <v>1199</v>
      </c>
      <c r="E22" s="315"/>
      <c r="F22" s="209">
        <f>SUM(F14:F21)</f>
        <v>0</v>
      </c>
      <c r="G22" s="320" t="s">
        <v>1200</v>
      </c>
      <c r="H22" s="315"/>
      <c r="I22" s="209">
        <f>SUM(I14:I21)</f>
        <v>0</v>
      </c>
    </row>
    <row r="23" spans="1:9" ht="15.75" x14ac:dyDescent="0.25">
      <c r="G23" s="310" t="s">
        <v>1203</v>
      </c>
      <c r="H23" s="311"/>
      <c r="I23" s="204">
        <f>'VORN objektu (03)'!I36</f>
        <v>0</v>
      </c>
    </row>
    <row r="25" spans="1:9" ht="15.75" x14ac:dyDescent="0.25">
      <c r="A25" s="322" t="s">
        <v>1205</v>
      </c>
      <c r="B25" s="323"/>
      <c r="C25" s="210">
        <f>ROUND(('Stavební rozpočet'!AS450+'Stavební rozpočet'!AS458+'Stavební rozpočet'!AS477+'Stavební rozpočet'!AS510),2)</f>
        <v>0</v>
      </c>
    </row>
    <row r="26" spans="1:9" ht="15.75" x14ac:dyDescent="0.25">
      <c r="A26" s="324" t="s">
        <v>1206</v>
      </c>
      <c r="B26" s="325"/>
      <c r="C26" s="211">
        <f>ROUND(('Stavební rozpočet'!AT450+'Stavební rozpočet'!AT458+'Stavební rozpočet'!AT477+'Stavební rozpočet'!AT510),2)</f>
        <v>0</v>
      </c>
      <c r="D26" s="326" t="s">
        <v>1207</v>
      </c>
      <c r="E26" s="323"/>
      <c r="F26" s="210">
        <f>ROUND(C26*(12/100),2)</f>
        <v>0</v>
      </c>
      <c r="G26" s="326" t="s">
        <v>1208</v>
      </c>
      <c r="H26" s="323"/>
      <c r="I26" s="210">
        <f>ROUND(SUM(C25:C27),2)</f>
        <v>0</v>
      </c>
    </row>
    <row r="27" spans="1:9" ht="15.75" x14ac:dyDescent="0.25">
      <c r="A27" s="324" t="s">
        <v>1209</v>
      </c>
      <c r="B27" s="325"/>
      <c r="C27" s="211">
        <f>ROUND(('Stavební rozpočet'!AU450+'Stavební rozpočet'!AU458+'Stavební rozpočet'!AU477+'Stavební rozpočet'!AU510)+(F22+I22+F23+I23+I24),2)</f>
        <v>0</v>
      </c>
      <c r="D27" s="327" t="s">
        <v>1210</v>
      </c>
      <c r="E27" s="325"/>
      <c r="F27" s="211">
        <f>ROUND(C27*(21/100),2)</f>
        <v>0</v>
      </c>
      <c r="G27" s="327" t="s">
        <v>1211</v>
      </c>
      <c r="H27" s="325"/>
      <c r="I27" s="211">
        <f>ROUND(SUM(F26:F27)+I26,2)</f>
        <v>0</v>
      </c>
    </row>
    <row r="29" spans="1:9" x14ac:dyDescent="0.25">
      <c r="A29" s="328" t="s">
        <v>1212</v>
      </c>
      <c r="B29" s="329"/>
      <c r="C29" s="330"/>
      <c r="D29" s="337" t="s">
        <v>1213</v>
      </c>
      <c r="E29" s="329"/>
      <c r="F29" s="330"/>
      <c r="G29" s="337" t="s">
        <v>1214</v>
      </c>
      <c r="H29" s="329"/>
      <c r="I29" s="330"/>
    </row>
    <row r="30" spans="1:9" x14ac:dyDescent="0.25">
      <c r="A30" s="331" t="s">
        <v>52</v>
      </c>
      <c r="B30" s="332"/>
      <c r="C30" s="333"/>
      <c r="D30" s="338" t="s">
        <v>52</v>
      </c>
      <c r="E30" s="332"/>
      <c r="F30" s="333"/>
      <c r="G30" s="338" t="s">
        <v>52</v>
      </c>
      <c r="H30" s="332"/>
      <c r="I30" s="333"/>
    </row>
    <row r="31" spans="1:9" x14ac:dyDescent="0.25">
      <c r="A31" s="331" t="s">
        <v>52</v>
      </c>
      <c r="B31" s="332"/>
      <c r="C31" s="333"/>
      <c r="D31" s="338" t="s">
        <v>52</v>
      </c>
      <c r="E31" s="332"/>
      <c r="F31" s="333"/>
      <c r="G31" s="338" t="s">
        <v>52</v>
      </c>
      <c r="H31" s="332"/>
      <c r="I31" s="333"/>
    </row>
    <row r="32" spans="1:9" x14ac:dyDescent="0.25">
      <c r="A32" s="331" t="s">
        <v>52</v>
      </c>
      <c r="B32" s="332"/>
      <c r="C32" s="333"/>
      <c r="D32" s="338" t="s">
        <v>52</v>
      </c>
      <c r="E32" s="332"/>
      <c r="F32" s="333"/>
      <c r="G32" s="338" t="s">
        <v>52</v>
      </c>
      <c r="H32" s="332"/>
      <c r="I32" s="333"/>
    </row>
    <row r="33" spans="1:9" x14ac:dyDescent="0.25">
      <c r="A33" s="334" t="s">
        <v>1215</v>
      </c>
      <c r="B33" s="335"/>
      <c r="C33" s="336"/>
      <c r="D33" s="339" t="s">
        <v>1215</v>
      </c>
      <c r="E33" s="335"/>
      <c r="F33" s="336"/>
      <c r="G33" s="339" t="s">
        <v>1215</v>
      </c>
      <c r="H33" s="335"/>
      <c r="I33" s="336"/>
    </row>
    <row r="34" spans="1:9" x14ac:dyDescent="0.25">
      <c r="A34" s="212" t="s">
        <v>148</v>
      </c>
    </row>
    <row r="35" spans="1:9" ht="12.75" customHeight="1" x14ac:dyDescent="0.25">
      <c r="A35" s="230" t="s">
        <v>52</v>
      </c>
      <c r="B35" s="225"/>
      <c r="C35" s="225"/>
      <c r="D35" s="225"/>
      <c r="E35" s="225"/>
      <c r="F35" s="225"/>
      <c r="G35" s="225"/>
      <c r="H35" s="225"/>
      <c r="I35" s="225"/>
    </row>
  </sheetData>
  <mergeCells count="80">
    <mergeCell ref="G32:I32"/>
    <mergeCell ref="G33:I33"/>
    <mergeCell ref="A35:I35"/>
    <mergeCell ref="A32:C32"/>
    <mergeCell ref="A33:C33"/>
    <mergeCell ref="D29:F29"/>
    <mergeCell ref="D30:F30"/>
    <mergeCell ref="D31:F31"/>
    <mergeCell ref="D32:F32"/>
    <mergeCell ref="D33:F33"/>
    <mergeCell ref="G26:H26"/>
    <mergeCell ref="G27:H27"/>
    <mergeCell ref="A29:C29"/>
    <mergeCell ref="A30:C30"/>
    <mergeCell ref="A31:C31"/>
    <mergeCell ref="G29:I29"/>
    <mergeCell ref="G30:I30"/>
    <mergeCell ref="G31:I31"/>
    <mergeCell ref="A25:B25"/>
    <mergeCell ref="A26:B26"/>
    <mergeCell ref="A27:B27"/>
    <mergeCell ref="D26:E26"/>
    <mergeCell ref="D27:E27"/>
    <mergeCell ref="G19:H19"/>
    <mergeCell ref="G20:H20"/>
    <mergeCell ref="G21:H21"/>
    <mergeCell ref="G22:H22"/>
    <mergeCell ref="G23:H23"/>
    <mergeCell ref="G14:H14"/>
    <mergeCell ref="G15:H15"/>
    <mergeCell ref="G16:H16"/>
    <mergeCell ref="G17:H17"/>
    <mergeCell ref="G18:H18"/>
    <mergeCell ref="A20:B20"/>
    <mergeCell ref="A21:B21"/>
    <mergeCell ref="A22:B22"/>
    <mergeCell ref="D14:E14"/>
    <mergeCell ref="D15:E15"/>
    <mergeCell ref="D16:E16"/>
    <mergeCell ref="D17:E17"/>
    <mergeCell ref="D18:E18"/>
    <mergeCell ref="D19:E19"/>
    <mergeCell ref="D20:E20"/>
    <mergeCell ref="D21:E21"/>
    <mergeCell ref="D22:E22"/>
    <mergeCell ref="I10:I11"/>
    <mergeCell ref="A12:I12"/>
    <mergeCell ref="B13:C13"/>
    <mergeCell ref="E13:F13"/>
    <mergeCell ref="H13:I13"/>
    <mergeCell ref="F10:G11"/>
    <mergeCell ref="H2:H3"/>
    <mergeCell ref="H4:H5"/>
    <mergeCell ref="H6:H7"/>
    <mergeCell ref="H8:H9"/>
    <mergeCell ref="H10:H11"/>
    <mergeCell ref="A10:B11"/>
    <mergeCell ref="E2:E3"/>
    <mergeCell ref="E4:E5"/>
    <mergeCell ref="E6:E7"/>
    <mergeCell ref="E8:E9"/>
    <mergeCell ref="E10:E11"/>
    <mergeCell ref="C2:D3"/>
    <mergeCell ref="C4:D5"/>
    <mergeCell ref="C6:D7"/>
    <mergeCell ref="C8:D9"/>
    <mergeCell ref="C10:D11"/>
    <mergeCell ref="A1:I1"/>
    <mergeCell ref="A2:B3"/>
    <mergeCell ref="A4:B5"/>
    <mergeCell ref="A6:B7"/>
    <mergeCell ref="A8:B9"/>
    <mergeCell ref="F2:G3"/>
    <mergeCell ref="F4:G5"/>
    <mergeCell ref="F6:G7"/>
    <mergeCell ref="F8:G9"/>
    <mergeCell ref="I2:I3"/>
    <mergeCell ref="I4:I5"/>
    <mergeCell ref="I6:I7"/>
    <mergeCell ref="I8:I9"/>
  </mergeCells>
  <pageMargins left="0.393999993801117" right="0.393999993801117" top="0.59100002050399802" bottom="0.59100002050399802" header="0" footer="0"/>
  <pageSetup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17</vt:i4>
      </vt:variant>
      <vt:variant>
        <vt:lpstr>Pojmenované oblasti</vt:lpstr>
      </vt:variant>
      <vt:variant>
        <vt:i4>1</vt:i4>
      </vt:variant>
    </vt:vector>
  </HeadingPairs>
  <TitlesOfParts>
    <vt:vector size="18" baseType="lpstr">
      <vt:lpstr>Krycí list rozpočtu</vt:lpstr>
      <vt:lpstr>VORN</vt:lpstr>
      <vt:lpstr>Krycí list rozpočtu (00)</vt:lpstr>
      <vt:lpstr>VORN objektu (00)</vt:lpstr>
      <vt:lpstr>Krycí list rozpočtu (01)</vt:lpstr>
      <vt:lpstr>VORN objektu (01)</vt:lpstr>
      <vt:lpstr>Krycí list rozpočtu (02)</vt:lpstr>
      <vt:lpstr>VORN objektu (02)</vt:lpstr>
      <vt:lpstr>Krycí list rozpočtu (03)</vt:lpstr>
      <vt:lpstr>VORN objektu (03)</vt:lpstr>
      <vt:lpstr>Krycí list rozpočtu (04)</vt:lpstr>
      <vt:lpstr>VORN objektu (04)</vt:lpstr>
      <vt:lpstr>Krycí list rozpočtu (05)</vt:lpstr>
      <vt:lpstr>VORN objektu (05)</vt:lpstr>
      <vt:lpstr>Krycí list rozpočtu (06)</vt:lpstr>
      <vt:lpstr>Stavební rozpočet</vt:lpstr>
      <vt:lpstr>VORN objektu (06)</vt:lpstr>
      <vt:lpstr>vorn_sum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Tomáš Sýkora</cp:lastModifiedBy>
  <dcterms:created xsi:type="dcterms:W3CDTF">2021-06-10T20:06:38Z</dcterms:created>
  <dcterms:modified xsi:type="dcterms:W3CDTF">2025-04-10T05:36:43Z</dcterms:modified>
</cp:coreProperties>
</file>