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https://sykoraprojekty-my.sharepoint.com/personal/info_sykoraprojekty_onmicrosoft_com/Documents/01_Projekce/01_Zakázky/2024/24008_IVA_TGM_Stř/02_PD/07_Rozpočet/"/>
    </mc:Choice>
  </mc:AlternateContent>
  <xr:revisionPtr revIDLastSave="6" documentId="11_23BDA136BC220B21C63E9D171A8CDFEF61AF9B37" xr6:coauthVersionLast="47" xr6:coauthVersionMax="47" xr10:uidLastSave="{373C3308-361C-420D-952F-2CC7FB5E5F4C}"/>
  <bookViews>
    <workbookView xWindow="-38520" yWindow="-120" windowWidth="38640" windowHeight="21120" xr2:uid="{00000000-000D-0000-FFFF-FFFF00000000}"/>
  </bookViews>
  <sheets>
    <sheet name="Krycí list rozpočtu" sheetId="2" r:id="rId1"/>
    <sheet name="VORN" sheetId="3" state="hidden" r:id="rId2"/>
    <sheet name="Krycí list rozpočtu (00)" sheetId="4" r:id="rId3"/>
    <sheet name="VORN objektu (00)" sheetId="5" state="hidden" r:id="rId4"/>
    <sheet name="Krycí list rozpočtu (01)" sheetId="6" r:id="rId5"/>
    <sheet name="VORN objektu (01)" sheetId="7" state="hidden" r:id="rId6"/>
    <sheet name="Krycí list rozpočtu (02)" sheetId="8" r:id="rId7"/>
    <sheet name="VORN objektu (02)" sheetId="9" state="hidden" r:id="rId8"/>
    <sheet name="Krycí list rozpočtu (03)" sheetId="10" r:id="rId9"/>
    <sheet name="VORN objektu (03)" sheetId="11" state="hidden" r:id="rId10"/>
    <sheet name="Krycí list rozpočtu (04)" sheetId="12" r:id="rId11"/>
    <sheet name="VORN objektu (04)" sheetId="13" state="hidden" r:id="rId12"/>
    <sheet name="Krycí list rozpočtu (05)" sheetId="14" r:id="rId13"/>
    <sheet name="VORN objektu (05)" sheetId="15" state="hidden" r:id="rId14"/>
    <sheet name="Krycí list rozpočtu (06)" sheetId="16" r:id="rId15"/>
    <sheet name="Stavební rozpočet" sheetId="1" r:id="rId16"/>
    <sheet name="VORN objektu (06)" sheetId="17" state="hidden" r:id="rId17"/>
  </sheets>
  <definedNames>
    <definedName name="vorn_sum">VORN!$I$36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5" i="17" l="1"/>
  <c r="I36" i="17" s="1"/>
  <c r="I26" i="17"/>
  <c r="I25" i="17"/>
  <c r="I24" i="17"/>
  <c r="I23" i="17"/>
  <c r="I16" i="16" s="1"/>
  <c r="I22" i="17"/>
  <c r="I21" i="17"/>
  <c r="I17" i="17"/>
  <c r="I16" i="17"/>
  <c r="I15" i="17"/>
  <c r="I10" i="17"/>
  <c r="F10" i="17"/>
  <c r="C10" i="17"/>
  <c r="F8" i="17"/>
  <c r="C8" i="17"/>
  <c r="F6" i="17"/>
  <c r="C6" i="17"/>
  <c r="F4" i="17"/>
  <c r="C4" i="17"/>
  <c r="F2" i="17"/>
  <c r="C2" i="17"/>
  <c r="I23" i="16"/>
  <c r="I19" i="16"/>
  <c r="I18" i="16"/>
  <c r="I17" i="16"/>
  <c r="F16" i="16"/>
  <c r="I15" i="16"/>
  <c r="F15" i="16"/>
  <c r="I14" i="16"/>
  <c r="I10" i="16"/>
  <c r="F10" i="16"/>
  <c r="C10" i="16"/>
  <c r="F8" i="16"/>
  <c r="C8" i="16"/>
  <c r="F6" i="16"/>
  <c r="C6" i="16"/>
  <c r="F4" i="16"/>
  <c r="C4" i="16"/>
  <c r="F2" i="16"/>
  <c r="C2" i="16"/>
  <c r="I35" i="15"/>
  <c r="I36" i="15" s="1"/>
  <c r="I23" i="14" s="1"/>
  <c r="I26" i="15"/>
  <c r="I19" i="14" s="1"/>
  <c r="I25" i="15"/>
  <c r="I24" i="15"/>
  <c r="I23" i="15"/>
  <c r="I16" i="14" s="1"/>
  <c r="I22" i="14" s="1"/>
  <c r="I22" i="15"/>
  <c r="I21" i="15"/>
  <c r="I14" i="14" s="1"/>
  <c r="I18" i="15"/>
  <c r="I17" i="15"/>
  <c r="I16" i="15"/>
  <c r="I15" i="15"/>
  <c r="I10" i="15"/>
  <c r="F10" i="15"/>
  <c r="C10" i="15"/>
  <c r="F8" i="15"/>
  <c r="C8" i="15"/>
  <c r="F6" i="15"/>
  <c r="C6" i="15"/>
  <c r="F4" i="15"/>
  <c r="C4" i="15"/>
  <c r="F2" i="15"/>
  <c r="C2" i="15"/>
  <c r="I18" i="14"/>
  <c r="I17" i="14"/>
  <c r="F16" i="14"/>
  <c r="I15" i="14"/>
  <c r="F15" i="14"/>
  <c r="F14" i="14"/>
  <c r="F22" i="14" s="1"/>
  <c r="I10" i="14"/>
  <c r="F10" i="14"/>
  <c r="C10" i="14"/>
  <c r="F8" i="14"/>
  <c r="C8" i="14"/>
  <c r="F6" i="14"/>
  <c r="C6" i="14"/>
  <c r="F4" i="14"/>
  <c r="C4" i="14"/>
  <c r="F2" i="14"/>
  <c r="C2" i="14"/>
  <c r="I36" i="13"/>
  <c r="I23" i="12" s="1"/>
  <c r="I35" i="13"/>
  <c r="I26" i="13"/>
  <c r="I25" i="13"/>
  <c r="I18" i="12" s="1"/>
  <c r="I24" i="13"/>
  <c r="I17" i="12" s="1"/>
  <c r="I23" i="13"/>
  <c r="I22" i="13"/>
  <c r="I15" i="12" s="1"/>
  <c r="I21" i="13"/>
  <c r="I14" i="12" s="1"/>
  <c r="I17" i="13"/>
  <c r="I16" i="13"/>
  <c r="I15" i="13"/>
  <c r="I18" i="13" s="1"/>
  <c r="I10" i="13"/>
  <c r="F10" i="13"/>
  <c r="C10" i="13"/>
  <c r="F8" i="13"/>
  <c r="C8" i="13"/>
  <c r="F6" i="13"/>
  <c r="C6" i="13"/>
  <c r="F4" i="13"/>
  <c r="C4" i="13"/>
  <c r="F2" i="13"/>
  <c r="C2" i="13"/>
  <c r="I19" i="12"/>
  <c r="I16" i="12"/>
  <c r="F16" i="12"/>
  <c r="F15" i="12"/>
  <c r="F14" i="12"/>
  <c r="I10" i="12"/>
  <c r="F10" i="12"/>
  <c r="C10" i="12"/>
  <c r="F8" i="12"/>
  <c r="C8" i="12"/>
  <c r="F6" i="12"/>
  <c r="C6" i="12"/>
  <c r="F4" i="12"/>
  <c r="C4" i="12"/>
  <c r="F2" i="12"/>
  <c r="C2" i="12"/>
  <c r="I35" i="11"/>
  <c r="I36" i="11" s="1"/>
  <c r="I26" i="11"/>
  <c r="I19" i="10" s="1"/>
  <c r="I25" i="11"/>
  <c r="I18" i="10" s="1"/>
  <c r="I24" i="11"/>
  <c r="I23" i="11"/>
  <c r="I16" i="10" s="1"/>
  <c r="I22" i="11"/>
  <c r="I21" i="11"/>
  <c r="I17" i="11"/>
  <c r="I16" i="11"/>
  <c r="I15" i="11"/>
  <c r="I10" i="11"/>
  <c r="F10" i="11"/>
  <c r="C10" i="11"/>
  <c r="F8" i="11"/>
  <c r="C8" i="11"/>
  <c r="F6" i="11"/>
  <c r="C6" i="11"/>
  <c r="F4" i="11"/>
  <c r="C4" i="11"/>
  <c r="F2" i="11"/>
  <c r="C2" i="11"/>
  <c r="I23" i="10"/>
  <c r="I17" i="10"/>
  <c r="I15" i="10"/>
  <c r="F15" i="10"/>
  <c r="F14" i="10"/>
  <c r="I10" i="10"/>
  <c r="F10" i="10"/>
  <c r="C10" i="10"/>
  <c r="F8" i="10"/>
  <c r="C8" i="10"/>
  <c r="F6" i="10"/>
  <c r="C6" i="10"/>
  <c r="F4" i="10"/>
  <c r="C4" i="10"/>
  <c r="F2" i="10"/>
  <c r="C2" i="10"/>
  <c r="I36" i="9"/>
  <c r="I23" i="8" s="1"/>
  <c r="I35" i="9"/>
  <c r="I26" i="9"/>
  <c r="I19" i="8" s="1"/>
  <c r="I25" i="9"/>
  <c r="I24" i="9"/>
  <c r="I23" i="9"/>
  <c r="I16" i="8" s="1"/>
  <c r="I22" i="9"/>
  <c r="I21" i="9"/>
  <c r="I14" i="8" s="1"/>
  <c r="I22" i="8" s="1"/>
  <c r="I18" i="9"/>
  <c r="I17" i="9"/>
  <c r="I16" i="9"/>
  <c r="I15" i="9"/>
  <c r="I10" i="9"/>
  <c r="F10" i="9"/>
  <c r="C10" i="9"/>
  <c r="F8" i="9"/>
  <c r="C8" i="9"/>
  <c r="F6" i="9"/>
  <c r="C6" i="9"/>
  <c r="F4" i="9"/>
  <c r="C4" i="9"/>
  <c r="F2" i="9"/>
  <c r="C2" i="9"/>
  <c r="I18" i="8"/>
  <c r="I17" i="8"/>
  <c r="F16" i="8"/>
  <c r="I15" i="8"/>
  <c r="F15" i="8"/>
  <c r="F14" i="8"/>
  <c r="F22" i="8" s="1"/>
  <c r="I10" i="8"/>
  <c r="F10" i="8"/>
  <c r="C10" i="8"/>
  <c r="F8" i="8"/>
  <c r="C8" i="8"/>
  <c r="F6" i="8"/>
  <c r="C6" i="8"/>
  <c r="F4" i="8"/>
  <c r="C4" i="8"/>
  <c r="F2" i="8"/>
  <c r="C2" i="8"/>
  <c r="I35" i="7"/>
  <c r="I36" i="7" s="1"/>
  <c r="I23" i="6" s="1"/>
  <c r="I26" i="7"/>
  <c r="I25" i="7"/>
  <c r="I18" i="6" s="1"/>
  <c r="I24" i="7"/>
  <c r="I23" i="7"/>
  <c r="I22" i="7"/>
  <c r="I15" i="6" s="1"/>
  <c r="I21" i="7"/>
  <c r="I27" i="7" s="1"/>
  <c r="I17" i="7"/>
  <c r="F16" i="6" s="1"/>
  <c r="I16" i="7"/>
  <c r="F15" i="6" s="1"/>
  <c r="I15" i="7"/>
  <c r="I10" i="7"/>
  <c r="F10" i="7"/>
  <c r="C10" i="7"/>
  <c r="F8" i="7"/>
  <c r="C8" i="7"/>
  <c r="F6" i="7"/>
  <c r="C6" i="7"/>
  <c r="F4" i="7"/>
  <c r="C4" i="7"/>
  <c r="F2" i="7"/>
  <c r="C2" i="7"/>
  <c r="I19" i="6"/>
  <c r="I17" i="6"/>
  <c r="I16" i="6"/>
  <c r="I14" i="6"/>
  <c r="F14" i="6"/>
  <c r="I10" i="6"/>
  <c r="F10" i="6"/>
  <c r="C10" i="6"/>
  <c r="F8" i="6"/>
  <c r="C8" i="6"/>
  <c r="F6" i="6"/>
  <c r="C6" i="6"/>
  <c r="F4" i="6"/>
  <c r="C4" i="6"/>
  <c r="F2" i="6"/>
  <c r="C2" i="6"/>
  <c r="I35" i="5"/>
  <c r="I36" i="5" s="1"/>
  <c r="I26" i="5"/>
  <c r="I25" i="5"/>
  <c r="I24" i="5"/>
  <c r="I23" i="5"/>
  <c r="I16" i="4" s="1"/>
  <c r="I22" i="5"/>
  <c r="I15" i="4" s="1"/>
  <c r="I22" i="4" s="1"/>
  <c r="I21" i="5"/>
  <c r="I17" i="5"/>
  <c r="I16" i="5"/>
  <c r="I15" i="5"/>
  <c r="I18" i="5" s="1"/>
  <c r="I10" i="5"/>
  <c r="F10" i="5"/>
  <c r="C10" i="5"/>
  <c r="F8" i="5"/>
  <c r="C8" i="5"/>
  <c r="F6" i="5"/>
  <c r="C6" i="5"/>
  <c r="F4" i="5"/>
  <c r="C4" i="5"/>
  <c r="F2" i="5"/>
  <c r="C2" i="5"/>
  <c r="I23" i="4"/>
  <c r="I25" i="2" s="1"/>
  <c r="I19" i="4"/>
  <c r="I18" i="4"/>
  <c r="I17" i="4"/>
  <c r="F16" i="4"/>
  <c r="F15" i="4"/>
  <c r="I14" i="4"/>
  <c r="F14" i="4"/>
  <c r="I10" i="4"/>
  <c r="F10" i="4"/>
  <c r="C10" i="4"/>
  <c r="F8" i="4"/>
  <c r="C8" i="4"/>
  <c r="F6" i="4"/>
  <c r="C6" i="4"/>
  <c r="F4" i="4"/>
  <c r="C4" i="4"/>
  <c r="F2" i="4"/>
  <c r="C2" i="4"/>
  <c r="I36" i="3"/>
  <c r="I35" i="3"/>
  <c r="I26" i="3"/>
  <c r="I19" i="2" s="1"/>
  <c r="I25" i="3"/>
  <c r="I24" i="3"/>
  <c r="I17" i="2" s="1"/>
  <c r="I23" i="3"/>
  <c r="I22" i="3"/>
  <c r="I21" i="3"/>
  <c r="I17" i="3"/>
  <c r="F16" i="2" s="1"/>
  <c r="I16" i="3"/>
  <c r="F15" i="2" s="1"/>
  <c r="I15" i="3"/>
  <c r="I10" i="3"/>
  <c r="F10" i="3"/>
  <c r="C10" i="3"/>
  <c r="F8" i="3"/>
  <c r="C8" i="3"/>
  <c r="F6" i="3"/>
  <c r="C6" i="3"/>
  <c r="F4" i="3"/>
  <c r="C4" i="3"/>
  <c r="F2" i="3"/>
  <c r="C2" i="3"/>
  <c r="I24" i="2"/>
  <c r="I18" i="2"/>
  <c r="I16" i="2"/>
  <c r="I15" i="2"/>
  <c r="I14" i="2"/>
  <c r="F10" i="2"/>
  <c r="C10" i="2"/>
  <c r="F6" i="2"/>
  <c r="C6" i="2"/>
  <c r="F4" i="2"/>
  <c r="C4" i="2"/>
  <c r="F2" i="2"/>
  <c r="C2" i="2"/>
  <c r="BJ744" i="1"/>
  <c r="BH744" i="1"/>
  <c r="AB744" i="1" s="1"/>
  <c r="BF744" i="1"/>
  <c r="BD744" i="1"/>
  <c r="AP744" i="1"/>
  <c r="AO744" i="1"/>
  <c r="AK744" i="1"/>
  <c r="AJ744" i="1"/>
  <c r="AH744" i="1"/>
  <c r="AG744" i="1"/>
  <c r="AF744" i="1"/>
  <c r="AE744" i="1"/>
  <c r="AD744" i="1"/>
  <c r="Z744" i="1"/>
  <c r="J744" i="1"/>
  <c r="AL744" i="1" s="1"/>
  <c r="BJ741" i="1"/>
  <c r="BI741" i="1"/>
  <c r="AC741" i="1" s="1"/>
  <c r="BF741" i="1"/>
  <c r="BD741" i="1"/>
  <c r="AP741" i="1"/>
  <c r="I741" i="1" s="1"/>
  <c r="AO741" i="1"/>
  <c r="AK741" i="1"/>
  <c r="AJ741" i="1"/>
  <c r="AH741" i="1"/>
  <c r="AG741" i="1"/>
  <c r="AF741" i="1"/>
  <c r="AE741" i="1"/>
  <c r="AD741" i="1"/>
  <c r="Z741" i="1"/>
  <c r="J741" i="1"/>
  <c r="AL741" i="1" s="1"/>
  <c r="BJ738" i="1"/>
  <c r="BH738" i="1"/>
  <c r="BF738" i="1"/>
  <c r="BD738" i="1"/>
  <c r="BC738" i="1"/>
  <c r="AX738" i="1"/>
  <c r="AW738" i="1"/>
  <c r="AV738" i="1" s="1"/>
  <c r="AP738" i="1"/>
  <c r="BI738" i="1" s="1"/>
  <c r="AC738" i="1" s="1"/>
  <c r="AO738" i="1"/>
  <c r="AL738" i="1"/>
  <c r="AK738" i="1"/>
  <c r="AT733" i="1" s="1"/>
  <c r="AJ738" i="1"/>
  <c r="AH738" i="1"/>
  <c r="AG738" i="1"/>
  <c r="AF738" i="1"/>
  <c r="AE738" i="1"/>
  <c r="AD738" i="1"/>
  <c r="AB738" i="1"/>
  <c r="Z738" i="1"/>
  <c r="J738" i="1"/>
  <c r="I738" i="1"/>
  <c r="H738" i="1"/>
  <c r="BJ734" i="1"/>
  <c r="BI734" i="1"/>
  <c r="BF734" i="1"/>
  <c r="BD734" i="1"/>
  <c r="AX734" i="1"/>
  <c r="AP734" i="1"/>
  <c r="AO734" i="1"/>
  <c r="AL734" i="1"/>
  <c r="AU733" i="1" s="1"/>
  <c r="AK734" i="1"/>
  <c r="AJ734" i="1"/>
  <c r="AH734" i="1"/>
  <c r="AG734" i="1"/>
  <c r="AF734" i="1"/>
  <c r="AE734" i="1"/>
  <c r="AD734" i="1"/>
  <c r="AC734" i="1"/>
  <c r="Z734" i="1"/>
  <c r="J734" i="1"/>
  <c r="I734" i="1"/>
  <c r="BJ731" i="1"/>
  <c r="BF731" i="1"/>
  <c r="BD731" i="1"/>
  <c r="AX731" i="1"/>
  <c r="AP731" i="1"/>
  <c r="BI731" i="1" s="1"/>
  <c r="AO731" i="1"/>
  <c r="BH731" i="1" s="1"/>
  <c r="AK731" i="1"/>
  <c r="AJ731" i="1"/>
  <c r="AH731" i="1"/>
  <c r="AG731" i="1"/>
  <c r="AF731" i="1"/>
  <c r="AE731" i="1"/>
  <c r="AD731" i="1"/>
  <c r="AC731" i="1"/>
  <c r="AB731" i="1"/>
  <c r="Z731" i="1"/>
  <c r="J731" i="1"/>
  <c r="AL731" i="1" s="1"/>
  <c r="I731" i="1"/>
  <c r="H731" i="1"/>
  <c r="BJ729" i="1"/>
  <c r="BF729" i="1"/>
  <c r="BD729" i="1"/>
  <c r="AX729" i="1"/>
  <c r="AP729" i="1"/>
  <c r="BI729" i="1" s="1"/>
  <c r="AO729" i="1"/>
  <c r="AW729" i="1" s="1"/>
  <c r="AL729" i="1"/>
  <c r="AK729" i="1"/>
  <c r="AJ729" i="1"/>
  <c r="AH729" i="1"/>
  <c r="AG729" i="1"/>
  <c r="AF729" i="1"/>
  <c r="AE729" i="1"/>
  <c r="AC729" i="1"/>
  <c r="AB729" i="1"/>
  <c r="Z729" i="1"/>
  <c r="J729" i="1"/>
  <c r="I729" i="1"/>
  <c r="H729" i="1"/>
  <c r="BJ726" i="1"/>
  <c r="BI726" i="1"/>
  <c r="AE726" i="1" s="1"/>
  <c r="BF726" i="1"/>
  <c r="BD726" i="1"/>
  <c r="AW726" i="1"/>
  <c r="BC726" i="1" s="1"/>
  <c r="AP726" i="1"/>
  <c r="AX726" i="1" s="1"/>
  <c r="AO726" i="1"/>
  <c r="H726" i="1" s="1"/>
  <c r="AL726" i="1"/>
  <c r="AK726" i="1"/>
  <c r="AJ726" i="1"/>
  <c r="AS720" i="1" s="1"/>
  <c r="AH726" i="1"/>
  <c r="AG726" i="1"/>
  <c r="AF726" i="1"/>
  <c r="AC726" i="1"/>
  <c r="AB726" i="1"/>
  <c r="Z726" i="1"/>
  <c r="J726" i="1"/>
  <c r="I726" i="1"/>
  <c r="BJ723" i="1"/>
  <c r="BF723" i="1"/>
  <c r="BD723" i="1"/>
  <c r="AP723" i="1"/>
  <c r="AO723" i="1"/>
  <c r="AK723" i="1"/>
  <c r="AJ723" i="1"/>
  <c r="AH723" i="1"/>
  <c r="AG723" i="1"/>
  <c r="AF723" i="1"/>
  <c r="AC723" i="1"/>
  <c r="AB723" i="1"/>
  <c r="Z723" i="1"/>
  <c r="J723" i="1"/>
  <c r="BJ721" i="1"/>
  <c r="BH721" i="1"/>
  <c r="BF721" i="1"/>
  <c r="BD721" i="1"/>
  <c r="BC721" i="1"/>
  <c r="AX721" i="1"/>
  <c r="AV721" i="1" s="1"/>
  <c r="AW721" i="1"/>
  <c r="AP721" i="1"/>
  <c r="BI721" i="1" s="1"/>
  <c r="AE721" i="1" s="1"/>
  <c r="AO721" i="1"/>
  <c r="AL721" i="1"/>
  <c r="AK721" i="1"/>
  <c r="AT720" i="1" s="1"/>
  <c r="AJ721" i="1"/>
  <c r="AH721" i="1"/>
  <c r="AG721" i="1"/>
  <c r="AF721" i="1"/>
  <c r="AD721" i="1"/>
  <c r="AC721" i="1"/>
  <c r="AB721" i="1"/>
  <c r="Z721" i="1"/>
  <c r="J721" i="1"/>
  <c r="I721" i="1"/>
  <c r="H721" i="1"/>
  <c r="BJ719" i="1"/>
  <c r="Z719" i="1" s="1"/>
  <c r="BI719" i="1"/>
  <c r="BF719" i="1"/>
  <c r="BD719" i="1"/>
  <c r="AX719" i="1"/>
  <c r="AP719" i="1"/>
  <c r="AO719" i="1"/>
  <c r="BH719" i="1" s="1"/>
  <c r="AL719" i="1"/>
  <c r="AK719" i="1"/>
  <c r="AJ719" i="1"/>
  <c r="AH719" i="1"/>
  <c r="AG719" i="1"/>
  <c r="AF719" i="1"/>
  <c r="AE719" i="1"/>
  <c r="AD719" i="1"/>
  <c r="AC719" i="1"/>
  <c r="AB719" i="1"/>
  <c r="J719" i="1"/>
  <c r="I719" i="1"/>
  <c r="H719" i="1"/>
  <c r="BJ715" i="1"/>
  <c r="BF715" i="1"/>
  <c r="BD715" i="1"/>
  <c r="AX715" i="1"/>
  <c r="AW715" i="1"/>
  <c r="AP715" i="1"/>
  <c r="BI715" i="1" s="1"/>
  <c r="AO715" i="1"/>
  <c r="BH715" i="1" s="1"/>
  <c r="AB715" i="1" s="1"/>
  <c r="AL715" i="1"/>
  <c r="AU714" i="1" s="1"/>
  <c r="AK715" i="1"/>
  <c r="AJ715" i="1"/>
  <c r="AS714" i="1" s="1"/>
  <c r="AH715" i="1"/>
  <c r="AG715" i="1"/>
  <c r="AF715" i="1"/>
  <c r="AE715" i="1"/>
  <c r="AD715" i="1"/>
  <c r="AC715" i="1"/>
  <c r="Z715" i="1"/>
  <c r="J715" i="1"/>
  <c r="I715" i="1"/>
  <c r="I714" i="1" s="1"/>
  <c r="H715" i="1"/>
  <c r="H714" i="1" s="1"/>
  <c r="J714" i="1"/>
  <c r="BJ711" i="1"/>
  <c r="BF711" i="1"/>
  <c r="BD711" i="1"/>
  <c r="AP711" i="1"/>
  <c r="BI711" i="1" s="1"/>
  <c r="AC711" i="1" s="1"/>
  <c r="AO711" i="1"/>
  <c r="AL711" i="1"/>
  <c r="AU710" i="1" s="1"/>
  <c r="AK711" i="1"/>
  <c r="AJ711" i="1"/>
  <c r="AH711" i="1"/>
  <c r="AG711" i="1"/>
  <c r="AF711" i="1"/>
  <c r="AE711" i="1"/>
  <c r="AD711" i="1"/>
  <c r="Z711" i="1"/>
  <c r="J711" i="1"/>
  <c r="I711" i="1"/>
  <c r="I710" i="1" s="1"/>
  <c r="H711" i="1"/>
  <c r="AT710" i="1"/>
  <c r="AS710" i="1"/>
  <c r="J710" i="1"/>
  <c r="H710" i="1"/>
  <c r="BJ706" i="1"/>
  <c r="BF706" i="1"/>
  <c r="BD706" i="1"/>
  <c r="BC706" i="1"/>
  <c r="AW706" i="1"/>
  <c r="AV706" i="1" s="1"/>
  <c r="AP706" i="1"/>
  <c r="AX706" i="1" s="1"/>
  <c r="AO706" i="1"/>
  <c r="H706" i="1" s="1"/>
  <c r="H702" i="1" s="1"/>
  <c r="AK706" i="1"/>
  <c r="AJ706" i="1"/>
  <c r="AH706" i="1"/>
  <c r="AG706" i="1"/>
  <c r="AF706" i="1"/>
  <c r="AE706" i="1"/>
  <c r="AD706" i="1"/>
  <c r="Z706" i="1"/>
  <c r="J706" i="1"/>
  <c r="AL706" i="1" s="1"/>
  <c r="AU702" i="1" s="1"/>
  <c r="I706" i="1"/>
  <c r="BJ703" i="1"/>
  <c r="BI703" i="1"/>
  <c r="AC703" i="1" s="1"/>
  <c r="BF703" i="1"/>
  <c r="BD703" i="1"/>
  <c r="AX703" i="1"/>
  <c r="AW703" i="1"/>
  <c r="BC703" i="1" s="1"/>
  <c r="AV703" i="1"/>
  <c r="AP703" i="1"/>
  <c r="I703" i="1" s="1"/>
  <c r="AO703" i="1"/>
  <c r="BH703" i="1" s="1"/>
  <c r="AB703" i="1" s="1"/>
  <c r="AK703" i="1"/>
  <c r="AT702" i="1" s="1"/>
  <c r="AJ703" i="1"/>
  <c r="AH703" i="1"/>
  <c r="AG703" i="1"/>
  <c r="AF703" i="1"/>
  <c r="AE703" i="1"/>
  <c r="AD703" i="1"/>
  <c r="Z703" i="1"/>
  <c r="J703" i="1"/>
  <c r="AL703" i="1" s="1"/>
  <c r="H703" i="1"/>
  <c r="AS702" i="1"/>
  <c r="J702" i="1"/>
  <c r="BJ698" i="1"/>
  <c r="BH698" i="1"/>
  <c r="BF698" i="1"/>
  <c r="BD698" i="1"/>
  <c r="AW698" i="1"/>
  <c r="AP698" i="1"/>
  <c r="AO698" i="1"/>
  <c r="AL698" i="1"/>
  <c r="AK698" i="1"/>
  <c r="AJ698" i="1"/>
  <c r="AH698" i="1"/>
  <c r="C20" i="16" s="1"/>
  <c r="AG698" i="1"/>
  <c r="C19" i="16" s="1"/>
  <c r="AF698" i="1"/>
  <c r="AE698" i="1"/>
  <c r="AD698" i="1"/>
  <c r="AB698" i="1"/>
  <c r="Z698" i="1"/>
  <c r="C21" i="16" s="1"/>
  <c r="J698" i="1"/>
  <c r="H698" i="1"/>
  <c r="AU697" i="1"/>
  <c r="AT697" i="1"/>
  <c r="AS697" i="1"/>
  <c r="J697" i="1"/>
  <c r="H697" i="1"/>
  <c r="BJ694" i="1"/>
  <c r="BI694" i="1"/>
  <c r="AG694" i="1" s="1"/>
  <c r="BF694" i="1"/>
  <c r="BD694" i="1"/>
  <c r="BC694" i="1"/>
  <c r="AW694" i="1"/>
  <c r="AV694" i="1" s="1"/>
  <c r="AP694" i="1"/>
  <c r="AX694" i="1" s="1"/>
  <c r="AO694" i="1"/>
  <c r="H694" i="1" s="1"/>
  <c r="AK694" i="1"/>
  <c r="AJ694" i="1"/>
  <c r="AH694" i="1"/>
  <c r="AE694" i="1"/>
  <c r="AD694" i="1"/>
  <c r="AC694" i="1"/>
  <c r="AB694" i="1"/>
  <c r="Z694" i="1"/>
  <c r="J694" i="1"/>
  <c r="AL694" i="1" s="1"/>
  <c r="BJ692" i="1"/>
  <c r="BI692" i="1"/>
  <c r="AG692" i="1" s="1"/>
  <c r="BH692" i="1"/>
  <c r="BF692" i="1"/>
  <c r="BD692" i="1"/>
  <c r="AW692" i="1"/>
  <c r="AP692" i="1"/>
  <c r="I692" i="1" s="1"/>
  <c r="AO692" i="1"/>
  <c r="AK692" i="1"/>
  <c r="AJ692" i="1"/>
  <c r="AH692" i="1"/>
  <c r="AF692" i="1"/>
  <c r="AE692" i="1"/>
  <c r="AD692" i="1"/>
  <c r="AC692" i="1"/>
  <c r="AB692" i="1"/>
  <c r="Z692" i="1"/>
  <c r="J692" i="1"/>
  <c r="AL692" i="1" s="1"/>
  <c r="H692" i="1"/>
  <c r="BJ689" i="1"/>
  <c r="BH689" i="1"/>
  <c r="AF689" i="1" s="1"/>
  <c r="BF689" i="1"/>
  <c r="BD689" i="1"/>
  <c r="AW689" i="1"/>
  <c r="AP689" i="1"/>
  <c r="AO689" i="1"/>
  <c r="AL689" i="1"/>
  <c r="AK689" i="1"/>
  <c r="AJ689" i="1"/>
  <c r="AH689" i="1"/>
  <c r="AE689" i="1"/>
  <c r="AD689" i="1"/>
  <c r="AC689" i="1"/>
  <c r="AB689" i="1"/>
  <c r="Z689" i="1"/>
  <c r="J689" i="1"/>
  <c r="H689" i="1"/>
  <c r="BJ686" i="1"/>
  <c r="BI686" i="1"/>
  <c r="AG686" i="1" s="1"/>
  <c r="BH686" i="1"/>
  <c r="BF686" i="1"/>
  <c r="BD686" i="1"/>
  <c r="AX686" i="1"/>
  <c r="AP686" i="1"/>
  <c r="AO686" i="1"/>
  <c r="H686" i="1" s="1"/>
  <c r="AK686" i="1"/>
  <c r="AJ686" i="1"/>
  <c r="AH686" i="1"/>
  <c r="AF686" i="1"/>
  <c r="AE686" i="1"/>
  <c r="AD686" i="1"/>
  <c r="AC686" i="1"/>
  <c r="AB686" i="1"/>
  <c r="Z686" i="1"/>
  <c r="J686" i="1"/>
  <c r="AL686" i="1" s="1"/>
  <c r="I686" i="1"/>
  <c r="BJ683" i="1"/>
  <c r="BF683" i="1"/>
  <c r="BD683" i="1"/>
  <c r="AX683" i="1"/>
  <c r="AP683" i="1"/>
  <c r="BI683" i="1" s="1"/>
  <c r="AG683" i="1" s="1"/>
  <c r="AO683" i="1"/>
  <c r="AK683" i="1"/>
  <c r="AJ683" i="1"/>
  <c r="AH683" i="1"/>
  <c r="AE683" i="1"/>
  <c r="AD683" i="1"/>
  <c r="AC683" i="1"/>
  <c r="AB683" i="1"/>
  <c r="Z683" i="1"/>
  <c r="J683" i="1"/>
  <c r="AL683" i="1" s="1"/>
  <c r="I683" i="1"/>
  <c r="BJ680" i="1"/>
  <c r="BH680" i="1"/>
  <c r="AF680" i="1" s="1"/>
  <c r="BF680" i="1"/>
  <c r="BD680" i="1"/>
  <c r="AP680" i="1"/>
  <c r="BI680" i="1" s="1"/>
  <c r="AO680" i="1"/>
  <c r="AW680" i="1" s="1"/>
  <c r="AL680" i="1"/>
  <c r="AK680" i="1"/>
  <c r="AJ680" i="1"/>
  <c r="AH680" i="1"/>
  <c r="AG680" i="1"/>
  <c r="AE680" i="1"/>
  <c r="AD680" i="1"/>
  <c r="AC680" i="1"/>
  <c r="AB680" i="1"/>
  <c r="Z680" i="1"/>
  <c r="J680" i="1"/>
  <c r="I680" i="1"/>
  <c r="H680" i="1"/>
  <c r="BJ677" i="1"/>
  <c r="BH677" i="1"/>
  <c r="AF677" i="1" s="1"/>
  <c r="BF677" i="1"/>
  <c r="BD677" i="1"/>
  <c r="BC677" i="1"/>
  <c r="AW677" i="1"/>
  <c r="AP677" i="1"/>
  <c r="AX677" i="1" s="1"/>
  <c r="AV677" i="1" s="1"/>
  <c r="AO677" i="1"/>
  <c r="H677" i="1" s="1"/>
  <c r="AL677" i="1"/>
  <c r="AK677" i="1"/>
  <c r="AJ677" i="1"/>
  <c r="AH677" i="1"/>
  <c r="AE677" i="1"/>
  <c r="AD677" i="1"/>
  <c r="AC677" i="1"/>
  <c r="AB677" i="1"/>
  <c r="Z677" i="1"/>
  <c r="J677" i="1"/>
  <c r="I677" i="1"/>
  <c r="BJ674" i="1"/>
  <c r="BF674" i="1"/>
  <c r="BD674" i="1"/>
  <c r="AX674" i="1"/>
  <c r="AW674" i="1"/>
  <c r="AP674" i="1"/>
  <c r="I674" i="1" s="1"/>
  <c r="AO674" i="1"/>
  <c r="BH674" i="1" s="1"/>
  <c r="AF674" i="1" s="1"/>
  <c r="AK674" i="1"/>
  <c r="AJ674" i="1"/>
  <c r="AH674" i="1"/>
  <c r="AE674" i="1"/>
  <c r="AD674" i="1"/>
  <c r="AC674" i="1"/>
  <c r="AB674" i="1"/>
  <c r="Z674" i="1"/>
  <c r="J674" i="1"/>
  <c r="AL674" i="1" s="1"/>
  <c r="H674" i="1"/>
  <c r="BJ671" i="1"/>
  <c r="BH671" i="1"/>
  <c r="AF671" i="1" s="1"/>
  <c r="BF671" i="1"/>
  <c r="BD671" i="1"/>
  <c r="AX671" i="1"/>
  <c r="AV671" i="1" s="1"/>
  <c r="AW671" i="1"/>
  <c r="AP671" i="1"/>
  <c r="BI671" i="1" s="1"/>
  <c r="AG671" i="1" s="1"/>
  <c r="AO671" i="1"/>
  <c r="AL671" i="1"/>
  <c r="AK671" i="1"/>
  <c r="AJ671" i="1"/>
  <c r="AH671" i="1"/>
  <c r="AE671" i="1"/>
  <c r="AD671" i="1"/>
  <c r="AC671" i="1"/>
  <c r="AB671" i="1"/>
  <c r="Z671" i="1"/>
  <c r="J671" i="1"/>
  <c r="I671" i="1"/>
  <c r="H671" i="1"/>
  <c r="BJ668" i="1"/>
  <c r="BI668" i="1"/>
  <c r="AG668" i="1" s="1"/>
  <c r="BF668" i="1"/>
  <c r="BD668" i="1"/>
  <c r="AX668" i="1"/>
  <c r="AP668" i="1"/>
  <c r="AO668" i="1"/>
  <c r="AL668" i="1"/>
  <c r="AK668" i="1"/>
  <c r="AJ668" i="1"/>
  <c r="AH668" i="1"/>
  <c r="AE668" i="1"/>
  <c r="AD668" i="1"/>
  <c r="AC668" i="1"/>
  <c r="AB668" i="1"/>
  <c r="Z668" i="1"/>
  <c r="J668" i="1"/>
  <c r="I668" i="1"/>
  <c r="BJ665" i="1"/>
  <c r="BF665" i="1"/>
  <c r="BD665" i="1"/>
  <c r="AP665" i="1"/>
  <c r="AO665" i="1"/>
  <c r="AK665" i="1"/>
  <c r="AJ665" i="1"/>
  <c r="AH665" i="1"/>
  <c r="AE665" i="1"/>
  <c r="AD665" i="1"/>
  <c r="AC665" i="1"/>
  <c r="AB665" i="1"/>
  <c r="Z665" i="1"/>
  <c r="J665" i="1"/>
  <c r="AL665" i="1" s="1"/>
  <c r="BJ662" i="1"/>
  <c r="BH662" i="1"/>
  <c r="AF662" i="1" s="1"/>
  <c r="BF662" i="1"/>
  <c r="BD662" i="1"/>
  <c r="AP662" i="1"/>
  <c r="AO662" i="1"/>
  <c r="AW662" i="1" s="1"/>
  <c r="AK662" i="1"/>
  <c r="AJ662" i="1"/>
  <c r="AH662" i="1"/>
  <c r="AE662" i="1"/>
  <c r="AD662" i="1"/>
  <c r="AC662" i="1"/>
  <c r="AB662" i="1"/>
  <c r="Z662" i="1"/>
  <c r="J662" i="1"/>
  <c r="AL662" i="1" s="1"/>
  <c r="H662" i="1"/>
  <c r="BJ659" i="1"/>
  <c r="BI659" i="1"/>
  <c r="AG659" i="1" s="1"/>
  <c r="BH659" i="1"/>
  <c r="AF659" i="1" s="1"/>
  <c r="BF659" i="1"/>
  <c r="BD659" i="1"/>
  <c r="AW659" i="1"/>
  <c r="AP659" i="1"/>
  <c r="AX659" i="1" s="1"/>
  <c r="AO659" i="1"/>
  <c r="H659" i="1" s="1"/>
  <c r="AL659" i="1"/>
  <c r="AK659" i="1"/>
  <c r="AJ659" i="1"/>
  <c r="AH659" i="1"/>
  <c r="AE659" i="1"/>
  <c r="AD659" i="1"/>
  <c r="AC659" i="1"/>
  <c r="AB659" i="1"/>
  <c r="Z659" i="1"/>
  <c r="J659" i="1"/>
  <c r="I659" i="1"/>
  <c r="BJ656" i="1"/>
  <c r="BI656" i="1"/>
  <c r="AG656" i="1" s="1"/>
  <c r="BF656" i="1"/>
  <c r="BD656" i="1"/>
  <c r="AX656" i="1"/>
  <c r="AW656" i="1"/>
  <c r="AP656" i="1"/>
  <c r="I656" i="1" s="1"/>
  <c r="AO656" i="1"/>
  <c r="BH656" i="1" s="1"/>
  <c r="AF656" i="1" s="1"/>
  <c r="AK656" i="1"/>
  <c r="AJ656" i="1"/>
  <c r="AH656" i="1"/>
  <c r="AE656" i="1"/>
  <c r="AD656" i="1"/>
  <c r="AC656" i="1"/>
  <c r="AB656" i="1"/>
  <c r="Z656" i="1"/>
  <c r="J656" i="1"/>
  <c r="AL656" i="1" s="1"/>
  <c r="H656" i="1"/>
  <c r="BJ653" i="1"/>
  <c r="BH653" i="1"/>
  <c r="AF653" i="1" s="1"/>
  <c r="BF653" i="1"/>
  <c r="BD653" i="1"/>
  <c r="AX653" i="1"/>
  <c r="BC653" i="1" s="1"/>
  <c r="AW653" i="1"/>
  <c r="AV653" i="1" s="1"/>
  <c r="AP653" i="1"/>
  <c r="BI653" i="1" s="1"/>
  <c r="AG653" i="1" s="1"/>
  <c r="AO653" i="1"/>
  <c r="AL653" i="1"/>
  <c r="AK653" i="1"/>
  <c r="AJ653" i="1"/>
  <c r="AH653" i="1"/>
  <c r="AE653" i="1"/>
  <c r="AD653" i="1"/>
  <c r="AC653" i="1"/>
  <c r="AB653" i="1"/>
  <c r="Z653" i="1"/>
  <c r="J653" i="1"/>
  <c r="I653" i="1"/>
  <c r="H653" i="1"/>
  <c r="BJ650" i="1"/>
  <c r="BI650" i="1"/>
  <c r="AG650" i="1" s="1"/>
  <c r="BF650" i="1"/>
  <c r="BD650" i="1"/>
  <c r="AX650" i="1"/>
  <c r="AP650" i="1"/>
  <c r="AO650" i="1"/>
  <c r="AK650" i="1"/>
  <c r="AJ650" i="1"/>
  <c r="AH650" i="1"/>
  <c r="AE650" i="1"/>
  <c r="AD650" i="1"/>
  <c r="AC650" i="1"/>
  <c r="AB650" i="1"/>
  <c r="Z650" i="1"/>
  <c r="J650" i="1"/>
  <c r="AL650" i="1" s="1"/>
  <c r="I650" i="1"/>
  <c r="BJ647" i="1"/>
  <c r="BF647" i="1"/>
  <c r="BD647" i="1"/>
  <c r="AP647" i="1"/>
  <c r="AO647" i="1"/>
  <c r="AK647" i="1"/>
  <c r="AJ647" i="1"/>
  <c r="AH647" i="1"/>
  <c r="AE647" i="1"/>
  <c r="AD647" i="1"/>
  <c r="AC647" i="1"/>
  <c r="AB647" i="1"/>
  <c r="Z647" i="1"/>
  <c r="J647" i="1"/>
  <c r="AL647" i="1" s="1"/>
  <c r="BJ644" i="1"/>
  <c r="BH644" i="1"/>
  <c r="AF644" i="1" s="1"/>
  <c r="BF644" i="1"/>
  <c r="BD644" i="1"/>
  <c r="AP644" i="1"/>
  <c r="AO644" i="1"/>
  <c r="AW644" i="1" s="1"/>
  <c r="AK644" i="1"/>
  <c r="AJ644" i="1"/>
  <c r="AH644" i="1"/>
  <c r="AE644" i="1"/>
  <c r="AD644" i="1"/>
  <c r="AC644" i="1"/>
  <c r="AB644" i="1"/>
  <c r="Z644" i="1"/>
  <c r="J644" i="1"/>
  <c r="AL644" i="1" s="1"/>
  <c r="H644" i="1"/>
  <c r="BJ641" i="1"/>
  <c r="BI641" i="1"/>
  <c r="AG641" i="1" s="1"/>
  <c r="BH641" i="1"/>
  <c r="AF641" i="1" s="1"/>
  <c r="BF641" i="1"/>
  <c r="BD641" i="1"/>
  <c r="AW641" i="1"/>
  <c r="AV641" i="1" s="1"/>
  <c r="AP641" i="1"/>
  <c r="AX641" i="1" s="1"/>
  <c r="AO641" i="1"/>
  <c r="H641" i="1" s="1"/>
  <c r="AL641" i="1"/>
  <c r="AK641" i="1"/>
  <c r="AJ641" i="1"/>
  <c r="AH641" i="1"/>
  <c r="AE641" i="1"/>
  <c r="AD641" i="1"/>
  <c r="AC641" i="1"/>
  <c r="AB641" i="1"/>
  <c r="Z641" i="1"/>
  <c r="J641" i="1"/>
  <c r="I641" i="1"/>
  <c r="BJ638" i="1"/>
  <c r="BI638" i="1"/>
  <c r="AG638" i="1" s="1"/>
  <c r="BF638" i="1"/>
  <c r="BD638" i="1"/>
  <c r="AX638" i="1"/>
  <c r="AW638" i="1"/>
  <c r="AP638" i="1"/>
  <c r="I638" i="1" s="1"/>
  <c r="AO638" i="1"/>
  <c r="BH638" i="1" s="1"/>
  <c r="AK638" i="1"/>
  <c r="AJ638" i="1"/>
  <c r="AH638" i="1"/>
  <c r="AF638" i="1"/>
  <c r="AE638" i="1"/>
  <c r="AD638" i="1"/>
  <c r="AC638" i="1"/>
  <c r="AB638" i="1"/>
  <c r="Z638" i="1"/>
  <c r="J638" i="1"/>
  <c r="AL638" i="1" s="1"/>
  <c r="H638" i="1"/>
  <c r="BJ635" i="1"/>
  <c r="BH635" i="1"/>
  <c r="AF635" i="1" s="1"/>
  <c r="BF635" i="1"/>
  <c r="BD635" i="1"/>
  <c r="AW635" i="1"/>
  <c r="AP635" i="1"/>
  <c r="AO635" i="1"/>
  <c r="AL635" i="1"/>
  <c r="AK635" i="1"/>
  <c r="AJ635" i="1"/>
  <c r="AH635" i="1"/>
  <c r="AE635" i="1"/>
  <c r="AD635" i="1"/>
  <c r="AC635" i="1"/>
  <c r="AB635" i="1"/>
  <c r="Z635" i="1"/>
  <c r="J635" i="1"/>
  <c r="H635" i="1"/>
  <c r="BJ632" i="1"/>
  <c r="BI632" i="1"/>
  <c r="AG632" i="1" s="1"/>
  <c r="BF632" i="1"/>
  <c r="BD632" i="1"/>
  <c r="AX632" i="1"/>
  <c r="AP632" i="1"/>
  <c r="AO632" i="1"/>
  <c r="AL632" i="1"/>
  <c r="AK632" i="1"/>
  <c r="AJ632" i="1"/>
  <c r="AH632" i="1"/>
  <c r="AE632" i="1"/>
  <c r="AD632" i="1"/>
  <c r="AC632" i="1"/>
  <c r="AB632" i="1"/>
  <c r="Z632" i="1"/>
  <c r="J632" i="1"/>
  <c r="I632" i="1"/>
  <c r="BJ629" i="1"/>
  <c r="BF629" i="1"/>
  <c r="BD629" i="1"/>
  <c r="AW629" i="1"/>
  <c r="AP629" i="1"/>
  <c r="AO629" i="1"/>
  <c r="BH629" i="1" s="1"/>
  <c r="AL629" i="1"/>
  <c r="AK629" i="1"/>
  <c r="AJ629" i="1"/>
  <c r="AH629" i="1"/>
  <c r="AF629" i="1"/>
  <c r="AE629" i="1"/>
  <c r="AD629" i="1"/>
  <c r="AC629" i="1"/>
  <c r="AB629" i="1"/>
  <c r="Z629" i="1"/>
  <c r="J629" i="1"/>
  <c r="H629" i="1"/>
  <c r="BJ626" i="1"/>
  <c r="BH626" i="1"/>
  <c r="AF626" i="1" s="1"/>
  <c r="BF626" i="1"/>
  <c r="BD626" i="1"/>
  <c r="AP626" i="1"/>
  <c r="AO626" i="1"/>
  <c r="AK626" i="1"/>
  <c r="AJ626" i="1"/>
  <c r="AH626" i="1"/>
  <c r="AE626" i="1"/>
  <c r="AD626" i="1"/>
  <c r="AC626" i="1"/>
  <c r="AB626" i="1"/>
  <c r="Z626" i="1"/>
  <c r="J626" i="1"/>
  <c r="AL626" i="1" s="1"/>
  <c r="BJ623" i="1"/>
  <c r="BH623" i="1"/>
  <c r="AF623" i="1" s="1"/>
  <c r="BF623" i="1"/>
  <c r="BD623" i="1"/>
  <c r="AP623" i="1"/>
  <c r="AO623" i="1"/>
  <c r="AW623" i="1" s="1"/>
  <c r="AL623" i="1"/>
  <c r="AK623" i="1"/>
  <c r="AJ623" i="1"/>
  <c r="AH623" i="1"/>
  <c r="AE623" i="1"/>
  <c r="AD623" i="1"/>
  <c r="AC623" i="1"/>
  <c r="AB623" i="1"/>
  <c r="Z623" i="1"/>
  <c r="J623" i="1"/>
  <c r="H623" i="1"/>
  <c r="BJ620" i="1"/>
  <c r="BI620" i="1"/>
  <c r="AG620" i="1" s="1"/>
  <c r="BH620" i="1"/>
  <c r="AF620" i="1" s="1"/>
  <c r="BF620" i="1"/>
  <c r="BD620" i="1"/>
  <c r="AW620" i="1"/>
  <c r="AP620" i="1"/>
  <c r="AX620" i="1" s="1"/>
  <c r="AV620" i="1" s="1"/>
  <c r="AO620" i="1"/>
  <c r="H620" i="1" s="1"/>
  <c r="AL620" i="1"/>
  <c r="AK620" i="1"/>
  <c r="AJ620" i="1"/>
  <c r="AH620" i="1"/>
  <c r="AE620" i="1"/>
  <c r="AD620" i="1"/>
  <c r="AC620" i="1"/>
  <c r="AB620" i="1"/>
  <c r="Z620" i="1"/>
  <c r="J620" i="1"/>
  <c r="I620" i="1"/>
  <c r="BJ617" i="1"/>
  <c r="BI617" i="1"/>
  <c r="AG617" i="1" s="1"/>
  <c r="BF617" i="1"/>
  <c r="BD617" i="1"/>
  <c r="AX617" i="1"/>
  <c r="AW617" i="1"/>
  <c r="AP617" i="1"/>
  <c r="I617" i="1" s="1"/>
  <c r="AO617" i="1"/>
  <c r="BH617" i="1" s="1"/>
  <c r="AF617" i="1" s="1"/>
  <c r="AK617" i="1"/>
  <c r="AJ617" i="1"/>
  <c r="AH617" i="1"/>
  <c r="AE617" i="1"/>
  <c r="AD617" i="1"/>
  <c r="AC617" i="1"/>
  <c r="AB617" i="1"/>
  <c r="Z617" i="1"/>
  <c r="J617" i="1"/>
  <c r="AL617" i="1" s="1"/>
  <c r="H617" i="1"/>
  <c r="BJ614" i="1"/>
  <c r="BH614" i="1"/>
  <c r="AF614" i="1" s="1"/>
  <c r="BF614" i="1"/>
  <c r="BD614" i="1"/>
  <c r="AX614" i="1"/>
  <c r="AW614" i="1"/>
  <c r="AP614" i="1"/>
  <c r="BI614" i="1" s="1"/>
  <c r="AG614" i="1" s="1"/>
  <c r="AO614" i="1"/>
  <c r="AL614" i="1"/>
  <c r="AK614" i="1"/>
  <c r="AJ614" i="1"/>
  <c r="AH614" i="1"/>
  <c r="AE614" i="1"/>
  <c r="AD614" i="1"/>
  <c r="AC614" i="1"/>
  <c r="AB614" i="1"/>
  <c r="Z614" i="1"/>
  <c r="J614" i="1"/>
  <c r="I614" i="1"/>
  <c r="H614" i="1"/>
  <c r="BJ610" i="1"/>
  <c r="BI610" i="1"/>
  <c r="AG610" i="1" s="1"/>
  <c r="BF610" i="1"/>
  <c r="BD610" i="1"/>
  <c r="AX610" i="1"/>
  <c r="AP610" i="1"/>
  <c r="AO610" i="1"/>
  <c r="AL610" i="1"/>
  <c r="AK610" i="1"/>
  <c r="AJ610" i="1"/>
  <c r="AH610" i="1"/>
  <c r="AE610" i="1"/>
  <c r="AD610" i="1"/>
  <c r="AC610" i="1"/>
  <c r="AB610" i="1"/>
  <c r="Z610" i="1"/>
  <c r="J610" i="1"/>
  <c r="I610" i="1"/>
  <c r="BJ606" i="1"/>
  <c r="BF606" i="1"/>
  <c r="BD606" i="1"/>
  <c r="AP606" i="1"/>
  <c r="AO606" i="1"/>
  <c r="AK606" i="1"/>
  <c r="AJ606" i="1"/>
  <c r="AH606" i="1"/>
  <c r="AE606" i="1"/>
  <c r="AD606" i="1"/>
  <c r="AC606" i="1"/>
  <c r="AB606" i="1"/>
  <c r="Z606" i="1"/>
  <c r="J606" i="1"/>
  <c r="BJ603" i="1"/>
  <c r="BH603" i="1"/>
  <c r="AF603" i="1" s="1"/>
  <c r="BF603" i="1"/>
  <c r="BD603" i="1"/>
  <c r="AP603" i="1"/>
  <c r="AO603" i="1"/>
  <c r="AW603" i="1" s="1"/>
  <c r="AL603" i="1"/>
  <c r="AK603" i="1"/>
  <c r="AJ603" i="1"/>
  <c r="AH603" i="1"/>
  <c r="AE603" i="1"/>
  <c r="AD603" i="1"/>
  <c r="AC603" i="1"/>
  <c r="AB603" i="1"/>
  <c r="Z603" i="1"/>
  <c r="J603" i="1"/>
  <c r="H603" i="1"/>
  <c r="BJ600" i="1"/>
  <c r="BI600" i="1"/>
  <c r="AG600" i="1" s="1"/>
  <c r="BH600" i="1"/>
  <c r="AF600" i="1" s="1"/>
  <c r="BF600" i="1"/>
  <c r="BD600" i="1"/>
  <c r="AW600" i="1"/>
  <c r="AP600" i="1"/>
  <c r="AX600" i="1" s="1"/>
  <c r="AV600" i="1" s="1"/>
  <c r="AO600" i="1"/>
  <c r="H600" i="1" s="1"/>
  <c r="AL600" i="1"/>
  <c r="AK600" i="1"/>
  <c r="AJ600" i="1"/>
  <c r="AH600" i="1"/>
  <c r="AE600" i="1"/>
  <c r="AD600" i="1"/>
  <c r="AC600" i="1"/>
  <c r="AB600" i="1"/>
  <c r="Z600" i="1"/>
  <c r="J600" i="1"/>
  <c r="I600" i="1"/>
  <c r="BJ596" i="1"/>
  <c r="BI596" i="1"/>
  <c r="AG596" i="1" s="1"/>
  <c r="BF596" i="1"/>
  <c r="BD596" i="1"/>
  <c r="AX596" i="1"/>
  <c r="AW596" i="1"/>
  <c r="AP596" i="1"/>
  <c r="I596" i="1" s="1"/>
  <c r="AO596" i="1"/>
  <c r="BH596" i="1" s="1"/>
  <c r="AF596" i="1" s="1"/>
  <c r="AK596" i="1"/>
  <c r="AJ596" i="1"/>
  <c r="AH596" i="1"/>
  <c r="AE596" i="1"/>
  <c r="AD596" i="1"/>
  <c r="AC596" i="1"/>
  <c r="AB596" i="1"/>
  <c r="Z596" i="1"/>
  <c r="J596" i="1"/>
  <c r="AL596" i="1" s="1"/>
  <c r="H596" i="1"/>
  <c r="BJ592" i="1"/>
  <c r="BH592" i="1"/>
  <c r="AF592" i="1" s="1"/>
  <c r="BF592" i="1"/>
  <c r="BD592" i="1"/>
  <c r="BC592" i="1"/>
  <c r="AX592" i="1"/>
  <c r="AV592" i="1" s="1"/>
  <c r="AW592" i="1"/>
  <c r="AP592" i="1"/>
  <c r="BI592" i="1" s="1"/>
  <c r="AG592" i="1" s="1"/>
  <c r="AO592" i="1"/>
  <c r="AL592" i="1"/>
  <c r="AK592" i="1"/>
  <c r="AJ592" i="1"/>
  <c r="AH592" i="1"/>
  <c r="AE592" i="1"/>
  <c r="AD592" i="1"/>
  <c r="AC592" i="1"/>
  <c r="AB592" i="1"/>
  <c r="Z592" i="1"/>
  <c r="J592" i="1"/>
  <c r="I592" i="1"/>
  <c r="H592" i="1"/>
  <c r="BJ589" i="1"/>
  <c r="BI589" i="1"/>
  <c r="AG589" i="1" s="1"/>
  <c r="BF589" i="1"/>
  <c r="BD589" i="1"/>
  <c r="AX589" i="1"/>
  <c r="AP589" i="1"/>
  <c r="AO589" i="1"/>
  <c r="AK589" i="1"/>
  <c r="AJ589" i="1"/>
  <c r="AH589" i="1"/>
  <c r="AE589" i="1"/>
  <c r="AD589" i="1"/>
  <c r="AC589" i="1"/>
  <c r="AB589" i="1"/>
  <c r="Z589" i="1"/>
  <c r="J589" i="1"/>
  <c r="AL589" i="1" s="1"/>
  <c r="I589" i="1"/>
  <c r="BJ586" i="1"/>
  <c r="BF586" i="1"/>
  <c r="BD586" i="1"/>
  <c r="AP586" i="1"/>
  <c r="AO586" i="1"/>
  <c r="AK586" i="1"/>
  <c r="AJ586" i="1"/>
  <c r="AH586" i="1"/>
  <c r="AE586" i="1"/>
  <c r="AD586" i="1"/>
  <c r="AC586" i="1"/>
  <c r="AB586" i="1"/>
  <c r="Z586" i="1"/>
  <c r="J586" i="1"/>
  <c r="AL586" i="1" s="1"/>
  <c r="BJ583" i="1"/>
  <c r="BH583" i="1"/>
  <c r="AF583" i="1" s="1"/>
  <c r="BF583" i="1"/>
  <c r="BD583" i="1"/>
  <c r="AP583" i="1"/>
  <c r="AO583" i="1"/>
  <c r="AW583" i="1" s="1"/>
  <c r="AL583" i="1"/>
  <c r="AK583" i="1"/>
  <c r="AJ583" i="1"/>
  <c r="AH583" i="1"/>
  <c r="AE583" i="1"/>
  <c r="AD583" i="1"/>
  <c r="AC583" i="1"/>
  <c r="AB583" i="1"/>
  <c r="Z583" i="1"/>
  <c r="J583" i="1"/>
  <c r="H583" i="1"/>
  <c r="BJ580" i="1"/>
  <c r="BI580" i="1"/>
  <c r="AG580" i="1" s="1"/>
  <c r="BH580" i="1"/>
  <c r="AF580" i="1" s="1"/>
  <c r="BF580" i="1"/>
  <c r="BD580" i="1"/>
  <c r="AW580" i="1"/>
  <c r="BC580" i="1" s="1"/>
  <c r="AV580" i="1"/>
  <c r="AP580" i="1"/>
  <c r="AX580" i="1" s="1"/>
  <c r="AO580" i="1"/>
  <c r="H580" i="1" s="1"/>
  <c r="AL580" i="1"/>
  <c r="AK580" i="1"/>
  <c r="AJ580" i="1"/>
  <c r="AH580" i="1"/>
  <c r="AE580" i="1"/>
  <c r="AD580" i="1"/>
  <c r="AC580" i="1"/>
  <c r="AB580" i="1"/>
  <c r="Z580" i="1"/>
  <c r="J580" i="1"/>
  <c r="I580" i="1"/>
  <c r="BJ577" i="1"/>
  <c r="BI577" i="1"/>
  <c r="AG577" i="1" s="1"/>
  <c r="BF577" i="1"/>
  <c r="BD577" i="1"/>
  <c r="AX577" i="1"/>
  <c r="AW577" i="1"/>
  <c r="AP577" i="1"/>
  <c r="I577" i="1" s="1"/>
  <c r="AO577" i="1"/>
  <c r="BH577" i="1" s="1"/>
  <c r="AF577" i="1" s="1"/>
  <c r="AK577" i="1"/>
  <c r="AJ577" i="1"/>
  <c r="AH577" i="1"/>
  <c r="AE577" i="1"/>
  <c r="AD577" i="1"/>
  <c r="AC577" i="1"/>
  <c r="AB577" i="1"/>
  <c r="Z577" i="1"/>
  <c r="J577" i="1"/>
  <c r="AL577" i="1" s="1"/>
  <c r="H577" i="1"/>
  <c r="BJ574" i="1"/>
  <c r="BH574" i="1"/>
  <c r="AF574" i="1" s="1"/>
  <c r="BF574" i="1"/>
  <c r="BD574" i="1"/>
  <c r="BC574" i="1"/>
  <c r="AX574" i="1"/>
  <c r="AV574" i="1" s="1"/>
  <c r="AW574" i="1"/>
  <c r="AP574" i="1"/>
  <c r="BI574" i="1" s="1"/>
  <c r="AG574" i="1" s="1"/>
  <c r="AO574" i="1"/>
  <c r="AL574" i="1"/>
  <c r="AK574" i="1"/>
  <c r="AJ574" i="1"/>
  <c r="AH574" i="1"/>
  <c r="AE574" i="1"/>
  <c r="AD574" i="1"/>
  <c r="AC574" i="1"/>
  <c r="AB574" i="1"/>
  <c r="Z574" i="1"/>
  <c r="J574" i="1"/>
  <c r="I574" i="1"/>
  <c r="H574" i="1"/>
  <c r="BJ571" i="1"/>
  <c r="BI571" i="1"/>
  <c r="AG571" i="1" s="1"/>
  <c r="BF571" i="1"/>
  <c r="BD571" i="1"/>
  <c r="AX571" i="1"/>
  <c r="AP571" i="1"/>
  <c r="AO571" i="1"/>
  <c r="AK571" i="1"/>
  <c r="AJ571" i="1"/>
  <c r="AH571" i="1"/>
  <c r="AE571" i="1"/>
  <c r="AD571" i="1"/>
  <c r="AC571" i="1"/>
  <c r="AB571" i="1"/>
  <c r="Z571" i="1"/>
  <c r="J571" i="1"/>
  <c r="AL571" i="1" s="1"/>
  <c r="I571" i="1"/>
  <c r="BJ568" i="1"/>
  <c r="BF568" i="1"/>
  <c r="BD568" i="1"/>
  <c r="AP568" i="1"/>
  <c r="AO568" i="1"/>
  <c r="AK568" i="1"/>
  <c r="AJ568" i="1"/>
  <c r="AH568" i="1"/>
  <c r="AE568" i="1"/>
  <c r="AD568" i="1"/>
  <c r="AC568" i="1"/>
  <c r="AB568" i="1"/>
  <c r="Z568" i="1"/>
  <c r="J568" i="1"/>
  <c r="AL568" i="1" s="1"/>
  <c r="BJ565" i="1"/>
  <c r="BH565" i="1"/>
  <c r="AF565" i="1" s="1"/>
  <c r="BF565" i="1"/>
  <c r="BD565" i="1"/>
  <c r="AP565" i="1"/>
  <c r="AO565" i="1"/>
  <c r="AW565" i="1" s="1"/>
  <c r="AL565" i="1"/>
  <c r="AK565" i="1"/>
  <c r="AJ565" i="1"/>
  <c r="AH565" i="1"/>
  <c r="AE565" i="1"/>
  <c r="AD565" i="1"/>
  <c r="AC565" i="1"/>
  <c r="AB565" i="1"/>
  <c r="Z565" i="1"/>
  <c r="J565" i="1"/>
  <c r="H565" i="1"/>
  <c r="BJ562" i="1"/>
  <c r="BI562" i="1"/>
  <c r="AG562" i="1" s="1"/>
  <c r="BH562" i="1"/>
  <c r="AF562" i="1" s="1"/>
  <c r="BF562" i="1"/>
  <c r="BD562" i="1"/>
  <c r="AW562" i="1"/>
  <c r="BC562" i="1" s="1"/>
  <c r="AV562" i="1"/>
  <c r="AP562" i="1"/>
  <c r="AX562" i="1" s="1"/>
  <c r="AO562" i="1"/>
  <c r="H562" i="1" s="1"/>
  <c r="AL562" i="1"/>
  <c r="AK562" i="1"/>
  <c r="AJ562" i="1"/>
  <c r="AH562" i="1"/>
  <c r="AE562" i="1"/>
  <c r="AD562" i="1"/>
  <c r="AC562" i="1"/>
  <c r="AB562" i="1"/>
  <c r="Z562" i="1"/>
  <c r="J562" i="1"/>
  <c r="I562" i="1"/>
  <c r="BJ559" i="1"/>
  <c r="BI559" i="1"/>
  <c r="AG559" i="1" s="1"/>
  <c r="BF559" i="1"/>
  <c r="BD559" i="1"/>
  <c r="AX559" i="1"/>
  <c r="AW559" i="1"/>
  <c r="AP559" i="1"/>
  <c r="I559" i="1" s="1"/>
  <c r="AO559" i="1"/>
  <c r="BH559" i="1" s="1"/>
  <c r="AF559" i="1" s="1"/>
  <c r="AK559" i="1"/>
  <c r="AJ559" i="1"/>
  <c r="AS555" i="1" s="1"/>
  <c r="AH559" i="1"/>
  <c r="AE559" i="1"/>
  <c r="AD559" i="1"/>
  <c r="AC559" i="1"/>
  <c r="AB559" i="1"/>
  <c r="Z559" i="1"/>
  <c r="J559" i="1"/>
  <c r="AL559" i="1" s="1"/>
  <c r="H559" i="1"/>
  <c r="BJ556" i="1"/>
  <c r="BH556" i="1"/>
  <c r="AF556" i="1" s="1"/>
  <c r="BF556" i="1"/>
  <c r="BD556" i="1"/>
  <c r="BC556" i="1"/>
  <c r="AX556" i="1"/>
  <c r="AV556" i="1" s="1"/>
  <c r="AW556" i="1"/>
  <c r="AP556" i="1"/>
  <c r="BI556" i="1" s="1"/>
  <c r="AG556" i="1" s="1"/>
  <c r="AO556" i="1"/>
  <c r="AL556" i="1"/>
  <c r="AK556" i="1"/>
  <c r="AT555" i="1" s="1"/>
  <c r="AJ556" i="1"/>
  <c r="AH556" i="1"/>
  <c r="AE556" i="1"/>
  <c r="AD556" i="1"/>
  <c r="AC556" i="1"/>
  <c r="AB556" i="1"/>
  <c r="Z556" i="1"/>
  <c r="J556" i="1"/>
  <c r="I556" i="1"/>
  <c r="H556" i="1"/>
  <c r="BJ551" i="1"/>
  <c r="BI551" i="1"/>
  <c r="BF551" i="1"/>
  <c r="BD551" i="1"/>
  <c r="AX551" i="1"/>
  <c r="AP551" i="1"/>
  <c r="AO551" i="1"/>
  <c r="AL551" i="1"/>
  <c r="AK551" i="1"/>
  <c r="AJ551" i="1"/>
  <c r="AH551" i="1"/>
  <c r="AG551" i="1"/>
  <c r="AF551" i="1"/>
  <c r="AE551" i="1"/>
  <c r="AD551" i="1"/>
  <c r="AC551" i="1"/>
  <c r="Z551" i="1"/>
  <c r="J551" i="1"/>
  <c r="I551" i="1"/>
  <c r="I550" i="1" s="1"/>
  <c r="AU550" i="1"/>
  <c r="AT550" i="1"/>
  <c r="AS550" i="1"/>
  <c r="J550" i="1"/>
  <c r="BJ546" i="1"/>
  <c r="BI546" i="1"/>
  <c r="BF546" i="1"/>
  <c r="BD546" i="1"/>
  <c r="AX546" i="1"/>
  <c r="AW546" i="1"/>
  <c r="AP546" i="1"/>
  <c r="I546" i="1" s="1"/>
  <c r="AO546" i="1"/>
  <c r="BH546" i="1" s="1"/>
  <c r="AF546" i="1" s="1"/>
  <c r="AK546" i="1"/>
  <c r="AJ546" i="1"/>
  <c r="AH546" i="1"/>
  <c r="AG546" i="1"/>
  <c r="AE546" i="1"/>
  <c r="AD546" i="1"/>
  <c r="AC546" i="1"/>
  <c r="AB546" i="1"/>
  <c r="Z546" i="1"/>
  <c r="J546" i="1"/>
  <c r="H546" i="1"/>
  <c r="BJ544" i="1"/>
  <c r="BI544" i="1"/>
  <c r="AG544" i="1" s="1"/>
  <c r="BH544" i="1"/>
  <c r="AF544" i="1" s="1"/>
  <c r="BF544" i="1"/>
  <c r="BD544" i="1"/>
  <c r="AX544" i="1"/>
  <c r="AW544" i="1"/>
  <c r="BC544" i="1" s="1"/>
  <c r="AV544" i="1"/>
  <c r="AP544" i="1"/>
  <c r="I544" i="1" s="1"/>
  <c r="I543" i="1" s="1"/>
  <c r="AO544" i="1"/>
  <c r="AL544" i="1"/>
  <c r="AK544" i="1"/>
  <c r="AJ544" i="1"/>
  <c r="AS543" i="1" s="1"/>
  <c r="AH544" i="1"/>
  <c r="AE544" i="1"/>
  <c r="AD544" i="1"/>
  <c r="AC544" i="1"/>
  <c r="AB544" i="1"/>
  <c r="Z544" i="1"/>
  <c r="J544" i="1"/>
  <c r="H544" i="1"/>
  <c r="H543" i="1" s="1"/>
  <c r="AT543" i="1"/>
  <c r="BJ541" i="1"/>
  <c r="Z541" i="1" s="1"/>
  <c r="BI541" i="1"/>
  <c r="BH541" i="1"/>
  <c r="BF541" i="1"/>
  <c r="BD541" i="1"/>
  <c r="AX541" i="1"/>
  <c r="AW541" i="1"/>
  <c r="BC541" i="1" s="1"/>
  <c r="AV541" i="1"/>
  <c r="AP541" i="1"/>
  <c r="AO541" i="1"/>
  <c r="H541" i="1" s="1"/>
  <c r="AK541" i="1"/>
  <c r="AJ541" i="1"/>
  <c r="AH541" i="1"/>
  <c r="AG541" i="1"/>
  <c r="AF541" i="1"/>
  <c r="AE541" i="1"/>
  <c r="AD541" i="1"/>
  <c r="AC541" i="1"/>
  <c r="AB541" i="1"/>
  <c r="J541" i="1"/>
  <c r="AL541" i="1" s="1"/>
  <c r="I541" i="1"/>
  <c r="BJ537" i="1"/>
  <c r="BF537" i="1"/>
  <c r="BD537" i="1"/>
  <c r="AP537" i="1"/>
  <c r="AX537" i="1" s="1"/>
  <c r="AO537" i="1"/>
  <c r="AL537" i="1"/>
  <c r="AK537" i="1"/>
  <c r="AJ537" i="1"/>
  <c r="AH537" i="1"/>
  <c r="AG537" i="1"/>
  <c r="AF537" i="1"/>
  <c r="AC537" i="1"/>
  <c r="AB537" i="1"/>
  <c r="Z537" i="1"/>
  <c r="J537" i="1"/>
  <c r="I537" i="1"/>
  <c r="BJ534" i="1"/>
  <c r="BF534" i="1"/>
  <c r="BD534" i="1"/>
  <c r="AP534" i="1"/>
  <c r="AO534" i="1"/>
  <c r="AK534" i="1"/>
  <c r="AJ534" i="1"/>
  <c r="AH534" i="1"/>
  <c r="AG534" i="1"/>
  <c r="AF534" i="1"/>
  <c r="AC534" i="1"/>
  <c r="AB534" i="1"/>
  <c r="Z534" i="1"/>
  <c r="J534" i="1"/>
  <c r="AL534" i="1" s="1"/>
  <c r="AU533" i="1" s="1"/>
  <c r="AT533" i="1"/>
  <c r="AS533" i="1"/>
  <c r="BJ531" i="1"/>
  <c r="BH531" i="1"/>
  <c r="BF531" i="1"/>
  <c r="BD531" i="1"/>
  <c r="AW531" i="1"/>
  <c r="AP531" i="1"/>
  <c r="AO531" i="1"/>
  <c r="AK531" i="1"/>
  <c r="AJ531" i="1"/>
  <c r="AH531" i="1"/>
  <c r="AG531" i="1"/>
  <c r="AF531" i="1"/>
  <c r="AE531" i="1"/>
  <c r="AD531" i="1"/>
  <c r="AC531" i="1"/>
  <c r="AB531" i="1"/>
  <c r="Z531" i="1"/>
  <c r="J531" i="1"/>
  <c r="AL531" i="1" s="1"/>
  <c r="H531" i="1"/>
  <c r="BJ527" i="1"/>
  <c r="BI527" i="1"/>
  <c r="AE527" i="1" s="1"/>
  <c r="BH527" i="1"/>
  <c r="AD527" i="1" s="1"/>
  <c r="BF527" i="1"/>
  <c r="BD527" i="1"/>
  <c r="AX527" i="1"/>
  <c r="AW527" i="1"/>
  <c r="BC527" i="1" s="1"/>
  <c r="AV527" i="1"/>
  <c r="AP527" i="1"/>
  <c r="AO527" i="1"/>
  <c r="AL527" i="1"/>
  <c r="AK527" i="1"/>
  <c r="AJ527" i="1"/>
  <c r="AH527" i="1"/>
  <c r="AG527" i="1"/>
  <c r="AF527" i="1"/>
  <c r="AC527" i="1"/>
  <c r="AB527" i="1"/>
  <c r="Z527" i="1"/>
  <c r="J527" i="1"/>
  <c r="I527" i="1"/>
  <c r="H527" i="1"/>
  <c r="BJ523" i="1"/>
  <c r="BI523" i="1"/>
  <c r="AE523" i="1" s="1"/>
  <c r="BF523" i="1"/>
  <c r="BD523" i="1"/>
  <c r="AX523" i="1"/>
  <c r="AW523" i="1"/>
  <c r="AP523" i="1"/>
  <c r="AO523" i="1"/>
  <c r="BH523" i="1" s="1"/>
  <c r="AL523" i="1"/>
  <c r="AK523" i="1"/>
  <c r="AT522" i="1" s="1"/>
  <c r="AJ523" i="1"/>
  <c r="AH523" i="1"/>
  <c r="AG523" i="1"/>
  <c r="AF523" i="1"/>
  <c r="AD523" i="1"/>
  <c r="AC523" i="1"/>
  <c r="AB523" i="1"/>
  <c r="Z523" i="1"/>
  <c r="J523" i="1"/>
  <c r="I523" i="1"/>
  <c r="H523" i="1"/>
  <c r="H522" i="1" s="1"/>
  <c r="AU522" i="1"/>
  <c r="J522" i="1"/>
  <c r="BJ520" i="1"/>
  <c r="Z520" i="1" s="1"/>
  <c r="BF520" i="1"/>
  <c r="BD520" i="1"/>
  <c r="AX520" i="1"/>
  <c r="AP520" i="1"/>
  <c r="BI520" i="1" s="1"/>
  <c r="AO520" i="1"/>
  <c r="BH520" i="1" s="1"/>
  <c r="AL520" i="1"/>
  <c r="AK520" i="1"/>
  <c r="AT507" i="1" s="1"/>
  <c r="C26" i="12" s="1"/>
  <c r="F26" i="12" s="1"/>
  <c r="AJ520" i="1"/>
  <c r="AH520" i="1"/>
  <c r="AG520" i="1"/>
  <c r="AF520" i="1"/>
  <c r="AE520" i="1"/>
  <c r="AD520" i="1"/>
  <c r="AC520" i="1"/>
  <c r="AB520" i="1"/>
  <c r="J520" i="1"/>
  <c r="I520" i="1"/>
  <c r="H520" i="1"/>
  <c r="BJ517" i="1"/>
  <c r="BF517" i="1"/>
  <c r="BD517" i="1"/>
  <c r="AP517" i="1"/>
  <c r="BI517" i="1" s="1"/>
  <c r="AO517" i="1"/>
  <c r="AL517" i="1"/>
  <c r="AK517" i="1"/>
  <c r="AJ517" i="1"/>
  <c r="AH517" i="1"/>
  <c r="AG517" i="1"/>
  <c r="AF517" i="1"/>
  <c r="AE517" i="1"/>
  <c r="AC517" i="1"/>
  <c r="AB517" i="1"/>
  <c r="Z517" i="1"/>
  <c r="J517" i="1"/>
  <c r="I517" i="1"/>
  <c r="BJ513" i="1"/>
  <c r="BF513" i="1"/>
  <c r="BD513" i="1"/>
  <c r="AP513" i="1"/>
  <c r="AO513" i="1"/>
  <c r="AK513" i="1"/>
  <c r="AJ513" i="1"/>
  <c r="AH513" i="1"/>
  <c r="AG513" i="1"/>
  <c r="AF513" i="1"/>
  <c r="AC513" i="1"/>
  <c r="AB513" i="1"/>
  <c r="Z513" i="1"/>
  <c r="J513" i="1"/>
  <c r="BJ508" i="1"/>
  <c r="BH508" i="1"/>
  <c r="AD508" i="1" s="1"/>
  <c r="BF508" i="1"/>
  <c r="BD508" i="1"/>
  <c r="AW508" i="1"/>
  <c r="AP508" i="1"/>
  <c r="AO508" i="1"/>
  <c r="AK508" i="1"/>
  <c r="AJ508" i="1"/>
  <c r="AH508" i="1"/>
  <c r="AG508" i="1"/>
  <c r="C19" i="12" s="1"/>
  <c r="AF508" i="1"/>
  <c r="AC508" i="1"/>
  <c r="AB508" i="1"/>
  <c r="Z508" i="1"/>
  <c r="J508" i="1"/>
  <c r="AL508" i="1" s="1"/>
  <c r="H508" i="1"/>
  <c r="AS507" i="1"/>
  <c r="BJ504" i="1"/>
  <c r="BF504" i="1"/>
  <c r="BD504" i="1"/>
  <c r="AP504" i="1"/>
  <c r="BI504" i="1" s="1"/>
  <c r="AC504" i="1" s="1"/>
  <c r="AO504" i="1"/>
  <c r="AL504" i="1"/>
  <c r="AU503" i="1" s="1"/>
  <c r="AK504" i="1"/>
  <c r="AJ504" i="1"/>
  <c r="AH504" i="1"/>
  <c r="AG504" i="1"/>
  <c r="AF504" i="1"/>
  <c r="AE504" i="1"/>
  <c r="AD504" i="1"/>
  <c r="Z504" i="1"/>
  <c r="J504" i="1"/>
  <c r="I504" i="1"/>
  <c r="I503" i="1" s="1"/>
  <c r="AT503" i="1"/>
  <c r="AS503" i="1"/>
  <c r="J503" i="1"/>
  <c r="BJ501" i="1"/>
  <c r="BF501" i="1"/>
  <c r="BD501" i="1"/>
  <c r="AP501" i="1"/>
  <c r="AO501" i="1"/>
  <c r="AK501" i="1"/>
  <c r="AJ501" i="1"/>
  <c r="AH501" i="1"/>
  <c r="AG501" i="1"/>
  <c r="AF501" i="1"/>
  <c r="AE501" i="1"/>
  <c r="AD501" i="1"/>
  <c r="AC501" i="1"/>
  <c r="AB501" i="1"/>
  <c r="Z501" i="1"/>
  <c r="J501" i="1"/>
  <c r="AL501" i="1" s="1"/>
  <c r="BJ499" i="1"/>
  <c r="BH499" i="1"/>
  <c r="AD499" i="1" s="1"/>
  <c r="BF499" i="1"/>
  <c r="BD499" i="1"/>
  <c r="AW499" i="1"/>
  <c r="AP499" i="1"/>
  <c r="AO499" i="1"/>
  <c r="AK499" i="1"/>
  <c r="AJ499" i="1"/>
  <c r="AH499" i="1"/>
  <c r="AG499" i="1"/>
  <c r="AF499" i="1"/>
  <c r="AC499" i="1"/>
  <c r="AB499" i="1"/>
  <c r="Z499" i="1"/>
  <c r="J499" i="1"/>
  <c r="AL499" i="1" s="1"/>
  <c r="H499" i="1"/>
  <c r="BJ497" i="1"/>
  <c r="BI497" i="1"/>
  <c r="AE497" i="1" s="1"/>
  <c r="BH497" i="1"/>
  <c r="AD497" i="1" s="1"/>
  <c r="BF497" i="1"/>
  <c r="BD497" i="1"/>
  <c r="AX497" i="1"/>
  <c r="AW497" i="1"/>
  <c r="AP497" i="1"/>
  <c r="AO497" i="1"/>
  <c r="AL497" i="1"/>
  <c r="AK497" i="1"/>
  <c r="AJ497" i="1"/>
  <c r="AH497" i="1"/>
  <c r="AG497" i="1"/>
  <c r="AF497" i="1"/>
  <c r="AC497" i="1"/>
  <c r="AB497" i="1"/>
  <c r="Z497" i="1"/>
  <c r="J497" i="1"/>
  <c r="I497" i="1"/>
  <c r="H497" i="1"/>
  <c r="BJ495" i="1"/>
  <c r="BI495" i="1"/>
  <c r="AE495" i="1" s="1"/>
  <c r="BF495" i="1"/>
  <c r="BD495" i="1"/>
  <c r="AX495" i="1"/>
  <c r="AW495" i="1"/>
  <c r="AP495" i="1"/>
  <c r="AO495" i="1"/>
  <c r="BH495" i="1" s="1"/>
  <c r="AL495" i="1"/>
  <c r="AK495" i="1"/>
  <c r="AJ495" i="1"/>
  <c r="AH495" i="1"/>
  <c r="AG495" i="1"/>
  <c r="AF495" i="1"/>
  <c r="AD495" i="1"/>
  <c r="AC495" i="1"/>
  <c r="AB495" i="1"/>
  <c r="Z495" i="1"/>
  <c r="J495" i="1"/>
  <c r="I495" i="1"/>
  <c r="H495" i="1"/>
  <c r="BJ493" i="1"/>
  <c r="BF493" i="1"/>
  <c r="BD493" i="1"/>
  <c r="AX493" i="1"/>
  <c r="AP493" i="1"/>
  <c r="BI493" i="1" s="1"/>
  <c r="AE493" i="1" s="1"/>
  <c r="AO493" i="1"/>
  <c r="BH493" i="1" s="1"/>
  <c r="AL493" i="1"/>
  <c r="AK493" i="1"/>
  <c r="AJ493" i="1"/>
  <c r="AH493" i="1"/>
  <c r="AG493" i="1"/>
  <c r="AF493" i="1"/>
  <c r="AD493" i="1"/>
  <c r="AC493" i="1"/>
  <c r="AB493" i="1"/>
  <c r="Z493" i="1"/>
  <c r="J493" i="1"/>
  <c r="I493" i="1"/>
  <c r="H493" i="1"/>
  <c r="BJ491" i="1"/>
  <c r="BF491" i="1"/>
  <c r="BD491" i="1"/>
  <c r="AP491" i="1"/>
  <c r="BI491" i="1" s="1"/>
  <c r="AO491" i="1"/>
  <c r="AL491" i="1"/>
  <c r="AK491" i="1"/>
  <c r="AJ491" i="1"/>
  <c r="AH491" i="1"/>
  <c r="AG491" i="1"/>
  <c r="AF491" i="1"/>
  <c r="AE491" i="1"/>
  <c r="AC491" i="1"/>
  <c r="AB491" i="1"/>
  <c r="Z491" i="1"/>
  <c r="J491" i="1"/>
  <c r="I491" i="1"/>
  <c r="BJ489" i="1"/>
  <c r="BH489" i="1"/>
  <c r="AD489" i="1" s="1"/>
  <c r="BF489" i="1"/>
  <c r="BD489" i="1"/>
  <c r="AP489" i="1"/>
  <c r="AO489" i="1"/>
  <c r="AK489" i="1"/>
  <c r="AJ489" i="1"/>
  <c r="AH489" i="1"/>
  <c r="AG489" i="1"/>
  <c r="AF489" i="1"/>
  <c r="AC489" i="1"/>
  <c r="AB489" i="1"/>
  <c r="Z489" i="1"/>
  <c r="J489" i="1"/>
  <c r="AL489" i="1" s="1"/>
  <c r="BJ487" i="1"/>
  <c r="BH487" i="1"/>
  <c r="AD487" i="1" s="1"/>
  <c r="BF487" i="1"/>
  <c r="BD487" i="1"/>
  <c r="AW487" i="1"/>
  <c r="AP487" i="1"/>
  <c r="AO487" i="1"/>
  <c r="AK487" i="1"/>
  <c r="AJ487" i="1"/>
  <c r="AS470" i="1" s="1"/>
  <c r="AH487" i="1"/>
  <c r="AG487" i="1"/>
  <c r="AF487" i="1"/>
  <c r="AC487" i="1"/>
  <c r="AB487" i="1"/>
  <c r="Z487" i="1"/>
  <c r="J487" i="1"/>
  <c r="AL487" i="1" s="1"/>
  <c r="H487" i="1"/>
  <c r="BJ484" i="1"/>
  <c r="BI484" i="1"/>
  <c r="AE484" i="1" s="1"/>
  <c r="BH484" i="1"/>
  <c r="AD484" i="1" s="1"/>
  <c r="BF484" i="1"/>
  <c r="BD484" i="1"/>
  <c r="AX484" i="1"/>
  <c r="AW484" i="1"/>
  <c r="BC484" i="1" s="1"/>
  <c r="AV484" i="1"/>
  <c r="AP484" i="1"/>
  <c r="AO484" i="1"/>
  <c r="AL484" i="1"/>
  <c r="AK484" i="1"/>
  <c r="AJ484" i="1"/>
  <c r="AH484" i="1"/>
  <c r="AG484" i="1"/>
  <c r="AF484" i="1"/>
  <c r="AC484" i="1"/>
  <c r="AB484" i="1"/>
  <c r="Z484" i="1"/>
  <c r="J484" i="1"/>
  <c r="I484" i="1"/>
  <c r="H484" i="1"/>
  <c r="BJ481" i="1"/>
  <c r="BI481" i="1"/>
  <c r="BF481" i="1"/>
  <c r="BD481" i="1"/>
  <c r="BC481" i="1"/>
  <c r="AX481" i="1"/>
  <c r="AW481" i="1"/>
  <c r="AV481" i="1" s="1"/>
  <c r="AP481" i="1"/>
  <c r="AO481" i="1"/>
  <c r="BH481" i="1" s="1"/>
  <c r="AL481" i="1"/>
  <c r="AK481" i="1"/>
  <c r="AJ481" i="1"/>
  <c r="AH481" i="1"/>
  <c r="AG481" i="1"/>
  <c r="AF481" i="1"/>
  <c r="AE481" i="1"/>
  <c r="AD481" i="1"/>
  <c r="AC481" i="1"/>
  <c r="AB481" i="1"/>
  <c r="Z481" i="1"/>
  <c r="J481" i="1"/>
  <c r="I481" i="1"/>
  <c r="H481" i="1"/>
  <c r="BJ478" i="1"/>
  <c r="BF478" i="1"/>
  <c r="BD478" i="1"/>
  <c r="AX478" i="1"/>
  <c r="AP478" i="1"/>
  <c r="BI478" i="1" s="1"/>
  <c r="AE478" i="1" s="1"/>
  <c r="AO478" i="1"/>
  <c r="AL478" i="1"/>
  <c r="AK478" i="1"/>
  <c r="AT470" i="1" s="1"/>
  <c r="AJ478" i="1"/>
  <c r="AH478" i="1"/>
  <c r="AG478" i="1"/>
  <c r="AF478" i="1"/>
  <c r="AC478" i="1"/>
  <c r="AB478" i="1"/>
  <c r="Z478" i="1"/>
  <c r="J478" i="1"/>
  <c r="I478" i="1"/>
  <c r="H478" i="1"/>
  <c r="BJ475" i="1"/>
  <c r="BF475" i="1"/>
  <c r="BD475" i="1"/>
  <c r="AP475" i="1"/>
  <c r="AO475" i="1"/>
  <c r="AL475" i="1"/>
  <c r="AK475" i="1"/>
  <c r="AJ475" i="1"/>
  <c r="AH475" i="1"/>
  <c r="AG475" i="1"/>
  <c r="AF475" i="1"/>
  <c r="AC475" i="1"/>
  <c r="AB475" i="1"/>
  <c r="Z475" i="1"/>
  <c r="J475" i="1"/>
  <c r="I475" i="1"/>
  <c r="BJ471" i="1"/>
  <c r="BH471" i="1"/>
  <c r="AD471" i="1" s="1"/>
  <c r="BF471" i="1"/>
  <c r="BD471" i="1"/>
  <c r="AP471" i="1"/>
  <c r="AO471" i="1"/>
  <c r="AK471" i="1"/>
  <c r="AJ471" i="1"/>
  <c r="AH471" i="1"/>
  <c r="AG471" i="1"/>
  <c r="AF471" i="1"/>
  <c r="AC471" i="1"/>
  <c r="AB471" i="1"/>
  <c r="Z471" i="1"/>
  <c r="J471" i="1"/>
  <c r="AL471" i="1" s="1"/>
  <c r="BJ468" i="1"/>
  <c r="BH468" i="1"/>
  <c r="BF468" i="1"/>
  <c r="BD468" i="1"/>
  <c r="AW468" i="1"/>
  <c r="AP468" i="1"/>
  <c r="AO468" i="1"/>
  <c r="AK468" i="1"/>
  <c r="AJ468" i="1"/>
  <c r="AH468" i="1"/>
  <c r="AG468" i="1"/>
  <c r="AF468" i="1"/>
  <c r="AE468" i="1"/>
  <c r="AD468" i="1"/>
  <c r="AC468" i="1"/>
  <c r="AB468" i="1"/>
  <c r="Z468" i="1"/>
  <c r="J468" i="1"/>
  <c r="AL468" i="1" s="1"/>
  <c r="H468" i="1"/>
  <c r="BJ462" i="1"/>
  <c r="BI462" i="1"/>
  <c r="AE462" i="1" s="1"/>
  <c r="BH462" i="1"/>
  <c r="BF462" i="1"/>
  <c r="BD462" i="1"/>
  <c r="AX462" i="1"/>
  <c r="AW462" i="1"/>
  <c r="BC462" i="1" s="1"/>
  <c r="AV462" i="1"/>
  <c r="AP462" i="1"/>
  <c r="AO462" i="1"/>
  <c r="AL462" i="1"/>
  <c r="AK462" i="1"/>
  <c r="AJ462" i="1"/>
  <c r="AH462" i="1"/>
  <c r="AG462" i="1"/>
  <c r="AF462" i="1"/>
  <c r="AD462" i="1"/>
  <c r="AC462" i="1"/>
  <c r="AB462" i="1"/>
  <c r="Z462" i="1"/>
  <c r="J462" i="1"/>
  <c r="I462" i="1"/>
  <c r="H462" i="1"/>
  <c r="BJ457" i="1"/>
  <c r="BI457" i="1"/>
  <c r="BF457" i="1"/>
  <c r="BD457" i="1"/>
  <c r="AX457" i="1"/>
  <c r="BC457" i="1" s="1"/>
  <c r="AW457" i="1"/>
  <c r="AP457" i="1"/>
  <c r="AO457" i="1"/>
  <c r="BH457" i="1" s="1"/>
  <c r="AL457" i="1"/>
  <c r="AK457" i="1"/>
  <c r="AJ457" i="1"/>
  <c r="AS451" i="1" s="1"/>
  <c r="AH457" i="1"/>
  <c r="AG457" i="1"/>
  <c r="AF457" i="1"/>
  <c r="AE457" i="1"/>
  <c r="AD457" i="1"/>
  <c r="AC457" i="1"/>
  <c r="AB457" i="1"/>
  <c r="Z457" i="1"/>
  <c r="J457" i="1"/>
  <c r="I457" i="1"/>
  <c r="H457" i="1"/>
  <c r="BJ452" i="1"/>
  <c r="BF452" i="1"/>
  <c r="BD452" i="1"/>
  <c r="AX452" i="1"/>
  <c r="AP452" i="1"/>
  <c r="BI452" i="1" s="1"/>
  <c r="AE452" i="1" s="1"/>
  <c r="AO452" i="1"/>
  <c r="AK452" i="1"/>
  <c r="AJ452" i="1"/>
  <c r="AH452" i="1"/>
  <c r="AG452" i="1"/>
  <c r="AF452" i="1"/>
  <c r="AC452" i="1"/>
  <c r="AB452" i="1"/>
  <c r="Z452" i="1"/>
  <c r="J452" i="1"/>
  <c r="I452" i="1"/>
  <c r="BJ450" i="1"/>
  <c r="BF450" i="1"/>
  <c r="BD450" i="1"/>
  <c r="AP450" i="1"/>
  <c r="AO450" i="1"/>
  <c r="AK450" i="1"/>
  <c r="AJ450" i="1"/>
  <c r="AH450" i="1"/>
  <c r="AG450" i="1"/>
  <c r="AF450" i="1"/>
  <c r="AE450" i="1"/>
  <c r="AD450" i="1"/>
  <c r="AC450" i="1"/>
  <c r="AB450" i="1"/>
  <c r="Z450" i="1"/>
  <c r="J450" i="1"/>
  <c r="AL450" i="1" s="1"/>
  <c r="I450" i="1"/>
  <c r="BJ444" i="1"/>
  <c r="BH444" i="1"/>
  <c r="BF444" i="1"/>
  <c r="BD444" i="1"/>
  <c r="AP444" i="1"/>
  <c r="AO444" i="1"/>
  <c r="AK444" i="1"/>
  <c r="AJ444" i="1"/>
  <c r="AH444" i="1"/>
  <c r="C20" i="10" s="1"/>
  <c r="AG444" i="1"/>
  <c r="C19" i="10" s="1"/>
  <c r="AF444" i="1"/>
  <c r="AE444" i="1"/>
  <c r="AD444" i="1"/>
  <c r="AB444" i="1"/>
  <c r="Z444" i="1"/>
  <c r="J444" i="1"/>
  <c r="AT443" i="1"/>
  <c r="AS443" i="1"/>
  <c r="BJ439" i="1"/>
  <c r="BI439" i="1"/>
  <c r="AG439" i="1" s="1"/>
  <c r="BF439" i="1"/>
  <c r="BD439" i="1"/>
  <c r="AX439" i="1"/>
  <c r="AW439" i="1"/>
  <c r="AP439" i="1"/>
  <c r="AO439" i="1"/>
  <c r="BH439" i="1" s="1"/>
  <c r="AK439" i="1"/>
  <c r="AT438" i="1" s="1"/>
  <c r="AJ439" i="1"/>
  <c r="AS438" i="1" s="1"/>
  <c r="AH439" i="1"/>
  <c r="AF439" i="1"/>
  <c r="AE439" i="1"/>
  <c r="AD439" i="1"/>
  <c r="AC439" i="1"/>
  <c r="AB439" i="1"/>
  <c r="Z439" i="1"/>
  <c r="J439" i="1"/>
  <c r="I439" i="1"/>
  <c r="H439" i="1"/>
  <c r="I438" i="1"/>
  <c r="H438" i="1"/>
  <c r="BJ436" i="1"/>
  <c r="BF436" i="1"/>
  <c r="BD436" i="1"/>
  <c r="AP436" i="1"/>
  <c r="AO436" i="1"/>
  <c r="AL436" i="1"/>
  <c r="AU435" i="1" s="1"/>
  <c r="AK436" i="1"/>
  <c r="AT435" i="1" s="1"/>
  <c r="AJ436" i="1"/>
  <c r="AH436" i="1"/>
  <c r="AE436" i="1"/>
  <c r="AD436" i="1"/>
  <c r="AC436" i="1"/>
  <c r="AB436" i="1"/>
  <c r="Z436" i="1"/>
  <c r="J436" i="1"/>
  <c r="H436" i="1"/>
  <c r="H435" i="1" s="1"/>
  <c r="AS435" i="1"/>
  <c r="J435" i="1"/>
  <c r="BJ423" i="1"/>
  <c r="BF423" i="1"/>
  <c r="BD423" i="1"/>
  <c r="AP423" i="1"/>
  <c r="AO423" i="1"/>
  <c r="AL423" i="1"/>
  <c r="AK423" i="1"/>
  <c r="AJ423" i="1"/>
  <c r="AH423" i="1"/>
  <c r="AG423" i="1"/>
  <c r="AF423" i="1"/>
  <c r="AC423" i="1"/>
  <c r="AB423" i="1"/>
  <c r="Z423" i="1"/>
  <c r="J423" i="1"/>
  <c r="J422" i="1" s="1"/>
  <c r="I423" i="1"/>
  <c r="I422" i="1" s="1"/>
  <c r="AU422" i="1"/>
  <c r="AT422" i="1"/>
  <c r="AS422" i="1"/>
  <c r="BJ419" i="1"/>
  <c r="BF419" i="1"/>
  <c r="BD419" i="1"/>
  <c r="AP419" i="1"/>
  <c r="AO419" i="1"/>
  <c r="AK419" i="1"/>
  <c r="AJ419" i="1"/>
  <c r="AH419" i="1"/>
  <c r="AG419" i="1"/>
  <c r="AF419" i="1"/>
  <c r="AC419" i="1"/>
  <c r="AB419" i="1"/>
  <c r="Z419" i="1"/>
  <c r="J419" i="1"/>
  <c r="AL419" i="1" s="1"/>
  <c r="AU418" i="1"/>
  <c r="AT418" i="1"/>
  <c r="AS418" i="1"/>
  <c r="BJ416" i="1"/>
  <c r="Z416" i="1" s="1"/>
  <c r="BI416" i="1"/>
  <c r="BH416" i="1"/>
  <c r="BF416" i="1"/>
  <c r="BD416" i="1"/>
  <c r="AX416" i="1"/>
  <c r="AW416" i="1"/>
  <c r="AP416" i="1"/>
  <c r="AO416" i="1"/>
  <c r="AL416" i="1"/>
  <c r="AK416" i="1"/>
  <c r="AJ416" i="1"/>
  <c r="AH416" i="1"/>
  <c r="AG416" i="1"/>
  <c r="AF416" i="1"/>
  <c r="AE416" i="1"/>
  <c r="AD416" i="1"/>
  <c r="AC416" i="1"/>
  <c r="AB416" i="1"/>
  <c r="J416" i="1"/>
  <c r="I416" i="1"/>
  <c r="H416" i="1"/>
  <c r="BJ413" i="1"/>
  <c r="BF413" i="1"/>
  <c r="BD413" i="1"/>
  <c r="AX413" i="1"/>
  <c r="AP413" i="1"/>
  <c r="BI413" i="1" s="1"/>
  <c r="AE413" i="1" s="1"/>
  <c r="AO413" i="1"/>
  <c r="BH413" i="1" s="1"/>
  <c r="AL413" i="1"/>
  <c r="AK413" i="1"/>
  <c r="AJ413" i="1"/>
  <c r="AH413" i="1"/>
  <c r="AG413" i="1"/>
  <c r="AF413" i="1"/>
  <c r="AD413" i="1"/>
  <c r="AC413" i="1"/>
  <c r="AB413" i="1"/>
  <c r="Z413" i="1"/>
  <c r="J413" i="1"/>
  <c r="I413" i="1"/>
  <c r="H413" i="1"/>
  <c r="BJ409" i="1"/>
  <c r="BF409" i="1"/>
  <c r="BD409" i="1"/>
  <c r="AP409" i="1"/>
  <c r="BI409" i="1" s="1"/>
  <c r="AO409" i="1"/>
  <c r="AL409" i="1"/>
  <c r="AK409" i="1"/>
  <c r="AJ409" i="1"/>
  <c r="AH409" i="1"/>
  <c r="AG409" i="1"/>
  <c r="AF409" i="1"/>
  <c r="AE409" i="1"/>
  <c r="AC409" i="1"/>
  <c r="AB409" i="1"/>
  <c r="Z409" i="1"/>
  <c r="J409" i="1"/>
  <c r="I409" i="1"/>
  <c r="BJ405" i="1"/>
  <c r="BF405" i="1"/>
  <c r="BD405" i="1"/>
  <c r="AP405" i="1"/>
  <c r="AO405" i="1"/>
  <c r="AK405" i="1"/>
  <c r="AJ405" i="1"/>
  <c r="AH405" i="1"/>
  <c r="AG405" i="1"/>
  <c r="AF405" i="1"/>
  <c r="AC405" i="1"/>
  <c r="AB405" i="1"/>
  <c r="Z405" i="1"/>
  <c r="J405" i="1"/>
  <c r="BJ401" i="1"/>
  <c r="BH401" i="1"/>
  <c r="AD401" i="1" s="1"/>
  <c r="BF401" i="1"/>
  <c r="BD401" i="1"/>
  <c r="AW401" i="1"/>
  <c r="AP401" i="1"/>
  <c r="AO401" i="1"/>
  <c r="AL401" i="1"/>
  <c r="AK401" i="1"/>
  <c r="AJ401" i="1"/>
  <c r="AH401" i="1"/>
  <c r="AG401" i="1"/>
  <c r="AF401" i="1"/>
  <c r="AC401" i="1"/>
  <c r="AB401" i="1"/>
  <c r="Z401" i="1"/>
  <c r="J401" i="1"/>
  <c r="H401" i="1"/>
  <c r="BJ397" i="1"/>
  <c r="BI397" i="1"/>
  <c r="AE397" i="1" s="1"/>
  <c r="BH397" i="1"/>
  <c r="AD397" i="1" s="1"/>
  <c r="BF397" i="1"/>
  <c r="BD397" i="1"/>
  <c r="AX397" i="1"/>
  <c r="AW397" i="1"/>
  <c r="BC397" i="1" s="1"/>
  <c r="AP397" i="1"/>
  <c r="AO397" i="1"/>
  <c r="AL397" i="1"/>
  <c r="AK397" i="1"/>
  <c r="AJ397" i="1"/>
  <c r="AH397" i="1"/>
  <c r="AG397" i="1"/>
  <c r="AF397" i="1"/>
  <c r="AC397" i="1"/>
  <c r="AB397" i="1"/>
  <c r="Z397" i="1"/>
  <c r="J397" i="1"/>
  <c r="I397" i="1"/>
  <c r="H397" i="1"/>
  <c r="BJ394" i="1"/>
  <c r="BI394" i="1"/>
  <c r="AE394" i="1" s="1"/>
  <c r="BF394" i="1"/>
  <c r="BD394" i="1"/>
  <c r="AX394" i="1"/>
  <c r="AW394" i="1"/>
  <c r="AP394" i="1"/>
  <c r="AO394" i="1"/>
  <c r="BH394" i="1" s="1"/>
  <c r="AD394" i="1" s="1"/>
  <c r="AL394" i="1"/>
  <c r="AK394" i="1"/>
  <c r="AJ394" i="1"/>
  <c r="AS390" i="1" s="1"/>
  <c r="AH394" i="1"/>
  <c r="AG394" i="1"/>
  <c r="AF394" i="1"/>
  <c r="AC394" i="1"/>
  <c r="AB394" i="1"/>
  <c r="Z394" i="1"/>
  <c r="J394" i="1"/>
  <c r="I394" i="1"/>
  <c r="H394" i="1"/>
  <c r="BJ391" i="1"/>
  <c r="BF391" i="1"/>
  <c r="BD391" i="1"/>
  <c r="AX391" i="1"/>
  <c r="AP391" i="1"/>
  <c r="BI391" i="1" s="1"/>
  <c r="AO391" i="1"/>
  <c r="BH391" i="1" s="1"/>
  <c r="AL391" i="1"/>
  <c r="AK391" i="1"/>
  <c r="AT390" i="1" s="1"/>
  <c r="AJ391" i="1"/>
  <c r="AH391" i="1"/>
  <c r="AG391" i="1"/>
  <c r="AF391" i="1"/>
  <c r="AE391" i="1"/>
  <c r="AD391" i="1"/>
  <c r="AC391" i="1"/>
  <c r="AB391" i="1"/>
  <c r="Z391" i="1"/>
  <c r="J391" i="1"/>
  <c r="I391" i="1"/>
  <c r="H391" i="1"/>
  <c r="BJ388" i="1"/>
  <c r="BF388" i="1"/>
  <c r="BD388" i="1"/>
  <c r="AP388" i="1"/>
  <c r="BI388" i="1" s="1"/>
  <c r="AO388" i="1"/>
  <c r="AK388" i="1"/>
  <c r="AJ388" i="1"/>
  <c r="AH388" i="1"/>
  <c r="AG388" i="1"/>
  <c r="AF388" i="1"/>
  <c r="AE388" i="1"/>
  <c r="AD388" i="1"/>
  <c r="AC388" i="1"/>
  <c r="AB388" i="1"/>
  <c r="Z388" i="1"/>
  <c r="J388" i="1"/>
  <c r="AL388" i="1" s="1"/>
  <c r="I388" i="1"/>
  <c r="BJ384" i="1"/>
  <c r="BF384" i="1"/>
  <c r="BD384" i="1"/>
  <c r="AP384" i="1"/>
  <c r="AO384" i="1"/>
  <c r="AK384" i="1"/>
  <c r="AJ384" i="1"/>
  <c r="AH384" i="1"/>
  <c r="AG384" i="1"/>
  <c r="AF384" i="1"/>
  <c r="AC384" i="1"/>
  <c r="AB384" i="1"/>
  <c r="Z384" i="1"/>
  <c r="J384" i="1"/>
  <c r="AL384" i="1" s="1"/>
  <c r="BJ382" i="1"/>
  <c r="BH382" i="1"/>
  <c r="AD382" i="1" s="1"/>
  <c r="BF382" i="1"/>
  <c r="BD382" i="1"/>
  <c r="AW382" i="1"/>
  <c r="AP382" i="1"/>
  <c r="AO382" i="1"/>
  <c r="AL382" i="1"/>
  <c r="AK382" i="1"/>
  <c r="AJ382" i="1"/>
  <c r="AH382" i="1"/>
  <c r="AG382" i="1"/>
  <c r="AF382" i="1"/>
  <c r="AC382" i="1"/>
  <c r="AB382" i="1"/>
  <c r="Z382" i="1"/>
  <c r="J382" i="1"/>
  <c r="H382" i="1"/>
  <c r="BJ379" i="1"/>
  <c r="BI379" i="1"/>
  <c r="AE379" i="1" s="1"/>
  <c r="BH379" i="1"/>
  <c r="AD379" i="1" s="1"/>
  <c r="BF379" i="1"/>
  <c r="BD379" i="1"/>
  <c r="AX379" i="1"/>
  <c r="AW379" i="1"/>
  <c r="BC379" i="1" s="1"/>
  <c r="AV379" i="1"/>
  <c r="AP379" i="1"/>
  <c r="AO379" i="1"/>
  <c r="AL379" i="1"/>
  <c r="AK379" i="1"/>
  <c r="AJ379" i="1"/>
  <c r="AH379" i="1"/>
  <c r="AG379" i="1"/>
  <c r="AF379" i="1"/>
  <c r="AC379" i="1"/>
  <c r="AB379" i="1"/>
  <c r="Z379" i="1"/>
  <c r="J379" i="1"/>
  <c r="I379" i="1"/>
  <c r="H379" i="1"/>
  <c r="BJ376" i="1"/>
  <c r="BI376" i="1"/>
  <c r="AE376" i="1" s="1"/>
  <c r="BF376" i="1"/>
  <c r="BD376" i="1"/>
  <c r="AX376" i="1"/>
  <c r="AW376" i="1"/>
  <c r="AP376" i="1"/>
  <c r="AO376" i="1"/>
  <c r="BH376" i="1" s="1"/>
  <c r="AL376" i="1"/>
  <c r="AK376" i="1"/>
  <c r="AJ376" i="1"/>
  <c r="AH376" i="1"/>
  <c r="AG376" i="1"/>
  <c r="AF376" i="1"/>
  <c r="AD376" i="1"/>
  <c r="AC376" i="1"/>
  <c r="AB376" i="1"/>
  <c r="Z376" i="1"/>
  <c r="J376" i="1"/>
  <c r="I376" i="1"/>
  <c r="H376" i="1"/>
  <c r="BJ372" i="1"/>
  <c r="BF372" i="1"/>
  <c r="BD372" i="1"/>
  <c r="AX372" i="1"/>
  <c r="AP372" i="1"/>
  <c r="BI372" i="1" s="1"/>
  <c r="AE372" i="1" s="1"/>
  <c r="AO372" i="1"/>
  <c r="BH372" i="1" s="1"/>
  <c r="AD372" i="1" s="1"/>
  <c r="AL372" i="1"/>
  <c r="AK372" i="1"/>
  <c r="AJ372" i="1"/>
  <c r="AH372" i="1"/>
  <c r="AG372" i="1"/>
  <c r="AF372" i="1"/>
  <c r="AC372" i="1"/>
  <c r="AB372" i="1"/>
  <c r="Z372" i="1"/>
  <c r="J372" i="1"/>
  <c r="I372" i="1"/>
  <c r="H372" i="1"/>
  <c r="BJ368" i="1"/>
  <c r="BF368" i="1"/>
  <c r="BD368" i="1"/>
  <c r="AP368" i="1"/>
  <c r="BI368" i="1" s="1"/>
  <c r="AO368" i="1"/>
  <c r="AL368" i="1"/>
  <c r="AK368" i="1"/>
  <c r="AJ368" i="1"/>
  <c r="AH368" i="1"/>
  <c r="AG368" i="1"/>
  <c r="AF368" i="1"/>
  <c r="AE368" i="1"/>
  <c r="AC368" i="1"/>
  <c r="AB368" i="1"/>
  <c r="Z368" i="1"/>
  <c r="J368" i="1"/>
  <c r="I368" i="1"/>
  <c r="BJ366" i="1"/>
  <c r="BF366" i="1"/>
  <c r="BD366" i="1"/>
  <c r="AP366" i="1"/>
  <c r="AO366" i="1"/>
  <c r="AK366" i="1"/>
  <c r="AJ366" i="1"/>
  <c r="AH366" i="1"/>
  <c r="AG366" i="1"/>
  <c r="AF366" i="1"/>
  <c r="AC366" i="1"/>
  <c r="AB366" i="1"/>
  <c r="Z366" i="1"/>
  <c r="J366" i="1"/>
  <c r="AL366" i="1" s="1"/>
  <c r="BJ363" i="1"/>
  <c r="BH363" i="1"/>
  <c r="AD363" i="1" s="1"/>
  <c r="BF363" i="1"/>
  <c r="BD363" i="1"/>
  <c r="AW363" i="1"/>
  <c r="AP363" i="1"/>
  <c r="AO363" i="1"/>
  <c r="AL363" i="1"/>
  <c r="AK363" i="1"/>
  <c r="AJ363" i="1"/>
  <c r="AH363" i="1"/>
  <c r="AG363" i="1"/>
  <c r="AF363" i="1"/>
  <c r="AC363" i="1"/>
  <c r="AB363" i="1"/>
  <c r="Z363" i="1"/>
  <c r="J363" i="1"/>
  <c r="H363" i="1"/>
  <c r="BJ360" i="1"/>
  <c r="BI360" i="1"/>
  <c r="AE360" i="1" s="1"/>
  <c r="BH360" i="1"/>
  <c r="AD360" i="1" s="1"/>
  <c r="BF360" i="1"/>
  <c r="BD360" i="1"/>
  <c r="AX360" i="1"/>
  <c r="AW360" i="1"/>
  <c r="AP360" i="1"/>
  <c r="AO360" i="1"/>
  <c r="AL360" i="1"/>
  <c r="AK360" i="1"/>
  <c r="AJ360" i="1"/>
  <c r="AH360" i="1"/>
  <c r="AG360" i="1"/>
  <c r="AF360" i="1"/>
  <c r="AC360" i="1"/>
  <c r="AB360" i="1"/>
  <c r="Z360" i="1"/>
  <c r="J360" i="1"/>
  <c r="I360" i="1"/>
  <c r="H360" i="1"/>
  <c r="BJ357" i="1"/>
  <c r="BI357" i="1"/>
  <c r="AE357" i="1" s="1"/>
  <c r="BF357" i="1"/>
  <c r="BD357" i="1"/>
  <c r="AX357" i="1"/>
  <c r="AW357" i="1"/>
  <c r="AP357" i="1"/>
  <c r="AO357" i="1"/>
  <c r="BH357" i="1" s="1"/>
  <c r="AL357" i="1"/>
  <c r="AK357" i="1"/>
  <c r="AJ357" i="1"/>
  <c r="AH357" i="1"/>
  <c r="AG357" i="1"/>
  <c r="AF357" i="1"/>
  <c r="AD357" i="1"/>
  <c r="AC357" i="1"/>
  <c r="AB357" i="1"/>
  <c r="Z357" i="1"/>
  <c r="J357" i="1"/>
  <c r="I357" i="1"/>
  <c r="H357" i="1"/>
  <c r="BJ355" i="1"/>
  <c r="BF355" i="1"/>
  <c r="BD355" i="1"/>
  <c r="AX355" i="1"/>
  <c r="AP355" i="1"/>
  <c r="BI355" i="1" s="1"/>
  <c r="AE355" i="1" s="1"/>
  <c r="AO355" i="1"/>
  <c r="BH355" i="1" s="1"/>
  <c r="AL355" i="1"/>
  <c r="AK355" i="1"/>
  <c r="AJ355" i="1"/>
  <c r="AH355" i="1"/>
  <c r="AG355" i="1"/>
  <c r="AF355" i="1"/>
  <c r="AD355" i="1"/>
  <c r="AC355" i="1"/>
  <c r="AB355" i="1"/>
  <c r="Z355" i="1"/>
  <c r="J355" i="1"/>
  <c r="I355" i="1"/>
  <c r="H355" i="1"/>
  <c r="BJ353" i="1"/>
  <c r="BF353" i="1"/>
  <c r="BD353" i="1"/>
  <c r="AP353" i="1"/>
  <c r="BI353" i="1" s="1"/>
  <c r="AO353" i="1"/>
  <c r="AL353" i="1"/>
  <c r="AK353" i="1"/>
  <c r="AJ353" i="1"/>
  <c r="AH353" i="1"/>
  <c r="AG353" i="1"/>
  <c r="AF353" i="1"/>
  <c r="AE353" i="1"/>
  <c r="AC353" i="1"/>
  <c r="AB353" i="1"/>
  <c r="Z353" i="1"/>
  <c r="J353" i="1"/>
  <c r="I353" i="1"/>
  <c r="BJ351" i="1"/>
  <c r="BF351" i="1"/>
  <c r="BD351" i="1"/>
  <c r="AP351" i="1"/>
  <c r="AO351" i="1"/>
  <c r="AK351" i="1"/>
  <c r="AJ351" i="1"/>
  <c r="AH351" i="1"/>
  <c r="AG351" i="1"/>
  <c r="AF351" i="1"/>
  <c r="AC351" i="1"/>
  <c r="AB351" i="1"/>
  <c r="Z351" i="1"/>
  <c r="J351" i="1"/>
  <c r="AL351" i="1" s="1"/>
  <c r="BJ349" i="1"/>
  <c r="BH349" i="1"/>
  <c r="AD349" i="1" s="1"/>
  <c r="BF349" i="1"/>
  <c r="BD349" i="1"/>
  <c r="AW349" i="1"/>
  <c r="AP349" i="1"/>
  <c r="AO349" i="1"/>
  <c r="AL349" i="1"/>
  <c r="AK349" i="1"/>
  <c r="AJ349" i="1"/>
  <c r="AH349" i="1"/>
  <c r="AG349" i="1"/>
  <c r="AF349" i="1"/>
  <c r="AC349" i="1"/>
  <c r="AB349" i="1"/>
  <c r="Z349" i="1"/>
  <c r="J349" i="1"/>
  <c r="H349" i="1"/>
  <c r="BJ347" i="1"/>
  <c r="BI347" i="1"/>
  <c r="AE347" i="1" s="1"/>
  <c r="BH347" i="1"/>
  <c r="AD347" i="1" s="1"/>
  <c r="BF347" i="1"/>
  <c r="BD347" i="1"/>
  <c r="AX347" i="1"/>
  <c r="AW347" i="1"/>
  <c r="BC347" i="1" s="1"/>
  <c r="AP347" i="1"/>
  <c r="AO347" i="1"/>
  <c r="AL347" i="1"/>
  <c r="AK347" i="1"/>
  <c r="AJ347" i="1"/>
  <c r="AH347" i="1"/>
  <c r="AG347" i="1"/>
  <c r="AF347" i="1"/>
  <c r="AC347" i="1"/>
  <c r="AB347" i="1"/>
  <c r="Z347" i="1"/>
  <c r="J347" i="1"/>
  <c r="I347" i="1"/>
  <c r="H347" i="1"/>
  <c r="BJ345" i="1"/>
  <c r="BI345" i="1"/>
  <c r="AE345" i="1" s="1"/>
  <c r="BF345" i="1"/>
  <c r="BD345" i="1"/>
  <c r="AX345" i="1"/>
  <c r="AW345" i="1"/>
  <c r="AP345" i="1"/>
  <c r="AO345" i="1"/>
  <c r="BH345" i="1" s="1"/>
  <c r="AD345" i="1" s="1"/>
  <c r="AL345" i="1"/>
  <c r="AK345" i="1"/>
  <c r="AJ345" i="1"/>
  <c r="AH345" i="1"/>
  <c r="AG345" i="1"/>
  <c r="AF345" i="1"/>
  <c r="AC345" i="1"/>
  <c r="AB345" i="1"/>
  <c r="Z345" i="1"/>
  <c r="J345" i="1"/>
  <c r="I345" i="1"/>
  <c r="H345" i="1"/>
  <c r="BJ343" i="1"/>
  <c r="BF343" i="1"/>
  <c r="BD343" i="1"/>
  <c r="AX343" i="1"/>
  <c r="AP343" i="1"/>
  <c r="BI343" i="1" s="1"/>
  <c r="AO343" i="1"/>
  <c r="BH343" i="1" s="1"/>
  <c r="AL343" i="1"/>
  <c r="AK343" i="1"/>
  <c r="AJ343" i="1"/>
  <c r="AH343" i="1"/>
  <c r="AG343" i="1"/>
  <c r="AF343" i="1"/>
  <c r="AE343" i="1"/>
  <c r="AD343" i="1"/>
  <c r="AC343" i="1"/>
  <c r="AB343" i="1"/>
  <c r="Z343" i="1"/>
  <c r="J343" i="1"/>
  <c r="I343" i="1"/>
  <c r="H343" i="1"/>
  <c r="BJ341" i="1"/>
  <c r="BF341" i="1"/>
  <c r="BD341" i="1"/>
  <c r="AP341" i="1"/>
  <c r="BI341" i="1" s="1"/>
  <c r="AO341" i="1"/>
  <c r="AL341" i="1"/>
  <c r="AK341" i="1"/>
  <c r="AJ341" i="1"/>
  <c r="AH341" i="1"/>
  <c r="AG341" i="1"/>
  <c r="AF341" i="1"/>
  <c r="AE341" i="1"/>
  <c r="AC341" i="1"/>
  <c r="AB341" i="1"/>
  <c r="Z341" i="1"/>
  <c r="J341" i="1"/>
  <c r="I341" i="1"/>
  <c r="BJ338" i="1"/>
  <c r="BF338" i="1"/>
  <c r="BD338" i="1"/>
  <c r="AP338" i="1"/>
  <c r="AO338" i="1"/>
  <c r="AK338" i="1"/>
  <c r="AJ338" i="1"/>
  <c r="AH338" i="1"/>
  <c r="AG338" i="1"/>
  <c r="AF338" i="1"/>
  <c r="AC338" i="1"/>
  <c r="AB338" i="1"/>
  <c r="Z338" i="1"/>
  <c r="J338" i="1"/>
  <c r="AL338" i="1" s="1"/>
  <c r="BJ335" i="1"/>
  <c r="BH335" i="1"/>
  <c r="AD335" i="1" s="1"/>
  <c r="BF335" i="1"/>
  <c r="BD335" i="1"/>
  <c r="AW335" i="1"/>
  <c r="AP335" i="1"/>
  <c r="AO335" i="1"/>
  <c r="AL335" i="1"/>
  <c r="AK335" i="1"/>
  <c r="AJ335" i="1"/>
  <c r="AH335" i="1"/>
  <c r="AG335" i="1"/>
  <c r="AF335" i="1"/>
  <c r="AC335" i="1"/>
  <c r="AB335" i="1"/>
  <c r="Z335" i="1"/>
  <c r="J335" i="1"/>
  <c r="H335" i="1"/>
  <c r="BJ332" i="1"/>
  <c r="BI332" i="1"/>
  <c r="AE332" i="1" s="1"/>
  <c r="BH332" i="1"/>
  <c r="AD332" i="1" s="1"/>
  <c r="BF332" i="1"/>
  <c r="BD332" i="1"/>
  <c r="AX332" i="1"/>
  <c r="AW332" i="1"/>
  <c r="BC332" i="1" s="1"/>
  <c r="AV332" i="1"/>
  <c r="AP332" i="1"/>
  <c r="AO332" i="1"/>
  <c r="AL332" i="1"/>
  <c r="AK332" i="1"/>
  <c r="AJ332" i="1"/>
  <c r="AH332" i="1"/>
  <c r="AG332" i="1"/>
  <c r="AF332" i="1"/>
  <c r="AC332" i="1"/>
  <c r="AB332" i="1"/>
  <c r="Z332" i="1"/>
  <c r="J332" i="1"/>
  <c r="I332" i="1"/>
  <c r="H332" i="1"/>
  <c r="BJ330" i="1"/>
  <c r="BI330" i="1"/>
  <c r="AE330" i="1" s="1"/>
  <c r="BF330" i="1"/>
  <c r="BD330" i="1"/>
  <c r="AX330" i="1"/>
  <c r="AW330" i="1"/>
  <c r="AP330" i="1"/>
  <c r="AO330" i="1"/>
  <c r="BH330" i="1" s="1"/>
  <c r="AD330" i="1" s="1"/>
  <c r="AL330" i="1"/>
  <c r="AK330" i="1"/>
  <c r="AJ330" i="1"/>
  <c r="AH330" i="1"/>
  <c r="AG330" i="1"/>
  <c r="AF330" i="1"/>
  <c r="AC330" i="1"/>
  <c r="AB330" i="1"/>
  <c r="Z330" i="1"/>
  <c r="J330" i="1"/>
  <c r="I330" i="1"/>
  <c r="H330" i="1"/>
  <c r="BJ327" i="1"/>
  <c r="BF327" i="1"/>
  <c r="BD327" i="1"/>
  <c r="AX327" i="1"/>
  <c r="AP327" i="1"/>
  <c r="BI327" i="1" s="1"/>
  <c r="AO327" i="1"/>
  <c r="BH327" i="1" s="1"/>
  <c r="AL327" i="1"/>
  <c r="AK327" i="1"/>
  <c r="AJ327" i="1"/>
  <c r="AH327" i="1"/>
  <c r="AG327" i="1"/>
  <c r="AF327" i="1"/>
  <c r="AE327" i="1"/>
  <c r="AD327" i="1"/>
  <c r="AC327" i="1"/>
  <c r="AB327" i="1"/>
  <c r="Z327" i="1"/>
  <c r="J327" i="1"/>
  <c r="I327" i="1"/>
  <c r="H327" i="1"/>
  <c r="BJ323" i="1"/>
  <c r="BF323" i="1"/>
  <c r="BD323" i="1"/>
  <c r="AP323" i="1"/>
  <c r="BI323" i="1" s="1"/>
  <c r="AO323" i="1"/>
  <c r="AL323" i="1"/>
  <c r="AK323" i="1"/>
  <c r="AJ323" i="1"/>
  <c r="AH323" i="1"/>
  <c r="AG323" i="1"/>
  <c r="AF323" i="1"/>
  <c r="AE323" i="1"/>
  <c r="AC323" i="1"/>
  <c r="AB323" i="1"/>
  <c r="Z323" i="1"/>
  <c r="J323" i="1"/>
  <c r="I323" i="1"/>
  <c r="BJ320" i="1"/>
  <c r="BF320" i="1"/>
  <c r="BD320" i="1"/>
  <c r="AP320" i="1"/>
  <c r="AO320" i="1"/>
  <c r="AK320" i="1"/>
  <c r="AJ320" i="1"/>
  <c r="AH320" i="1"/>
  <c r="AG320" i="1"/>
  <c r="AF320" i="1"/>
  <c r="AC320" i="1"/>
  <c r="AB320" i="1"/>
  <c r="Z320" i="1"/>
  <c r="J320" i="1"/>
  <c r="AL320" i="1" s="1"/>
  <c r="BJ318" i="1"/>
  <c r="BH318" i="1"/>
  <c r="AD318" i="1" s="1"/>
  <c r="BF318" i="1"/>
  <c r="BD318" i="1"/>
  <c r="AW318" i="1"/>
  <c r="AP318" i="1"/>
  <c r="AO318" i="1"/>
  <c r="AL318" i="1"/>
  <c r="AK318" i="1"/>
  <c r="AJ318" i="1"/>
  <c r="AH318" i="1"/>
  <c r="AG318" i="1"/>
  <c r="AF318" i="1"/>
  <c r="AC318" i="1"/>
  <c r="AB318" i="1"/>
  <c r="Z318" i="1"/>
  <c r="J318" i="1"/>
  <c r="H318" i="1"/>
  <c r="BJ315" i="1"/>
  <c r="BI315" i="1"/>
  <c r="AE315" i="1" s="1"/>
  <c r="BH315" i="1"/>
  <c r="AD315" i="1" s="1"/>
  <c r="BF315" i="1"/>
  <c r="BD315" i="1"/>
  <c r="AX315" i="1"/>
  <c r="AW315" i="1"/>
  <c r="BC315" i="1" s="1"/>
  <c r="AV315" i="1"/>
  <c r="AP315" i="1"/>
  <c r="AO315" i="1"/>
  <c r="AL315" i="1"/>
  <c r="AK315" i="1"/>
  <c r="AJ315" i="1"/>
  <c r="AH315" i="1"/>
  <c r="AG315" i="1"/>
  <c r="AF315" i="1"/>
  <c r="AC315" i="1"/>
  <c r="AB315" i="1"/>
  <c r="Z315" i="1"/>
  <c r="J315" i="1"/>
  <c r="I315" i="1"/>
  <c r="H315" i="1"/>
  <c r="BJ312" i="1"/>
  <c r="BI312" i="1"/>
  <c r="BF312" i="1"/>
  <c r="BD312" i="1"/>
  <c r="AX312" i="1"/>
  <c r="BC312" i="1" s="1"/>
  <c r="AW312" i="1"/>
  <c r="AP312" i="1"/>
  <c r="AO312" i="1"/>
  <c r="BH312" i="1" s="1"/>
  <c r="AL312" i="1"/>
  <c r="AK312" i="1"/>
  <c r="AT301" i="1" s="1"/>
  <c r="AJ312" i="1"/>
  <c r="AS301" i="1" s="1"/>
  <c r="AH312" i="1"/>
  <c r="AG312" i="1"/>
  <c r="AF312" i="1"/>
  <c r="AE312" i="1"/>
  <c r="AD312" i="1"/>
  <c r="AC312" i="1"/>
  <c r="AB312" i="1"/>
  <c r="Z312" i="1"/>
  <c r="J312" i="1"/>
  <c r="I312" i="1"/>
  <c r="H312" i="1"/>
  <c r="BJ307" i="1"/>
  <c r="BF307" i="1"/>
  <c r="BD307" i="1"/>
  <c r="AX307" i="1"/>
  <c r="AP307" i="1"/>
  <c r="BI307" i="1" s="1"/>
  <c r="AE307" i="1" s="1"/>
  <c r="AO307" i="1"/>
  <c r="AK307" i="1"/>
  <c r="AJ307" i="1"/>
  <c r="AH307" i="1"/>
  <c r="AG307" i="1"/>
  <c r="AF307" i="1"/>
  <c r="AC307" i="1"/>
  <c r="AB307" i="1"/>
  <c r="Z307" i="1"/>
  <c r="J307" i="1"/>
  <c r="AL307" i="1" s="1"/>
  <c r="I307" i="1"/>
  <c r="BJ305" i="1"/>
  <c r="BF305" i="1"/>
  <c r="BD305" i="1"/>
  <c r="AP305" i="1"/>
  <c r="AO305" i="1"/>
  <c r="AL305" i="1"/>
  <c r="AK305" i="1"/>
  <c r="AJ305" i="1"/>
  <c r="AH305" i="1"/>
  <c r="AG305" i="1"/>
  <c r="AF305" i="1"/>
  <c r="AC305" i="1"/>
  <c r="AB305" i="1"/>
  <c r="Z305" i="1"/>
  <c r="J305" i="1"/>
  <c r="BJ302" i="1"/>
  <c r="BH302" i="1"/>
  <c r="AD302" i="1" s="1"/>
  <c r="BF302" i="1"/>
  <c r="BD302" i="1"/>
  <c r="AP302" i="1"/>
  <c r="AO302" i="1"/>
  <c r="AK302" i="1"/>
  <c r="AJ302" i="1"/>
  <c r="AH302" i="1"/>
  <c r="AG302" i="1"/>
  <c r="AF302" i="1"/>
  <c r="AC302" i="1"/>
  <c r="AB302" i="1"/>
  <c r="Z302" i="1"/>
  <c r="J302" i="1"/>
  <c r="BJ299" i="1"/>
  <c r="BH299" i="1"/>
  <c r="BF299" i="1"/>
  <c r="BD299" i="1"/>
  <c r="AW299" i="1"/>
  <c r="AP299" i="1"/>
  <c r="BI299" i="1" s="1"/>
  <c r="AO299" i="1"/>
  <c r="AL299" i="1"/>
  <c r="AK299" i="1"/>
  <c r="AJ299" i="1"/>
  <c r="AH299" i="1"/>
  <c r="AG299" i="1"/>
  <c r="AF299" i="1"/>
  <c r="AE299" i="1"/>
  <c r="AD299" i="1"/>
  <c r="AC299" i="1"/>
  <c r="AB299" i="1"/>
  <c r="Z299" i="1"/>
  <c r="J299" i="1"/>
  <c r="H299" i="1"/>
  <c r="BJ285" i="1"/>
  <c r="BI285" i="1"/>
  <c r="AE285" i="1" s="1"/>
  <c r="BH285" i="1"/>
  <c r="BF285" i="1"/>
  <c r="BD285" i="1"/>
  <c r="AX285" i="1"/>
  <c r="AW285" i="1"/>
  <c r="AV285" i="1"/>
  <c r="AP285" i="1"/>
  <c r="AO285" i="1"/>
  <c r="AL285" i="1"/>
  <c r="AK285" i="1"/>
  <c r="AJ285" i="1"/>
  <c r="AH285" i="1"/>
  <c r="AG285" i="1"/>
  <c r="AF285" i="1"/>
  <c r="AD285" i="1"/>
  <c r="AC285" i="1"/>
  <c r="AB285" i="1"/>
  <c r="Z285" i="1"/>
  <c r="J285" i="1"/>
  <c r="I285" i="1"/>
  <c r="H285" i="1"/>
  <c r="BJ276" i="1"/>
  <c r="BI276" i="1"/>
  <c r="BF276" i="1"/>
  <c r="BD276" i="1"/>
  <c r="AX276" i="1"/>
  <c r="BC276" i="1" s="1"/>
  <c r="AW276" i="1"/>
  <c r="AP276" i="1"/>
  <c r="AO276" i="1"/>
  <c r="BH276" i="1" s="1"/>
  <c r="AL276" i="1"/>
  <c r="AK276" i="1"/>
  <c r="AJ276" i="1"/>
  <c r="AH276" i="1"/>
  <c r="AG276" i="1"/>
  <c r="AF276" i="1"/>
  <c r="AE276" i="1"/>
  <c r="AD276" i="1"/>
  <c r="AC276" i="1"/>
  <c r="AB276" i="1"/>
  <c r="Z276" i="1"/>
  <c r="J276" i="1"/>
  <c r="I276" i="1"/>
  <c r="H276" i="1"/>
  <c r="BJ269" i="1"/>
  <c r="BF269" i="1"/>
  <c r="BD269" i="1"/>
  <c r="AX269" i="1"/>
  <c r="AP269" i="1"/>
  <c r="BI269" i="1" s="1"/>
  <c r="AE269" i="1" s="1"/>
  <c r="AO269" i="1"/>
  <c r="AK269" i="1"/>
  <c r="AJ269" i="1"/>
  <c r="AH269" i="1"/>
  <c r="AG269" i="1"/>
  <c r="AF269" i="1"/>
  <c r="AC269" i="1"/>
  <c r="AB269" i="1"/>
  <c r="Z269" i="1"/>
  <c r="J269" i="1"/>
  <c r="AL269" i="1" s="1"/>
  <c r="I269" i="1"/>
  <c r="BJ263" i="1"/>
  <c r="BF263" i="1"/>
  <c r="BD263" i="1"/>
  <c r="AP263" i="1"/>
  <c r="AO263" i="1"/>
  <c r="AL263" i="1"/>
  <c r="AK263" i="1"/>
  <c r="AJ263" i="1"/>
  <c r="AH263" i="1"/>
  <c r="AG263" i="1"/>
  <c r="AF263" i="1"/>
  <c r="AC263" i="1"/>
  <c r="AB263" i="1"/>
  <c r="Z263" i="1"/>
  <c r="J263" i="1"/>
  <c r="BJ259" i="1"/>
  <c r="BH259" i="1"/>
  <c r="AD259" i="1" s="1"/>
  <c r="BF259" i="1"/>
  <c r="BD259" i="1"/>
  <c r="AP259" i="1"/>
  <c r="AO259" i="1"/>
  <c r="AK259" i="1"/>
  <c r="AJ259" i="1"/>
  <c r="AH259" i="1"/>
  <c r="AG259" i="1"/>
  <c r="AF259" i="1"/>
  <c r="AC259" i="1"/>
  <c r="AB259" i="1"/>
  <c r="Z259" i="1"/>
  <c r="J259" i="1"/>
  <c r="AL259" i="1" s="1"/>
  <c r="BJ255" i="1"/>
  <c r="BH255" i="1"/>
  <c r="AD255" i="1" s="1"/>
  <c r="BF255" i="1"/>
  <c r="BD255" i="1"/>
  <c r="AW255" i="1"/>
  <c r="AP255" i="1"/>
  <c r="AO255" i="1"/>
  <c r="AL255" i="1"/>
  <c r="AK255" i="1"/>
  <c r="AJ255" i="1"/>
  <c r="AH255" i="1"/>
  <c r="AG255" i="1"/>
  <c r="AF255" i="1"/>
  <c r="AC255" i="1"/>
  <c r="AB255" i="1"/>
  <c r="Z255" i="1"/>
  <c r="J255" i="1"/>
  <c r="H255" i="1"/>
  <c r="BJ251" i="1"/>
  <c r="BI251" i="1"/>
  <c r="AE251" i="1" s="1"/>
  <c r="BH251" i="1"/>
  <c r="AD251" i="1" s="1"/>
  <c r="BF251" i="1"/>
  <c r="BD251" i="1"/>
  <c r="AX251" i="1"/>
  <c r="AW251" i="1"/>
  <c r="BC251" i="1" s="1"/>
  <c r="AV251" i="1"/>
  <c r="AP251" i="1"/>
  <c r="AO251" i="1"/>
  <c r="AL251" i="1"/>
  <c r="AK251" i="1"/>
  <c r="AJ251" i="1"/>
  <c r="AH251" i="1"/>
  <c r="AG251" i="1"/>
  <c r="AF251" i="1"/>
  <c r="AC251" i="1"/>
  <c r="AB251" i="1"/>
  <c r="Z251" i="1"/>
  <c r="J251" i="1"/>
  <c r="I251" i="1"/>
  <c r="H251" i="1"/>
  <c r="BJ248" i="1"/>
  <c r="BI248" i="1"/>
  <c r="BF248" i="1"/>
  <c r="BD248" i="1"/>
  <c r="AX248" i="1"/>
  <c r="AP248" i="1"/>
  <c r="AO248" i="1"/>
  <c r="BH248" i="1" s="1"/>
  <c r="AD248" i="1" s="1"/>
  <c r="AL248" i="1"/>
  <c r="AK248" i="1"/>
  <c r="AJ248" i="1"/>
  <c r="AH248" i="1"/>
  <c r="AG248" i="1"/>
  <c r="AF248" i="1"/>
  <c r="AE248" i="1"/>
  <c r="AC248" i="1"/>
  <c r="AB248" i="1"/>
  <c r="Z248" i="1"/>
  <c r="J248" i="1"/>
  <c r="I248" i="1"/>
  <c r="BJ244" i="1"/>
  <c r="BF244" i="1"/>
  <c r="BD244" i="1"/>
  <c r="AX244" i="1"/>
  <c r="AP244" i="1"/>
  <c r="BI244" i="1" s="1"/>
  <c r="AO244" i="1"/>
  <c r="AL244" i="1"/>
  <c r="AK244" i="1"/>
  <c r="AJ244" i="1"/>
  <c r="AH244" i="1"/>
  <c r="AG244" i="1"/>
  <c r="AF244" i="1"/>
  <c r="AE244" i="1"/>
  <c r="AC244" i="1"/>
  <c r="AB244" i="1"/>
  <c r="Z244" i="1"/>
  <c r="J244" i="1"/>
  <c r="I244" i="1"/>
  <c r="H244" i="1"/>
  <c r="BJ241" i="1"/>
  <c r="BH241" i="1"/>
  <c r="AD241" i="1" s="1"/>
  <c r="BF241" i="1"/>
  <c r="BD241" i="1"/>
  <c r="AP241" i="1"/>
  <c r="AO241" i="1"/>
  <c r="AK241" i="1"/>
  <c r="AJ241" i="1"/>
  <c r="AH241" i="1"/>
  <c r="AG241" i="1"/>
  <c r="AF241" i="1"/>
  <c r="AC241" i="1"/>
  <c r="AB241" i="1"/>
  <c r="Z241" i="1"/>
  <c r="J241" i="1"/>
  <c r="AL241" i="1" s="1"/>
  <c r="I241" i="1"/>
  <c r="BJ236" i="1"/>
  <c r="BF236" i="1"/>
  <c r="BD236" i="1"/>
  <c r="AW236" i="1"/>
  <c r="AP236" i="1"/>
  <c r="AO236" i="1"/>
  <c r="H236" i="1" s="1"/>
  <c r="AK236" i="1"/>
  <c r="AJ236" i="1"/>
  <c r="AH236" i="1"/>
  <c r="AG236" i="1"/>
  <c r="AF236" i="1"/>
  <c r="AC236" i="1"/>
  <c r="AB236" i="1"/>
  <c r="Z236" i="1"/>
  <c r="J236" i="1"/>
  <c r="BJ232" i="1"/>
  <c r="BH232" i="1"/>
  <c r="BF232" i="1"/>
  <c r="BD232" i="1"/>
  <c r="AX232" i="1"/>
  <c r="AW232" i="1"/>
  <c r="AP232" i="1"/>
  <c r="I232" i="1" s="1"/>
  <c r="AO232" i="1"/>
  <c r="AL232" i="1"/>
  <c r="AK232" i="1"/>
  <c r="AJ232" i="1"/>
  <c r="AH232" i="1"/>
  <c r="AG232" i="1"/>
  <c r="AF232" i="1"/>
  <c r="AD232" i="1"/>
  <c r="AC232" i="1"/>
  <c r="AB232" i="1"/>
  <c r="Z232" i="1"/>
  <c r="J232" i="1"/>
  <c r="H232" i="1"/>
  <c r="BJ230" i="1"/>
  <c r="BI230" i="1"/>
  <c r="AE230" i="1" s="1"/>
  <c r="BH230" i="1"/>
  <c r="BF230" i="1"/>
  <c r="BD230" i="1"/>
  <c r="AX230" i="1"/>
  <c r="AW230" i="1"/>
  <c r="AP230" i="1"/>
  <c r="AO230" i="1"/>
  <c r="AL230" i="1"/>
  <c r="AK230" i="1"/>
  <c r="AT229" i="1" s="1"/>
  <c r="AJ230" i="1"/>
  <c r="AH230" i="1"/>
  <c r="AG230" i="1"/>
  <c r="AF230" i="1"/>
  <c r="AD230" i="1"/>
  <c r="AC230" i="1"/>
  <c r="AB230" i="1"/>
  <c r="Z230" i="1"/>
  <c r="J230" i="1"/>
  <c r="I230" i="1"/>
  <c r="H230" i="1"/>
  <c r="BJ227" i="1"/>
  <c r="Z227" i="1" s="1"/>
  <c r="BI227" i="1"/>
  <c r="BF227" i="1"/>
  <c r="BD227" i="1"/>
  <c r="AX227" i="1"/>
  <c r="AP227" i="1"/>
  <c r="AO227" i="1"/>
  <c r="AK227" i="1"/>
  <c r="AJ227" i="1"/>
  <c r="AH227" i="1"/>
  <c r="AG227" i="1"/>
  <c r="AF227" i="1"/>
  <c r="AE227" i="1"/>
  <c r="AD227" i="1"/>
  <c r="AC227" i="1"/>
  <c r="AB227" i="1"/>
  <c r="J227" i="1"/>
  <c r="AL227" i="1" s="1"/>
  <c r="I227" i="1"/>
  <c r="BJ223" i="1"/>
  <c r="BF223" i="1"/>
  <c r="BD223" i="1"/>
  <c r="AX223" i="1"/>
  <c r="AP223" i="1"/>
  <c r="BI223" i="1" s="1"/>
  <c r="AO223" i="1"/>
  <c r="AL223" i="1"/>
  <c r="AK223" i="1"/>
  <c r="AJ223" i="1"/>
  <c r="AH223" i="1"/>
  <c r="AG223" i="1"/>
  <c r="AF223" i="1"/>
  <c r="AE223" i="1"/>
  <c r="AC223" i="1"/>
  <c r="AB223" i="1"/>
  <c r="Z223" i="1"/>
  <c r="J223" i="1"/>
  <c r="I223" i="1"/>
  <c r="H223" i="1"/>
  <c r="BJ219" i="1"/>
  <c r="BF219" i="1"/>
  <c r="BD219" i="1"/>
  <c r="AP219" i="1"/>
  <c r="AO219" i="1"/>
  <c r="AK219" i="1"/>
  <c r="AJ219" i="1"/>
  <c r="AH219" i="1"/>
  <c r="AG219" i="1"/>
  <c r="AF219" i="1"/>
  <c r="AC219" i="1"/>
  <c r="AB219" i="1"/>
  <c r="Z219" i="1"/>
  <c r="J219" i="1"/>
  <c r="AL219" i="1" s="1"/>
  <c r="I219" i="1"/>
  <c r="BJ215" i="1"/>
  <c r="BF215" i="1"/>
  <c r="BD215" i="1"/>
  <c r="AW215" i="1"/>
  <c r="AP215" i="1"/>
  <c r="AO215" i="1"/>
  <c r="H215" i="1" s="1"/>
  <c r="AK215" i="1"/>
  <c r="AJ215" i="1"/>
  <c r="AH215" i="1"/>
  <c r="AG215" i="1"/>
  <c r="AF215" i="1"/>
  <c r="AC215" i="1"/>
  <c r="AB215" i="1"/>
  <c r="Z215" i="1"/>
  <c r="J215" i="1"/>
  <c r="BJ211" i="1"/>
  <c r="BH211" i="1"/>
  <c r="BF211" i="1"/>
  <c r="BD211" i="1"/>
  <c r="AX211" i="1"/>
  <c r="AW211" i="1"/>
  <c r="AP211" i="1"/>
  <c r="I211" i="1" s="1"/>
  <c r="AO211" i="1"/>
  <c r="AL211" i="1"/>
  <c r="AK211" i="1"/>
  <c r="AJ211" i="1"/>
  <c r="AH211" i="1"/>
  <c r="AG211" i="1"/>
  <c r="AF211" i="1"/>
  <c r="AD211" i="1"/>
  <c r="AC211" i="1"/>
  <c r="AB211" i="1"/>
  <c r="Z211" i="1"/>
  <c r="J211" i="1"/>
  <c r="H211" i="1"/>
  <c r="BJ209" i="1"/>
  <c r="BI209" i="1"/>
  <c r="AE209" i="1" s="1"/>
  <c r="BH209" i="1"/>
  <c r="BF209" i="1"/>
  <c r="BD209" i="1"/>
  <c r="AX209" i="1"/>
  <c r="AW209" i="1"/>
  <c r="AP209" i="1"/>
  <c r="AO209" i="1"/>
  <c r="AL209" i="1"/>
  <c r="AK209" i="1"/>
  <c r="AJ209" i="1"/>
  <c r="AS205" i="1" s="1"/>
  <c r="AH209" i="1"/>
  <c r="AG209" i="1"/>
  <c r="AF209" i="1"/>
  <c r="AD209" i="1"/>
  <c r="AC209" i="1"/>
  <c r="AB209" i="1"/>
  <c r="Z209" i="1"/>
  <c r="J209" i="1"/>
  <c r="I209" i="1"/>
  <c r="H209" i="1"/>
  <c r="BJ206" i="1"/>
  <c r="BI206" i="1"/>
  <c r="BF206" i="1"/>
  <c r="BD206" i="1"/>
  <c r="AX206" i="1"/>
  <c r="AW206" i="1"/>
  <c r="AP206" i="1"/>
  <c r="AO206" i="1"/>
  <c r="BH206" i="1" s="1"/>
  <c r="AL206" i="1"/>
  <c r="AK206" i="1"/>
  <c r="AJ206" i="1"/>
  <c r="AH206" i="1"/>
  <c r="AG206" i="1"/>
  <c r="AF206" i="1"/>
  <c r="AE206" i="1"/>
  <c r="AD206" i="1"/>
  <c r="AC206" i="1"/>
  <c r="AB206" i="1"/>
  <c r="Z206" i="1"/>
  <c r="J206" i="1"/>
  <c r="I206" i="1"/>
  <c r="H206" i="1"/>
  <c r="BJ202" i="1"/>
  <c r="BF202" i="1"/>
  <c r="BD202" i="1"/>
  <c r="AP202" i="1"/>
  <c r="BI202" i="1" s="1"/>
  <c r="AO202" i="1"/>
  <c r="AW202" i="1" s="1"/>
  <c r="AL202" i="1"/>
  <c r="AK202" i="1"/>
  <c r="AJ202" i="1"/>
  <c r="AH202" i="1"/>
  <c r="AG202" i="1"/>
  <c r="AF202" i="1"/>
  <c r="AE202" i="1"/>
  <c r="AD202" i="1"/>
  <c r="AC202" i="1"/>
  <c r="AB202" i="1"/>
  <c r="Z202" i="1"/>
  <c r="J202" i="1"/>
  <c r="I202" i="1"/>
  <c r="BJ197" i="1"/>
  <c r="BF197" i="1"/>
  <c r="BD197" i="1"/>
  <c r="AP197" i="1"/>
  <c r="AX197" i="1" s="1"/>
  <c r="AO197" i="1"/>
  <c r="AK197" i="1"/>
  <c r="AJ197" i="1"/>
  <c r="AH197" i="1"/>
  <c r="AG197" i="1"/>
  <c r="AF197" i="1"/>
  <c r="AC197" i="1"/>
  <c r="AB197" i="1"/>
  <c r="Z197" i="1"/>
  <c r="J197" i="1"/>
  <c r="AL197" i="1" s="1"/>
  <c r="BJ193" i="1"/>
  <c r="BH193" i="1"/>
  <c r="AD193" i="1" s="1"/>
  <c r="BF193" i="1"/>
  <c r="BD193" i="1"/>
  <c r="AW193" i="1"/>
  <c r="AP193" i="1"/>
  <c r="AO193" i="1"/>
  <c r="AK193" i="1"/>
  <c r="AJ193" i="1"/>
  <c r="AH193" i="1"/>
  <c r="AG193" i="1"/>
  <c r="AF193" i="1"/>
  <c r="AC193" i="1"/>
  <c r="AB193" i="1"/>
  <c r="Z193" i="1"/>
  <c r="J193" i="1"/>
  <c r="AL193" i="1" s="1"/>
  <c r="H193" i="1"/>
  <c r="BJ190" i="1"/>
  <c r="BI190" i="1"/>
  <c r="AE190" i="1" s="1"/>
  <c r="BH190" i="1"/>
  <c r="AD190" i="1" s="1"/>
  <c r="BF190" i="1"/>
  <c r="BD190" i="1"/>
  <c r="AX190" i="1"/>
  <c r="AW190" i="1"/>
  <c r="BC190" i="1" s="1"/>
  <c r="AV190" i="1"/>
  <c r="AP190" i="1"/>
  <c r="AO190" i="1"/>
  <c r="AL190" i="1"/>
  <c r="AK190" i="1"/>
  <c r="AJ190" i="1"/>
  <c r="AS189" i="1" s="1"/>
  <c r="AH190" i="1"/>
  <c r="AG190" i="1"/>
  <c r="AF190" i="1"/>
  <c r="AC190" i="1"/>
  <c r="AB190" i="1"/>
  <c r="Z190" i="1"/>
  <c r="J190" i="1"/>
  <c r="I190" i="1"/>
  <c r="H190" i="1"/>
  <c r="AT189" i="1"/>
  <c r="BJ187" i="1"/>
  <c r="Z187" i="1" s="1"/>
  <c r="BI187" i="1"/>
  <c r="BF187" i="1"/>
  <c r="BD187" i="1"/>
  <c r="AX187" i="1"/>
  <c r="AW187" i="1"/>
  <c r="AP187" i="1"/>
  <c r="AO187" i="1"/>
  <c r="BH187" i="1" s="1"/>
  <c r="AL187" i="1"/>
  <c r="AK187" i="1"/>
  <c r="AJ187" i="1"/>
  <c r="AH187" i="1"/>
  <c r="AG187" i="1"/>
  <c r="AF187" i="1"/>
  <c r="AE187" i="1"/>
  <c r="AD187" i="1"/>
  <c r="AC187" i="1"/>
  <c r="AB187" i="1"/>
  <c r="J187" i="1"/>
  <c r="I187" i="1"/>
  <c r="H187" i="1"/>
  <c r="BJ185" i="1"/>
  <c r="BF185" i="1"/>
  <c r="BD185" i="1"/>
  <c r="AX185" i="1"/>
  <c r="AP185" i="1"/>
  <c r="BI185" i="1" s="1"/>
  <c r="AE185" i="1" s="1"/>
  <c r="AO185" i="1"/>
  <c r="BH185" i="1" s="1"/>
  <c r="AD185" i="1" s="1"/>
  <c r="AL185" i="1"/>
  <c r="AK185" i="1"/>
  <c r="AJ185" i="1"/>
  <c r="AH185" i="1"/>
  <c r="AG185" i="1"/>
  <c r="AF185" i="1"/>
  <c r="AC185" i="1"/>
  <c r="AB185" i="1"/>
  <c r="Z185" i="1"/>
  <c r="J185" i="1"/>
  <c r="I185" i="1"/>
  <c r="H185" i="1"/>
  <c r="BJ183" i="1"/>
  <c r="BF183" i="1"/>
  <c r="BD183" i="1"/>
  <c r="AP183" i="1"/>
  <c r="BI183" i="1" s="1"/>
  <c r="AE183" i="1" s="1"/>
  <c r="AO183" i="1"/>
  <c r="AW183" i="1" s="1"/>
  <c r="AL183" i="1"/>
  <c r="AK183" i="1"/>
  <c r="AJ183" i="1"/>
  <c r="AH183" i="1"/>
  <c r="AG183" i="1"/>
  <c r="AF183" i="1"/>
  <c r="AC183" i="1"/>
  <c r="AB183" i="1"/>
  <c r="Z183" i="1"/>
  <c r="J183" i="1"/>
  <c r="I183" i="1"/>
  <c r="BJ178" i="1"/>
  <c r="BF178" i="1"/>
  <c r="BD178" i="1"/>
  <c r="AP178" i="1"/>
  <c r="AX178" i="1" s="1"/>
  <c r="AO178" i="1"/>
  <c r="AK178" i="1"/>
  <c r="AJ178" i="1"/>
  <c r="AH178" i="1"/>
  <c r="AG178" i="1"/>
  <c r="AF178" i="1"/>
  <c r="AC178" i="1"/>
  <c r="AB178" i="1"/>
  <c r="Z178" i="1"/>
  <c r="J178" i="1"/>
  <c r="AL178" i="1" s="1"/>
  <c r="BJ174" i="1"/>
  <c r="BH174" i="1"/>
  <c r="AD174" i="1" s="1"/>
  <c r="BF174" i="1"/>
  <c r="BD174" i="1"/>
  <c r="AW174" i="1"/>
  <c r="AP174" i="1"/>
  <c r="AO174" i="1"/>
  <c r="AK174" i="1"/>
  <c r="AJ174" i="1"/>
  <c r="AH174" i="1"/>
  <c r="AG174" i="1"/>
  <c r="AF174" i="1"/>
  <c r="AC174" i="1"/>
  <c r="AB174" i="1"/>
  <c r="Z174" i="1"/>
  <c r="J174" i="1"/>
  <c r="AL174" i="1" s="1"/>
  <c r="H174" i="1"/>
  <c r="BJ170" i="1"/>
  <c r="BI170" i="1"/>
  <c r="AE170" i="1" s="1"/>
  <c r="BH170" i="1"/>
  <c r="AD170" i="1" s="1"/>
  <c r="BF170" i="1"/>
  <c r="BD170" i="1"/>
  <c r="AX170" i="1"/>
  <c r="AW170" i="1"/>
  <c r="BC170" i="1" s="1"/>
  <c r="AV170" i="1"/>
  <c r="AP170" i="1"/>
  <c r="AO170" i="1"/>
  <c r="AL170" i="1"/>
  <c r="AK170" i="1"/>
  <c r="AJ170" i="1"/>
  <c r="AH170" i="1"/>
  <c r="AG170" i="1"/>
  <c r="AF170" i="1"/>
  <c r="AC170" i="1"/>
  <c r="AB170" i="1"/>
  <c r="Z170" i="1"/>
  <c r="J170" i="1"/>
  <c r="I170" i="1"/>
  <c r="H170" i="1"/>
  <c r="BJ167" i="1"/>
  <c r="BI167" i="1"/>
  <c r="AE167" i="1" s="1"/>
  <c r="BF167" i="1"/>
  <c r="BD167" i="1"/>
  <c r="AX167" i="1"/>
  <c r="AW167" i="1"/>
  <c r="AP167" i="1"/>
  <c r="AO167" i="1"/>
  <c r="BH167" i="1" s="1"/>
  <c r="AD167" i="1" s="1"/>
  <c r="AL167" i="1"/>
  <c r="AK167" i="1"/>
  <c r="AJ167" i="1"/>
  <c r="AH167" i="1"/>
  <c r="AG167" i="1"/>
  <c r="AF167" i="1"/>
  <c r="AC167" i="1"/>
  <c r="AB167" i="1"/>
  <c r="Z167" i="1"/>
  <c r="J167" i="1"/>
  <c r="I167" i="1"/>
  <c r="H167" i="1"/>
  <c r="BJ162" i="1"/>
  <c r="BF162" i="1"/>
  <c r="BD162" i="1"/>
  <c r="AX162" i="1"/>
  <c r="AP162" i="1"/>
  <c r="BI162" i="1" s="1"/>
  <c r="AE162" i="1" s="1"/>
  <c r="AO162" i="1"/>
  <c r="BH162" i="1" s="1"/>
  <c r="AL162" i="1"/>
  <c r="AK162" i="1"/>
  <c r="AJ162" i="1"/>
  <c r="AH162" i="1"/>
  <c r="AG162" i="1"/>
  <c r="AF162" i="1"/>
  <c r="AD162" i="1"/>
  <c r="AC162" i="1"/>
  <c r="AB162" i="1"/>
  <c r="Z162" i="1"/>
  <c r="J162" i="1"/>
  <c r="I162" i="1"/>
  <c r="H162" i="1"/>
  <c r="BJ158" i="1"/>
  <c r="BF158" i="1"/>
  <c r="BD158" i="1"/>
  <c r="AP158" i="1"/>
  <c r="BI158" i="1" s="1"/>
  <c r="AO158" i="1"/>
  <c r="AW158" i="1" s="1"/>
  <c r="AL158" i="1"/>
  <c r="AK158" i="1"/>
  <c r="AJ158" i="1"/>
  <c r="AH158" i="1"/>
  <c r="AG158" i="1"/>
  <c r="AF158" i="1"/>
  <c r="AE158" i="1"/>
  <c r="AC158" i="1"/>
  <c r="AB158" i="1"/>
  <c r="Z158" i="1"/>
  <c r="J158" i="1"/>
  <c r="I158" i="1"/>
  <c r="BJ154" i="1"/>
  <c r="BF154" i="1"/>
  <c r="BD154" i="1"/>
  <c r="AP154" i="1"/>
  <c r="AX154" i="1" s="1"/>
  <c r="AO154" i="1"/>
  <c r="AK154" i="1"/>
  <c r="AJ154" i="1"/>
  <c r="AH154" i="1"/>
  <c r="AG154" i="1"/>
  <c r="AF154" i="1"/>
  <c r="AC154" i="1"/>
  <c r="AB154" i="1"/>
  <c r="Z154" i="1"/>
  <c r="J154" i="1"/>
  <c r="AL154" i="1" s="1"/>
  <c r="BJ151" i="1"/>
  <c r="BH151" i="1"/>
  <c r="AD151" i="1" s="1"/>
  <c r="BF151" i="1"/>
  <c r="BD151" i="1"/>
  <c r="AW151" i="1"/>
  <c r="AP151" i="1"/>
  <c r="AO151" i="1"/>
  <c r="AK151" i="1"/>
  <c r="AJ151" i="1"/>
  <c r="AH151" i="1"/>
  <c r="AG151" i="1"/>
  <c r="AF151" i="1"/>
  <c r="AC151" i="1"/>
  <c r="AB151" i="1"/>
  <c r="Z151" i="1"/>
  <c r="J151" i="1"/>
  <c r="AL151" i="1" s="1"/>
  <c r="H151" i="1"/>
  <c r="BJ148" i="1"/>
  <c r="BI148" i="1"/>
  <c r="AE148" i="1" s="1"/>
  <c r="BH148" i="1"/>
  <c r="AD148" i="1" s="1"/>
  <c r="BF148" i="1"/>
  <c r="BD148" i="1"/>
  <c r="AX148" i="1"/>
  <c r="AW148" i="1"/>
  <c r="BC148" i="1" s="1"/>
  <c r="AV148" i="1"/>
  <c r="AP148" i="1"/>
  <c r="AO148" i="1"/>
  <c r="AL148" i="1"/>
  <c r="AK148" i="1"/>
  <c r="AJ148" i="1"/>
  <c r="AH148" i="1"/>
  <c r="AG148" i="1"/>
  <c r="AF148" i="1"/>
  <c r="AC148" i="1"/>
  <c r="AB148" i="1"/>
  <c r="Z148" i="1"/>
  <c r="J148" i="1"/>
  <c r="I148" i="1"/>
  <c r="H148" i="1"/>
  <c r="BJ145" i="1"/>
  <c r="BI145" i="1"/>
  <c r="AE145" i="1" s="1"/>
  <c r="BF145" i="1"/>
  <c r="BD145" i="1"/>
  <c r="AX145" i="1"/>
  <c r="AW145" i="1"/>
  <c r="AP145" i="1"/>
  <c r="AO145" i="1"/>
  <c r="BH145" i="1" s="1"/>
  <c r="AD145" i="1" s="1"/>
  <c r="AL145" i="1"/>
  <c r="AK145" i="1"/>
  <c r="AJ145" i="1"/>
  <c r="AH145" i="1"/>
  <c r="AG145" i="1"/>
  <c r="AF145" i="1"/>
  <c r="AC145" i="1"/>
  <c r="AB145" i="1"/>
  <c r="Z145" i="1"/>
  <c r="J145" i="1"/>
  <c r="I145" i="1"/>
  <c r="H145" i="1"/>
  <c r="BJ142" i="1"/>
  <c r="BF142" i="1"/>
  <c r="BD142" i="1"/>
  <c r="AX142" i="1"/>
  <c r="AP142" i="1"/>
  <c r="BI142" i="1" s="1"/>
  <c r="AE142" i="1" s="1"/>
  <c r="AO142" i="1"/>
  <c r="BH142" i="1" s="1"/>
  <c r="AD142" i="1" s="1"/>
  <c r="AL142" i="1"/>
  <c r="AK142" i="1"/>
  <c r="AJ142" i="1"/>
  <c r="AH142" i="1"/>
  <c r="AG142" i="1"/>
  <c r="AF142" i="1"/>
  <c r="AC142" i="1"/>
  <c r="AB142" i="1"/>
  <c r="Z142" i="1"/>
  <c r="J142" i="1"/>
  <c r="I142" i="1"/>
  <c r="H142" i="1"/>
  <c r="BJ140" i="1"/>
  <c r="BF140" i="1"/>
  <c r="BD140" i="1"/>
  <c r="AP140" i="1"/>
  <c r="BI140" i="1" s="1"/>
  <c r="AO140" i="1"/>
  <c r="AW140" i="1" s="1"/>
  <c r="AL140" i="1"/>
  <c r="AU110" i="1" s="1"/>
  <c r="AK140" i="1"/>
  <c r="AJ140" i="1"/>
  <c r="AH140" i="1"/>
  <c r="AG140" i="1"/>
  <c r="AF140" i="1"/>
  <c r="AE140" i="1"/>
  <c r="AC140" i="1"/>
  <c r="AB140" i="1"/>
  <c r="Z140" i="1"/>
  <c r="J140" i="1"/>
  <c r="I140" i="1"/>
  <c r="BJ137" i="1"/>
  <c r="BF137" i="1"/>
  <c r="BD137" i="1"/>
  <c r="AP137" i="1"/>
  <c r="AX137" i="1" s="1"/>
  <c r="AO137" i="1"/>
  <c r="AK137" i="1"/>
  <c r="AJ137" i="1"/>
  <c r="AH137" i="1"/>
  <c r="AG137" i="1"/>
  <c r="AF137" i="1"/>
  <c r="AC137" i="1"/>
  <c r="AB137" i="1"/>
  <c r="Z137" i="1"/>
  <c r="J137" i="1"/>
  <c r="AL137" i="1" s="1"/>
  <c r="BJ135" i="1"/>
  <c r="BH135" i="1"/>
  <c r="AD135" i="1" s="1"/>
  <c r="BF135" i="1"/>
  <c r="BD135" i="1"/>
  <c r="AW135" i="1"/>
  <c r="AP135" i="1"/>
  <c r="AO135" i="1"/>
  <c r="H135" i="1" s="1"/>
  <c r="AK135" i="1"/>
  <c r="AJ135" i="1"/>
  <c r="AH135" i="1"/>
  <c r="AG135" i="1"/>
  <c r="AF135" i="1"/>
  <c r="AC135" i="1"/>
  <c r="AB135" i="1"/>
  <c r="Z135" i="1"/>
  <c r="J135" i="1"/>
  <c r="AL135" i="1" s="1"/>
  <c r="BJ132" i="1"/>
  <c r="BI132" i="1"/>
  <c r="AE132" i="1" s="1"/>
  <c r="BH132" i="1"/>
  <c r="AD132" i="1" s="1"/>
  <c r="BF132" i="1"/>
  <c r="BD132" i="1"/>
  <c r="AX132" i="1"/>
  <c r="AW132" i="1"/>
  <c r="BC132" i="1" s="1"/>
  <c r="AV132" i="1"/>
  <c r="AP132" i="1"/>
  <c r="I132" i="1" s="1"/>
  <c r="AO132" i="1"/>
  <c r="AL132" i="1"/>
  <c r="AK132" i="1"/>
  <c r="AJ132" i="1"/>
  <c r="AH132" i="1"/>
  <c r="AG132" i="1"/>
  <c r="AF132" i="1"/>
  <c r="AC132" i="1"/>
  <c r="AB132" i="1"/>
  <c r="Z132" i="1"/>
  <c r="J132" i="1"/>
  <c r="H132" i="1"/>
  <c r="BJ129" i="1"/>
  <c r="BI129" i="1"/>
  <c r="AE129" i="1" s="1"/>
  <c r="BH129" i="1"/>
  <c r="BF129" i="1"/>
  <c r="BD129" i="1"/>
  <c r="AX129" i="1"/>
  <c r="AW129" i="1"/>
  <c r="AP129" i="1"/>
  <c r="AO129" i="1"/>
  <c r="AL129" i="1"/>
  <c r="AK129" i="1"/>
  <c r="AJ129" i="1"/>
  <c r="AH129" i="1"/>
  <c r="AG129" i="1"/>
  <c r="AF129" i="1"/>
  <c r="AD129" i="1"/>
  <c r="AC129" i="1"/>
  <c r="AB129" i="1"/>
  <c r="Z129" i="1"/>
  <c r="J129" i="1"/>
  <c r="I129" i="1"/>
  <c r="H129" i="1"/>
  <c r="BJ125" i="1"/>
  <c r="BI125" i="1"/>
  <c r="BF125" i="1"/>
  <c r="BD125" i="1"/>
  <c r="AX125" i="1"/>
  <c r="AP125" i="1"/>
  <c r="AO125" i="1"/>
  <c r="BH125" i="1" s="1"/>
  <c r="AD125" i="1" s="1"/>
  <c r="AL125" i="1"/>
  <c r="AK125" i="1"/>
  <c r="AJ125" i="1"/>
  <c r="AH125" i="1"/>
  <c r="AG125" i="1"/>
  <c r="AF125" i="1"/>
  <c r="AE125" i="1"/>
  <c r="AC125" i="1"/>
  <c r="AB125" i="1"/>
  <c r="Z125" i="1"/>
  <c r="J125" i="1"/>
  <c r="I125" i="1"/>
  <c r="H125" i="1"/>
  <c r="BJ121" i="1"/>
  <c r="BF121" i="1"/>
  <c r="BD121" i="1"/>
  <c r="AP121" i="1"/>
  <c r="BI121" i="1" s="1"/>
  <c r="AO121" i="1"/>
  <c r="AW121" i="1" s="1"/>
  <c r="AL121" i="1"/>
  <c r="AK121" i="1"/>
  <c r="AJ121" i="1"/>
  <c r="AH121" i="1"/>
  <c r="AG121" i="1"/>
  <c r="AF121" i="1"/>
  <c r="AE121" i="1"/>
  <c r="AC121" i="1"/>
  <c r="AB121" i="1"/>
  <c r="Z121" i="1"/>
  <c r="J121" i="1"/>
  <c r="I121" i="1"/>
  <c r="BJ119" i="1"/>
  <c r="BF119" i="1"/>
  <c r="BD119" i="1"/>
  <c r="AP119" i="1"/>
  <c r="AX119" i="1" s="1"/>
  <c r="AO119" i="1"/>
  <c r="AK119" i="1"/>
  <c r="AJ119" i="1"/>
  <c r="AH119" i="1"/>
  <c r="AG119" i="1"/>
  <c r="AF119" i="1"/>
  <c r="AC119" i="1"/>
  <c r="AB119" i="1"/>
  <c r="Z119" i="1"/>
  <c r="J119" i="1"/>
  <c r="AL119" i="1" s="1"/>
  <c r="BJ117" i="1"/>
  <c r="BH117" i="1"/>
  <c r="AD117" i="1" s="1"/>
  <c r="BF117" i="1"/>
  <c r="BD117" i="1"/>
  <c r="AW117" i="1"/>
  <c r="AP117" i="1"/>
  <c r="AO117" i="1"/>
  <c r="H117" i="1" s="1"/>
  <c r="AK117" i="1"/>
  <c r="AJ117" i="1"/>
  <c r="AH117" i="1"/>
  <c r="AG117" i="1"/>
  <c r="AF117" i="1"/>
  <c r="AC117" i="1"/>
  <c r="AB117" i="1"/>
  <c r="Z117" i="1"/>
  <c r="J117" i="1"/>
  <c r="AL117" i="1" s="1"/>
  <c r="BJ115" i="1"/>
  <c r="BI115" i="1"/>
  <c r="AE115" i="1" s="1"/>
  <c r="BH115" i="1"/>
  <c r="AD115" i="1" s="1"/>
  <c r="BF115" i="1"/>
  <c r="BD115" i="1"/>
  <c r="AX115" i="1"/>
  <c r="AW115" i="1"/>
  <c r="BC115" i="1" s="1"/>
  <c r="AV115" i="1"/>
  <c r="AP115" i="1"/>
  <c r="I115" i="1" s="1"/>
  <c r="AO115" i="1"/>
  <c r="AL115" i="1"/>
  <c r="AK115" i="1"/>
  <c r="AJ115" i="1"/>
  <c r="AH115" i="1"/>
  <c r="AG115" i="1"/>
  <c r="AF115" i="1"/>
  <c r="AC115" i="1"/>
  <c r="AB115" i="1"/>
  <c r="Z115" i="1"/>
  <c r="J115" i="1"/>
  <c r="H115" i="1"/>
  <c r="BJ111" i="1"/>
  <c r="BI111" i="1"/>
  <c r="AE111" i="1" s="1"/>
  <c r="BH111" i="1"/>
  <c r="BF111" i="1"/>
  <c r="BD111" i="1"/>
  <c r="AX111" i="1"/>
  <c r="AW111" i="1"/>
  <c r="AP111" i="1"/>
  <c r="AO111" i="1"/>
  <c r="AL111" i="1"/>
  <c r="AK111" i="1"/>
  <c r="AJ111" i="1"/>
  <c r="AS110" i="1" s="1"/>
  <c r="AH111" i="1"/>
  <c r="AG111" i="1"/>
  <c r="AF111" i="1"/>
  <c r="AD111" i="1"/>
  <c r="AC111" i="1"/>
  <c r="AB111" i="1"/>
  <c r="Z111" i="1"/>
  <c r="J111" i="1"/>
  <c r="I111" i="1"/>
  <c r="H111" i="1"/>
  <c r="BJ109" i="1"/>
  <c r="Z109" i="1" s="1"/>
  <c r="BI109" i="1"/>
  <c r="BF109" i="1"/>
  <c r="BD109" i="1"/>
  <c r="AX109" i="1"/>
  <c r="AP109" i="1"/>
  <c r="AO109" i="1"/>
  <c r="BH109" i="1" s="1"/>
  <c r="AL109" i="1"/>
  <c r="AK109" i="1"/>
  <c r="AJ109" i="1"/>
  <c r="AH109" i="1"/>
  <c r="AG109" i="1"/>
  <c r="AF109" i="1"/>
  <c r="AE109" i="1"/>
  <c r="AD109" i="1"/>
  <c r="AC109" i="1"/>
  <c r="AB109" i="1"/>
  <c r="J109" i="1"/>
  <c r="I109" i="1"/>
  <c r="H109" i="1"/>
  <c r="BJ103" i="1"/>
  <c r="BF103" i="1"/>
  <c r="BD103" i="1"/>
  <c r="AP103" i="1"/>
  <c r="BI103" i="1" s="1"/>
  <c r="AE103" i="1" s="1"/>
  <c r="AO103" i="1"/>
  <c r="AW103" i="1" s="1"/>
  <c r="AL103" i="1"/>
  <c r="AK103" i="1"/>
  <c r="AJ103" i="1"/>
  <c r="AH103" i="1"/>
  <c r="AG103" i="1"/>
  <c r="AF103" i="1"/>
  <c r="AC103" i="1"/>
  <c r="AB103" i="1"/>
  <c r="Z103" i="1"/>
  <c r="J103" i="1"/>
  <c r="I103" i="1"/>
  <c r="BJ96" i="1"/>
  <c r="BF96" i="1"/>
  <c r="BD96" i="1"/>
  <c r="AP96" i="1"/>
  <c r="AX96" i="1" s="1"/>
  <c r="AO96" i="1"/>
  <c r="AK96" i="1"/>
  <c r="AJ96" i="1"/>
  <c r="AH96" i="1"/>
  <c r="AG96" i="1"/>
  <c r="AF96" i="1"/>
  <c r="AC96" i="1"/>
  <c r="AB96" i="1"/>
  <c r="Z96" i="1"/>
  <c r="J96" i="1"/>
  <c r="BJ93" i="1"/>
  <c r="BH93" i="1"/>
  <c r="AD93" i="1" s="1"/>
  <c r="BF93" i="1"/>
  <c r="BD93" i="1"/>
  <c r="AW93" i="1"/>
  <c r="AP93" i="1"/>
  <c r="AO93" i="1"/>
  <c r="H93" i="1" s="1"/>
  <c r="AK93" i="1"/>
  <c r="AJ93" i="1"/>
  <c r="AH93" i="1"/>
  <c r="AG93" i="1"/>
  <c r="AF93" i="1"/>
  <c r="AC93" i="1"/>
  <c r="AB93" i="1"/>
  <c r="Z93" i="1"/>
  <c r="J93" i="1"/>
  <c r="AL93" i="1" s="1"/>
  <c r="BJ88" i="1"/>
  <c r="BI88" i="1"/>
  <c r="AE88" i="1" s="1"/>
  <c r="BH88" i="1"/>
  <c r="AD88" i="1" s="1"/>
  <c r="BF88" i="1"/>
  <c r="BD88" i="1"/>
  <c r="AX88" i="1"/>
  <c r="AW88" i="1"/>
  <c r="BC88" i="1" s="1"/>
  <c r="AV88" i="1"/>
  <c r="AP88" i="1"/>
  <c r="I88" i="1" s="1"/>
  <c r="AO88" i="1"/>
  <c r="AL88" i="1"/>
  <c r="AK88" i="1"/>
  <c r="AJ88" i="1"/>
  <c r="AH88" i="1"/>
  <c r="AG88" i="1"/>
  <c r="AF88" i="1"/>
  <c r="AC88" i="1"/>
  <c r="AB88" i="1"/>
  <c r="Z88" i="1"/>
  <c r="J88" i="1"/>
  <c r="H88" i="1"/>
  <c r="BJ84" i="1"/>
  <c r="BI84" i="1"/>
  <c r="AE84" i="1" s="1"/>
  <c r="BH84" i="1"/>
  <c r="BF84" i="1"/>
  <c r="BD84" i="1"/>
  <c r="AX84" i="1"/>
  <c r="AW84" i="1"/>
  <c r="AP84" i="1"/>
  <c r="AO84" i="1"/>
  <c r="AL84" i="1"/>
  <c r="AK84" i="1"/>
  <c r="AJ84" i="1"/>
  <c r="AS75" i="1" s="1"/>
  <c r="AH84" i="1"/>
  <c r="AG84" i="1"/>
  <c r="AF84" i="1"/>
  <c r="AD84" i="1"/>
  <c r="AC84" i="1"/>
  <c r="AB84" i="1"/>
  <c r="Z84" i="1"/>
  <c r="J84" i="1"/>
  <c r="I84" i="1"/>
  <c r="H84" i="1"/>
  <c r="BJ80" i="1"/>
  <c r="BI80" i="1"/>
  <c r="BF80" i="1"/>
  <c r="BD80" i="1"/>
  <c r="AX80" i="1"/>
  <c r="AP80" i="1"/>
  <c r="AO80" i="1"/>
  <c r="BH80" i="1" s="1"/>
  <c r="AL80" i="1"/>
  <c r="AK80" i="1"/>
  <c r="AT75" i="1" s="1"/>
  <c r="AJ80" i="1"/>
  <c r="AH80" i="1"/>
  <c r="AG80" i="1"/>
  <c r="AF80" i="1"/>
  <c r="AE80" i="1"/>
  <c r="AD80" i="1"/>
  <c r="AC80" i="1"/>
  <c r="AB80" i="1"/>
  <c r="Z80" i="1"/>
  <c r="J80" i="1"/>
  <c r="I80" i="1"/>
  <c r="H80" i="1"/>
  <c r="BJ76" i="1"/>
  <c r="BF76" i="1"/>
  <c r="BD76" i="1"/>
  <c r="AP76" i="1"/>
  <c r="BI76" i="1" s="1"/>
  <c r="AO76" i="1"/>
  <c r="AW76" i="1" s="1"/>
  <c r="AL76" i="1"/>
  <c r="AK76" i="1"/>
  <c r="AJ76" i="1"/>
  <c r="AH76" i="1"/>
  <c r="AG76" i="1"/>
  <c r="AF76" i="1"/>
  <c r="AE76" i="1"/>
  <c r="AC76" i="1"/>
  <c r="AB76" i="1"/>
  <c r="Z76" i="1"/>
  <c r="J76" i="1"/>
  <c r="I76" i="1"/>
  <c r="BJ71" i="1"/>
  <c r="Z71" i="1" s="1"/>
  <c r="BI71" i="1"/>
  <c r="BF71" i="1"/>
  <c r="BD71" i="1"/>
  <c r="AX71" i="1"/>
  <c r="AW71" i="1"/>
  <c r="AP71" i="1"/>
  <c r="AO71" i="1"/>
  <c r="BH71" i="1" s="1"/>
  <c r="AL71" i="1"/>
  <c r="AK71" i="1"/>
  <c r="AJ71" i="1"/>
  <c r="AH71" i="1"/>
  <c r="AG71" i="1"/>
  <c r="AF71" i="1"/>
  <c r="AE71" i="1"/>
  <c r="AD71" i="1"/>
  <c r="AC71" i="1"/>
  <c r="AB71" i="1"/>
  <c r="J71" i="1"/>
  <c r="I71" i="1"/>
  <c r="H71" i="1"/>
  <c r="BJ68" i="1"/>
  <c r="Z68" i="1" s="1"/>
  <c r="BF68" i="1"/>
  <c r="BD68" i="1"/>
  <c r="AX68" i="1"/>
  <c r="AP68" i="1"/>
  <c r="BI68" i="1" s="1"/>
  <c r="AO68" i="1"/>
  <c r="BH68" i="1" s="1"/>
  <c r="AL68" i="1"/>
  <c r="AK68" i="1"/>
  <c r="AJ68" i="1"/>
  <c r="AH68" i="1"/>
  <c r="AG68" i="1"/>
  <c r="AF68" i="1"/>
  <c r="AE68" i="1"/>
  <c r="AD68" i="1"/>
  <c r="AC68" i="1"/>
  <c r="AB68" i="1"/>
  <c r="J68" i="1"/>
  <c r="I68" i="1"/>
  <c r="H68" i="1"/>
  <c r="BJ62" i="1"/>
  <c r="BF62" i="1"/>
  <c r="BD62" i="1"/>
  <c r="AP62" i="1"/>
  <c r="BI62" i="1" s="1"/>
  <c r="AO62" i="1"/>
  <c r="AW62" i="1" s="1"/>
  <c r="AL62" i="1"/>
  <c r="AK62" i="1"/>
  <c r="AJ62" i="1"/>
  <c r="AH62" i="1"/>
  <c r="AG62" i="1"/>
  <c r="AF62" i="1"/>
  <c r="AE62" i="1"/>
  <c r="AD62" i="1"/>
  <c r="AC62" i="1"/>
  <c r="AB62" i="1"/>
  <c r="Z62" i="1"/>
  <c r="J62" i="1"/>
  <c r="I62" i="1"/>
  <c r="BJ58" i="1"/>
  <c r="BF58" i="1"/>
  <c r="BD58" i="1"/>
  <c r="AP58" i="1"/>
  <c r="AX58" i="1" s="1"/>
  <c r="AO58" i="1"/>
  <c r="AK58" i="1"/>
  <c r="AJ58" i="1"/>
  <c r="AH58" i="1"/>
  <c r="AG58" i="1"/>
  <c r="AF58" i="1"/>
  <c r="AE58" i="1"/>
  <c r="AD58" i="1"/>
  <c r="AC58" i="1"/>
  <c r="AB58" i="1"/>
  <c r="Z58" i="1"/>
  <c r="J58" i="1"/>
  <c r="BJ55" i="1"/>
  <c r="BH55" i="1"/>
  <c r="BF55" i="1"/>
  <c r="BD55" i="1"/>
  <c r="AW55" i="1"/>
  <c r="AP55" i="1"/>
  <c r="AO55" i="1"/>
  <c r="AL55" i="1"/>
  <c r="AK55" i="1"/>
  <c r="AJ55" i="1"/>
  <c r="AH55" i="1"/>
  <c r="AG55" i="1"/>
  <c r="AF55" i="1"/>
  <c r="AE55" i="1"/>
  <c r="AD55" i="1"/>
  <c r="AC55" i="1"/>
  <c r="AB55" i="1"/>
  <c r="Z55" i="1"/>
  <c r="J55" i="1"/>
  <c r="H55" i="1"/>
  <c r="BJ52" i="1"/>
  <c r="Z52" i="1" s="1"/>
  <c r="BI52" i="1"/>
  <c r="BH52" i="1"/>
  <c r="BF52" i="1"/>
  <c r="BD52" i="1"/>
  <c r="AX52" i="1"/>
  <c r="AW52" i="1"/>
  <c r="BC52" i="1" s="1"/>
  <c r="AV52" i="1"/>
  <c r="AP52" i="1"/>
  <c r="AO52" i="1"/>
  <c r="AL52" i="1"/>
  <c r="AK52" i="1"/>
  <c r="AJ52" i="1"/>
  <c r="AH52" i="1"/>
  <c r="AG52" i="1"/>
  <c r="AF52" i="1"/>
  <c r="AE52" i="1"/>
  <c r="AD52" i="1"/>
  <c r="AC52" i="1"/>
  <c r="AB52" i="1"/>
  <c r="J52" i="1"/>
  <c r="I52" i="1"/>
  <c r="H52" i="1"/>
  <c r="BJ49" i="1"/>
  <c r="Z49" i="1" s="1"/>
  <c r="BI49" i="1"/>
  <c r="BF49" i="1"/>
  <c r="BD49" i="1"/>
  <c r="AX49" i="1"/>
  <c r="AW49" i="1"/>
  <c r="AP49" i="1"/>
  <c r="AO49" i="1"/>
  <c r="BH49" i="1" s="1"/>
  <c r="AL49" i="1"/>
  <c r="AK49" i="1"/>
  <c r="AJ49" i="1"/>
  <c r="AH49" i="1"/>
  <c r="AG49" i="1"/>
  <c r="AF49" i="1"/>
  <c r="AE49" i="1"/>
  <c r="AD49" i="1"/>
  <c r="AC49" i="1"/>
  <c r="AB49" i="1"/>
  <c r="J49" i="1"/>
  <c r="I49" i="1"/>
  <c r="H49" i="1"/>
  <c r="BJ47" i="1"/>
  <c r="Z47" i="1" s="1"/>
  <c r="BF47" i="1"/>
  <c r="BD47" i="1"/>
  <c r="AX47" i="1"/>
  <c r="AP47" i="1"/>
  <c r="BI47" i="1" s="1"/>
  <c r="AO47" i="1"/>
  <c r="BH47" i="1" s="1"/>
  <c r="AL47" i="1"/>
  <c r="AK47" i="1"/>
  <c r="AJ47" i="1"/>
  <c r="AH47" i="1"/>
  <c r="AG47" i="1"/>
  <c r="AF47" i="1"/>
  <c r="AE47" i="1"/>
  <c r="AD47" i="1"/>
  <c r="AC47" i="1"/>
  <c r="AB47" i="1"/>
  <c r="J47" i="1"/>
  <c r="I47" i="1"/>
  <c r="H47" i="1"/>
  <c r="BJ45" i="1"/>
  <c r="BF45" i="1"/>
  <c r="BD45" i="1"/>
  <c r="AP45" i="1"/>
  <c r="BI45" i="1" s="1"/>
  <c r="AO45" i="1"/>
  <c r="AW45" i="1" s="1"/>
  <c r="AL45" i="1"/>
  <c r="AK45" i="1"/>
  <c r="AJ45" i="1"/>
  <c r="AH45" i="1"/>
  <c r="AG45" i="1"/>
  <c r="AF45" i="1"/>
  <c r="AE45" i="1"/>
  <c r="AD45" i="1"/>
  <c r="AC45" i="1"/>
  <c r="AB45" i="1"/>
  <c r="Z45" i="1"/>
  <c r="J45" i="1"/>
  <c r="I45" i="1"/>
  <c r="BJ43" i="1"/>
  <c r="BF43" i="1"/>
  <c r="BD43" i="1"/>
  <c r="AP43" i="1"/>
  <c r="AX43" i="1" s="1"/>
  <c r="AO43" i="1"/>
  <c r="AK43" i="1"/>
  <c r="AJ43" i="1"/>
  <c r="AH43" i="1"/>
  <c r="AE43" i="1"/>
  <c r="AD43" i="1"/>
  <c r="AC43" i="1"/>
  <c r="AB43" i="1"/>
  <c r="Z43" i="1"/>
  <c r="J43" i="1"/>
  <c r="AL43" i="1" s="1"/>
  <c r="BJ42" i="1"/>
  <c r="BH42" i="1"/>
  <c r="AF42" i="1" s="1"/>
  <c r="BF42" i="1"/>
  <c r="BD42" i="1"/>
  <c r="AW42" i="1"/>
  <c r="AP42" i="1"/>
  <c r="AO42" i="1"/>
  <c r="AK42" i="1"/>
  <c r="AJ42" i="1"/>
  <c r="AH42" i="1"/>
  <c r="AE42" i="1"/>
  <c r="AD42" i="1"/>
  <c r="AC42" i="1"/>
  <c r="AB42" i="1"/>
  <c r="Z42" i="1"/>
  <c r="J42" i="1"/>
  <c r="AL42" i="1" s="1"/>
  <c r="H42" i="1"/>
  <c r="BJ41" i="1"/>
  <c r="BI41" i="1"/>
  <c r="AG41" i="1" s="1"/>
  <c r="BH41" i="1"/>
  <c r="AF41" i="1" s="1"/>
  <c r="BF41" i="1"/>
  <c r="BD41" i="1"/>
  <c r="AX41" i="1"/>
  <c r="AW41" i="1"/>
  <c r="BC41" i="1" s="1"/>
  <c r="AV41" i="1"/>
  <c r="AP41" i="1"/>
  <c r="AO41" i="1"/>
  <c r="AL41" i="1"/>
  <c r="AK41" i="1"/>
  <c r="AJ41" i="1"/>
  <c r="AH41" i="1"/>
  <c r="AE41" i="1"/>
  <c r="AD41" i="1"/>
  <c r="AC41" i="1"/>
  <c r="AB41" i="1"/>
  <c r="Z41" i="1"/>
  <c r="J41" i="1"/>
  <c r="I41" i="1"/>
  <c r="H41" i="1"/>
  <c r="BJ40" i="1"/>
  <c r="BI40" i="1"/>
  <c r="AG40" i="1" s="1"/>
  <c r="BF40" i="1"/>
  <c r="BD40" i="1"/>
  <c r="AX40" i="1"/>
  <c r="AW40" i="1"/>
  <c r="AP40" i="1"/>
  <c r="AO40" i="1"/>
  <c r="BH40" i="1" s="1"/>
  <c r="AF40" i="1" s="1"/>
  <c r="AL40" i="1"/>
  <c r="AK40" i="1"/>
  <c r="AJ40" i="1"/>
  <c r="AH40" i="1"/>
  <c r="AE40" i="1"/>
  <c r="AD40" i="1"/>
  <c r="AC40" i="1"/>
  <c r="AB40" i="1"/>
  <c r="Z40" i="1"/>
  <c r="J40" i="1"/>
  <c r="I40" i="1"/>
  <c r="H40" i="1"/>
  <c r="BJ39" i="1"/>
  <c r="BF39" i="1"/>
  <c r="BD39" i="1"/>
  <c r="AX39" i="1"/>
  <c r="AP39" i="1"/>
  <c r="BI39" i="1" s="1"/>
  <c r="AG39" i="1" s="1"/>
  <c r="AO39" i="1"/>
  <c r="BH39" i="1" s="1"/>
  <c r="AF39" i="1" s="1"/>
  <c r="AL39" i="1"/>
  <c r="AK39" i="1"/>
  <c r="AT35" i="1" s="1"/>
  <c r="AJ39" i="1"/>
  <c r="AH39" i="1"/>
  <c r="AE39" i="1"/>
  <c r="AD39" i="1"/>
  <c r="AC39" i="1"/>
  <c r="AB39" i="1"/>
  <c r="Z39" i="1"/>
  <c r="J39" i="1"/>
  <c r="I39" i="1"/>
  <c r="H39" i="1"/>
  <c r="BJ38" i="1"/>
  <c r="BF38" i="1"/>
  <c r="BD38" i="1"/>
  <c r="AP38" i="1"/>
  <c r="BI38" i="1" s="1"/>
  <c r="AG38" i="1" s="1"/>
  <c r="AO38" i="1"/>
  <c r="AW38" i="1" s="1"/>
  <c r="AL38" i="1"/>
  <c r="AK38" i="1"/>
  <c r="AJ38" i="1"/>
  <c r="AH38" i="1"/>
  <c r="AE38" i="1"/>
  <c r="AD38" i="1"/>
  <c r="AC38" i="1"/>
  <c r="AB38" i="1"/>
  <c r="Z38" i="1"/>
  <c r="J38" i="1"/>
  <c r="I38" i="1"/>
  <c r="BJ37" i="1"/>
  <c r="BF37" i="1"/>
  <c r="BD37" i="1"/>
  <c r="AP37" i="1"/>
  <c r="AX37" i="1" s="1"/>
  <c r="AO37" i="1"/>
  <c r="AK37" i="1"/>
  <c r="AJ37" i="1"/>
  <c r="AH37" i="1"/>
  <c r="AE37" i="1"/>
  <c r="AD37" i="1"/>
  <c r="AC37" i="1"/>
  <c r="AB37" i="1"/>
  <c r="Z37" i="1"/>
  <c r="J37" i="1"/>
  <c r="BJ36" i="1"/>
  <c r="BH36" i="1"/>
  <c r="AF36" i="1" s="1"/>
  <c r="BF36" i="1"/>
  <c r="BD36" i="1"/>
  <c r="AW36" i="1"/>
  <c r="AP36" i="1"/>
  <c r="AO36" i="1"/>
  <c r="AK36" i="1"/>
  <c r="AJ36" i="1"/>
  <c r="AH36" i="1"/>
  <c r="AE36" i="1"/>
  <c r="AD36" i="1"/>
  <c r="AC36" i="1"/>
  <c r="AB36" i="1"/>
  <c r="Z36" i="1"/>
  <c r="J36" i="1"/>
  <c r="AL36" i="1" s="1"/>
  <c r="H36" i="1"/>
  <c r="AS35" i="1"/>
  <c r="BJ28" i="1"/>
  <c r="BI28" i="1"/>
  <c r="BH28" i="1"/>
  <c r="BF28" i="1"/>
  <c r="BD28" i="1"/>
  <c r="AX28" i="1"/>
  <c r="AW28" i="1"/>
  <c r="BC28" i="1" s="1"/>
  <c r="AV28" i="1"/>
  <c r="AP28" i="1"/>
  <c r="AO28" i="1"/>
  <c r="AL28" i="1"/>
  <c r="AK28" i="1"/>
  <c r="AJ28" i="1"/>
  <c r="AH28" i="1"/>
  <c r="AG28" i="1"/>
  <c r="AF28" i="1"/>
  <c r="AE28" i="1"/>
  <c r="AD28" i="1"/>
  <c r="AC28" i="1"/>
  <c r="AB28" i="1"/>
  <c r="Z28" i="1"/>
  <c r="J28" i="1"/>
  <c r="I28" i="1"/>
  <c r="H28" i="1"/>
  <c r="BJ26" i="1"/>
  <c r="BI26" i="1"/>
  <c r="AC26" i="1" s="1"/>
  <c r="BF26" i="1"/>
  <c r="BD26" i="1"/>
  <c r="AX26" i="1"/>
  <c r="AW26" i="1"/>
  <c r="AP26" i="1"/>
  <c r="AO26" i="1"/>
  <c r="BH26" i="1" s="1"/>
  <c r="AB26" i="1" s="1"/>
  <c r="AL26" i="1"/>
  <c r="AK26" i="1"/>
  <c r="AJ26" i="1"/>
  <c r="AS16" i="1" s="1"/>
  <c r="AH26" i="1"/>
  <c r="AG26" i="1"/>
  <c r="AF26" i="1"/>
  <c r="AE26" i="1"/>
  <c r="AD26" i="1"/>
  <c r="Z26" i="1"/>
  <c r="J26" i="1"/>
  <c r="I26" i="1"/>
  <c r="H26" i="1"/>
  <c r="BJ17" i="1"/>
  <c r="BF17" i="1"/>
  <c r="BD17" i="1"/>
  <c r="AX17" i="1"/>
  <c r="AP17" i="1"/>
  <c r="BI17" i="1" s="1"/>
  <c r="AC17" i="1" s="1"/>
  <c r="AO17" i="1"/>
  <c r="BH17" i="1" s="1"/>
  <c r="AB17" i="1" s="1"/>
  <c r="AL17" i="1"/>
  <c r="AU16" i="1" s="1"/>
  <c r="AK17" i="1"/>
  <c r="AT16" i="1" s="1"/>
  <c r="AJ17" i="1"/>
  <c r="AH17" i="1"/>
  <c r="AG17" i="1"/>
  <c r="AF17" i="1"/>
  <c r="AE17" i="1"/>
  <c r="AD17" i="1"/>
  <c r="Z17" i="1"/>
  <c r="J17" i="1"/>
  <c r="J16" i="1" s="1"/>
  <c r="I17" i="1"/>
  <c r="H17" i="1"/>
  <c r="H16" i="1" s="1"/>
  <c r="I16" i="1"/>
  <c r="BJ14" i="1"/>
  <c r="BF14" i="1"/>
  <c r="BD14" i="1"/>
  <c r="AP14" i="1"/>
  <c r="BI14" i="1" s="1"/>
  <c r="AG14" i="1" s="1"/>
  <c r="AO14" i="1"/>
  <c r="AL14" i="1"/>
  <c r="AU13" i="1" s="1"/>
  <c r="AK14" i="1"/>
  <c r="AJ14" i="1"/>
  <c r="AH14" i="1"/>
  <c r="AE14" i="1"/>
  <c r="AD14" i="1"/>
  <c r="AC14" i="1"/>
  <c r="AB14" i="1"/>
  <c r="Z14" i="1"/>
  <c r="J14" i="1"/>
  <c r="I14" i="1"/>
  <c r="AT13" i="1"/>
  <c r="AS13" i="1"/>
  <c r="J13" i="1"/>
  <c r="I13" i="1"/>
  <c r="AU1" i="1"/>
  <c r="AT1" i="1"/>
  <c r="AS1" i="1"/>
  <c r="BC167" i="1" l="1"/>
  <c r="AV167" i="1"/>
  <c r="AV26" i="1"/>
  <c r="BC26" i="1"/>
  <c r="C17" i="4"/>
  <c r="I36" i="1"/>
  <c r="BI36" i="1"/>
  <c r="AG36" i="1" s="1"/>
  <c r="C19" i="2" s="1"/>
  <c r="AX36" i="1"/>
  <c r="AV36" i="1" s="1"/>
  <c r="AL37" i="1"/>
  <c r="J35" i="1"/>
  <c r="J745" i="1" s="1"/>
  <c r="H43" i="1"/>
  <c r="AW43" i="1"/>
  <c r="BH43" i="1"/>
  <c r="AF43" i="1" s="1"/>
  <c r="AT44" i="1"/>
  <c r="I55" i="1"/>
  <c r="AX55" i="1"/>
  <c r="AV55" i="1" s="1"/>
  <c r="BI55" i="1"/>
  <c r="I93" i="1"/>
  <c r="I75" i="1" s="1"/>
  <c r="AX93" i="1"/>
  <c r="AV93" i="1" s="1"/>
  <c r="BI93" i="1"/>
  <c r="AE93" i="1" s="1"/>
  <c r="AU35" i="1"/>
  <c r="BC36" i="1"/>
  <c r="BC62" i="1"/>
  <c r="BC93" i="1"/>
  <c r="H119" i="1"/>
  <c r="AW119" i="1"/>
  <c r="BH119" i="1"/>
  <c r="AD119" i="1" s="1"/>
  <c r="BC145" i="1"/>
  <c r="AV145" i="1"/>
  <c r="H154" i="1"/>
  <c r="AW154" i="1"/>
  <c r="BH154" i="1"/>
  <c r="AD154" i="1" s="1"/>
  <c r="H197" i="1"/>
  <c r="AW197" i="1"/>
  <c r="BH197" i="1"/>
  <c r="AD197" i="1" s="1"/>
  <c r="AV206" i="1"/>
  <c r="BC206" i="1"/>
  <c r="AL215" i="1"/>
  <c r="AU205" i="1" s="1"/>
  <c r="J205" i="1"/>
  <c r="BC230" i="1"/>
  <c r="AV230" i="1"/>
  <c r="H384" i="1"/>
  <c r="AW384" i="1"/>
  <c r="BH384" i="1"/>
  <c r="AD384" i="1" s="1"/>
  <c r="I401" i="1"/>
  <c r="AX401" i="1"/>
  <c r="AV401" i="1" s="1"/>
  <c r="BI401" i="1"/>
  <c r="AE401" i="1" s="1"/>
  <c r="BC497" i="1"/>
  <c r="AV497" i="1"/>
  <c r="AL302" i="1"/>
  <c r="AU301" i="1" s="1"/>
  <c r="J301" i="1"/>
  <c r="AV38" i="1"/>
  <c r="I42" i="1"/>
  <c r="BI42" i="1"/>
  <c r="AG42" i="1" s="1"/>
  <c r="AX42" i="1"/>
  <c r="AV42" i="1" s="1"/>
  <c r="AV103" i="1"/>
  <c r="BC111" i="1"/>
  <c r="AV111" i="1"/>
  <c r="I135" i="1"/>
  <c r="AX135" i="1"/>
  <c r="AV135" i="1" s="1"/>
  <c r="BI135" i="1"/>
  <c r="AE135" i="1" s="1"/>
  <c r="AV183" i="1"/>
  <c r="AW219" i="1"/>
  <c r="H219" i="1"/>
  <c r="H205" i="1" s="1"/>
  <c r="BH227" i="1"/>
  <c r="AW227" i="1"/>
  <c r="H227" i="1"/>
  <c r="AS229" i="1"/>
  <c r="C25" i="8" s="1"/>
  <c r="BH307" i="1"/>
  <c r="AD307" i="1" s="1"/>
  <c r="AW307" i="1"/>
  <c r="H307" i="1"/>
  <c r="AW419" i="1"/>
  <c r="BH419" i="1"/>
  <c r="AD419" i="1" s="1"/>
  <c r="H419" i="1"/>
  <c r="H418" i="1" s="1"/>
  <c r="I468" i="1"/>
  <c r="I451" i="1" s="1"/>
  <c r="AX468" i="1"/>
  <c r="AV468" i="1" s="1"/>
  <c r="BI468" i="1"/>
  <c r="H96" i="1"/>
  <c r="AW96" i="1"/>
  <c r="BH96" i="1"/>
  <c r="AD96" i="1" s="1"/>
  <c r="BC40" i="1"/>
  <c r="AV40" i="1"/>
  <c r="BC84" i="1"/>
  <c r="AV84" i="1"/>
  <c r="AT110" i="1"/>
  <c r="C26" i="6" s="1"/>
  <c r="F26" i="6" s="1"/>
  <c r="I117" i="1"/>
  <c r="AX117" i="1"/>
  <c r="AV117" i="1" s="1"/>
  <c r="BI117" i="1"/>
  <c r="AE117" i="1" s="1"/>
  <c r="AV140" i="1"/>
  <c r="I151" i="1"/>
  <c r="AX151" i="1"/>
  <c r="AV151" i="1" s="1"/>
  <c r="BI151" i="1"/>
  <c r="AE151" i="1" s="1"/>
  <c r="I193" i="1"/>
  <c r="AX193" i="1"/>
  <c r="AV193" i="1" s="1"/>
  <c r="BI193" i="1"/>
  <c r="AE193" i="1" s="1"/>
  <c r="BC209" i="1"/>
  <c r="AV209" i="1"/>
  <c r="J229" i="1"/>
  <c r="AL236" i="1"/>
  <c r="AU229" i="1" s="1"/>
  <c r="BH269" i="1"/>
  <c r="AD269" i="1" s="1"/>
  <c r="AW269" i="1"/>
  <c r="H269" i="1"/>
  <c r="J12" i="1"/>
  <c r="BC135" i="1"/>
  <c r="C25" i="6"/>
  <c r="BC117" i="1"/>
  <c r="H137" i="1"/>
  <c r="AW137" i="1"/>
  <c r="BH137" i="1"/>
  <c r="AD137" i="1" s="1"/>
  <c r="BC193" i="1"/>
  <c r="AW241" i="1"/>
  <c r="H241" i="1"/>
  <c r="H229" i="1" s="1"/>
  <c r="I349" i="1"/>
  <c r="AX349" i="1"/>
  <c r="AV349" i="1" s="1"/>
  <c r="BI349" i="1"/>
  <c r="AE349" i="1" s="1"/>
  <c r="AX366" i="1"/>
  <c r="BI366" i="1"/>
  <c r="AE366" i="1" s="1"/>
  <c r="I366" i="1"/>
  <c r="BI436" i="1"/>
  <c r="AG436" i="1" s="1"/>
  <c r="I436" i="1"/>
  <c r="I435" i="1" s="1"/>
  <c r="AX436" i="1"/>
  <c r="BC71" i="1"/>
  <c r="AV71" i="1"/>
  <c r="H178" i="1"/>
  <c r="AW178" i="1"/>
  <c r="BH178" i="1"/>
  <c r="AD178" i="1" s="1"/>
  <c r="H37" i="1"/>
  <c r="AW37" i="1"/>
  <c r="BH37" i="1"/>
  <c r="AF37" i="1" s="1"/>
  <c r="AV49" i="1"/>
  <c r="BC49" i="1"/>
  <c r="H58" i="1"/>
  <c r="AW58" i="1"/>
  <c r="BH58" i="1"/>
  <c r="AW14" i="1"/>
  <c r="BH14" i="1"/>
  <c r="AF14" i="1" s="1"/>
  <c r="H14" i="1"/>
  <c r="H13" i="1" s="1"/>
  <c r="AS44" i="1"/>
  <c r="C25" i="4" s="1"/>
  <c r="J44" i="1"/>
  <c r="AL58" i="1"/>
  <c r="AU44" i="1" s="1"/>
  <c r="J75" i="1"/>
  <c r="AL96" i="1"/>
  <c r="AU75" i="1" s="1"/>
  <c r="C27" i="6" s="1"/>
  <c r="F27" i="6" s="1"/>
  <c r="AV121" i="1"/>
  <c r="BC129" i="1"/>
  <c r="AV129" i="1"/>
  <c r="I174" i="1"/>
  <c r="AX174" i="1"/>
  <c r="AV174" i="1" s="1"/>
  <c r="BI174" i="1"/>
  <c r="AE174" i="1" s="1"/>
  <c r="BC187" i="1"/>
  <c r="AV187" i="1"/>
  <c r="AU189" i="1"/>
  <c r="BH219" i="1"/>
  <c r="AD219" i="1" s="1"/>
  <c r="BC360" i="1"/>
  <c r="AV360" i="1"/>
  <c r="AW388" i="1"/>
  <c r="BH388" i="1"/>
  <c r="H388" i="1"/>
  <c r="I363" i="1"/>
  <c r="AX363" i="1"/>
  <c r="AV363" i="1" s="1"/>
  <c r="BI363" i="1"/>
  <c r="AE363" i="1" s="1"/>
  <c r="C16" i="4"/>
  <c r="C28" i="2"/>
  <c r="F28" i="2" s="1"/>
  <c r="AX14" i="1"/>
  <c r="AW17" i="1"/>
  <c r="I37" i="1"/>
  <c r="H38" i="1"/>
  <c r="AX38" i="1"/>
  <c r="BC38" i="1" s="1"/>
  <c r="AW39" i="1"/>
  <c r="I43" i="1"/>
  <c r="H45" i="1"/>
  <c r="AX45" i="1"/>
  <c r="BC45" i="1" s="1"/>
  <c r="AW47" i="1"/>
  <c r="I58" i="1"/>
  <c r="H62" i="1"/>
  <c r="AX62" i="1"/>
  <c r="AV62" i="1" s="1"/>
  <c r="AW68" i="1"/>
  <c r="H76" i="1"/>
  <c r="H75" i="1" s="1"/>
  <c r="AX76" i="1"/>
  <c r="AV76" i="1" s="1"/>
  <c r="AW80" i="1"/>
  <c r="I96" i="1"/>
  <c r="H103" i="1"/>
  <c r="AX103" i="1"/>
  <c r="BC103" i="1" s="1"/>
  <c r="AW109" i="1"/>
  <c r="I119" i="1"/>
  <c r="I110" i="1" s="1"/>
  <c r="H121" i="1"/>
  <c r="H110" i="1" s="1"/>
  <c r="AX121" i="1"/>
  <c r="BC121" i="1" s="1"/>
  <c r="AW125" i="1"/>
  <c r="I137" i="1"/>
  <c r="H140" i="1"/>
  <c r="AX140" i="1"/>
  <c r="BC140" i="1" s="1"/>
  <c r="AW142" i="1"/>
  <c r="I154" i="1"/>
  <c r="H158" i="1"/>
  <c r="AX158" i="1"/>
  <c r="BC158" i="1" s="1"/>
  <c r="AW162" i="1"/>
  <c r="I178" i="1"/>
  <c r="H183" i="1"/>
  <c r="AX183" i="1"/>
  <c r="BC183" i="1" s="1"/>
  <c r="AW185" i="1"/>
  <c r="I197" i="1"/>
  <c r="H202" i="1"/>
  <c r="AX202" i="1"/>
  <c r="BC202" i="1" s="1"/>
  <c r="C21" i="8"/>
  <c r="BC211" i="1"/>
  <c r="BC232" i="1"/>
  <c r="H248" i="1"/>
  <c r="BI263" i="1"/>
  <c r="AE263" i="1" s="1"/>
  <c r="AX263" i="1"/>
  <c r="AV276" i="1"/>
  <c r="BI305" i="1"/>
  <c r="AE305" i="1" s="1"/>
  <c r="AX305" i="1"/>
  <c r="AV312" i="1"/>
  <c r="I335" i="1"/>
  <c r="AX335" i="1"/>
  <c r="AV335" i="1" s="1"/>
  <c r="BI335" i="1"/>
  <c r="AE335" i="1" s="1"/>
  <c r="AX351" i="1"/>
  <c r="BI351" i="1"/>
  <c r="AE351" i="1" s="1"/>
  <c r="I351" i="1"/>
  <c r="H366" i="1"/>
  <c r="AW366" i="1"/>
  <c r="BH366" i="1"/>
  <c r="AD366" i="1" s="1"/>
  <c r="AX405" i="1"/>
  <c r="BI405" i="1"/>
  <c r="AE405" i="1" s="1"/>
  <c r="I405" i="1"/>
  <c r="AL444" i="1"/>
  <c r="AU443" i="1" s="1"/>
  <c r="J443" i="1"/>
  <c r="AW450" i="1"/>
  <c r="BH450" i="1"/>
  <c r="H450" i="1"/>
  <c r="J451" i="1"/>
  <c r="AL452" i="1"/>
  <c r="AU451" i="1" s="1"/>
  <c r="H501" i="1"/>
  <c r="AW501" i="1"/>
  <c r="BH501" i="1"/>
  <c r="AV614" i="1"/>
  <c r="BC614" i="1"/>
  <c r="I499" i="1"/>
  <c r="AX499" i="1"/>
  <c r="AV499" i="1" s="1"/>
  <c r="BI499" i="1"/>
  <c r="AE499" i="1" s="1"/>
  <c r="AL513" i="1"/>
  <c r="J507" i="1"/>
  <c r="J390" i="1"/>
  <c r="AL405" i="1"/>
  <c r="AU390" i="1" s="1"/>
  <c r="I419" i="1"/>
  <c r="I418" i="1" s="1"/>
  <c r="AX419" i="1"/>
  <c r="BI419" i="1"/>
  <c r="AE419" i="1" s="1"/>
  <c r="C21" i="6"/>
  <c r="C19" i="6"/>
  <c r="AT205" i="1"/>
  <c r="C26" i="8" s="1"/>
  <c r="F26" i="8" s="1"/>
  <c r="H320" i="1"/>
  <c r="AW320" i="1"/>
  <c r="BH320" i="1"/>
  <c r="AD320" i="1" s="1"/>
  <c r="AW341" i="1"/>
  <c r="BH341" i="1"/>
  <c r="AD341" i="1" s="1"/>
  <c r="H341" i="1"/>
  <c r="BC345" i="1"/>
  <c r="AV345" i="1"/>
  <c r="BC349" i="1"/>
  <c r="I382" i="1"/>
  <c r="AX382" i="1"/>
  <c r="AV382" i="1" s="1"/>
  <c r="BI382" i="1"/>
  <c r="AE382" i="1" s="1"/>
  <c r="BC394" i="1"/>
  <c r="AV394" i="1"/>
  <c r="BC401" i="1"/>
  <c r="BH452" i="1"/>
  <c r="AD452" i="1" s="1"/>
  <c r="C16" i="10" s="1"/>
  <c r="AW452" i="1"/>
  <c r="H452" i="1"/>
  <c r="H451" i="1" s="1"/>
  <c r="AW723" i="1"/>
  <c r="BH723" i="1"/>
  <c r="AD723" i="1" s="1"/>
  <c r="H723" i="1"/>
  <c r="C18" i="6"/>
  <c r="I299" i="1"/>
  <c r="AX299" i="1"/>
  <c r="AV299" i="1" s="1"/>
  <c r="AW323" i="1"/>
  <c r="BH323" i="1"/>
  <c r="AD323" i="1" s="1"/>
  <c r="H323" i="1"/>
  <c r="AX384" i="1"/>
  <c r="BI384" i="1"/>
  <c r="AE384" i="1" s="1"/>
  <c r="I384" i="1"/>
  <c r="C21" i="4"/>
  <c r="C21" i="2"/>
  <c r="C14" i="4"/>
  <c r="BI37" i="1"/>
  <c r="AG37" i="1" s="1"/>
  <c r="BH38" i="1"/>
  <c r="AF38" i="1" s="1"/>
  <c r="BI43" i="1"/>
  <c r="AG43" i="1" s="1"/>
  <c r="BH45" i="1"/>
  <c r="BI58" i="1"/>
  <c r="BH62" i="1"/>
  <c r="C14" i="6"/>
  <c r="C20" i="6"/>
  <c r="BH76" i="1"/>
  <c r="AD76" i="1" s="1"/>
  <c r="C16" i="2" s="1"/>
  <c r="BI96" i="1"/>
  <c r="AE96" i="1" s="1"/>
  <c r="C17" i="6" s="1"/>
  <c r="BH103" i="1"/>
  <c r="AD103" i="1" s="1"/>
  <c r="J110" i="1"/>
  <c r="BI119" i="1"/>
  <c r="AE119" i="1" s="1"/>
  <c r="BH121" i="1"/>
  <c r="AD121" i="1" s="1"/>
  <c r="BI137" i="1"/>
  <c r="AE137" i="1" s="1"/>
  <c r="BH140" i="1"/>
  <c r="AD140" i="1" s="1"/>
  <c r="BI154" i="1"/>
  <c r="AE154" i="1" s="1"/>
  <c r="BH158" i="1"/>
  <c r="AD158" i="1" s="1"/>
  <c r="BI178" i="1"/>
  <c r="AE178" i="1" s="1"/>
  <c r="BH183" i="1"/>
  <c r="AD183" i="1" s="1"/>
  <c r="BI197" i="1"/>
  <c r="AE197" i="1" s="1"/>
  <c r="BH202" i="1"/>
  <c r="BH215" i="1"/>
  <c r="AD215" i="1" s="1"/>
  <c r="C16" i="8" s="1"/>
  <c r="BH236" i="1"/>
  <c r="AD236" i="1" s="1"/>
  <c r="AW248" i="1"/>
  <c r="H259" i="1"/>
  <c r="AW259" i="1"/>
  <c r="BC299" i="1"/>
  <c r="H302" i="1"/>
  <c r="AW302" i="1"/>
  <c r="AX320" i="1"/>
  <c r="BI320" i="1"/>
  <c r="AE320" i="1" s="1"/>
  <c r="I320" i="1"/>
  <c r="H338" i="1"/>
  <c r="AW338" i="1"/>
  <c r="BH338" i="1"/>
  <c r="AD338" i="1" s="1"/>
  <c r="AW353" i="1"/>
  <c r="BH353" i="1"/>
  <c r="AD353" i="1" s="1"/>
  <c r="H353" i="1"/>
  <c r="BC357" i="1"/>
  <c r="AV357" i="1"/>
  <c r="BC363" i="1"/>
  <c r="AW409" i="1"/>
  <c r="BH409" i="1"/>
  <c r="AD409" i="1" s="1"/>
  <c r="H409" i="1"/>
  <c r="BC416" i="1"/>
  <c r="AV416" i="1"/>
  <c r="AL439" i="1"/>
  <c r="AU438" i="1" s="1"/>
  <c r="J438" i="1"/>
  <c r="AV439" i="1"/>
  <c r="BC439" i="1"/>
  <c r="C15" i="8"/>
  <c r="BI219" i="1"/>
  <c r="AE219" i="1" s="1"/>
  <c r="AX219" i="1"/>
  <c r="BI241" i="1"/>
  <c r="AE241" i="1" s="1"/>
  <c r="AX241" i="1"/>
  <c r="BC330" i="1"/>
  <c r="AV330" i="1"/>
  <c r="C26" i="4"/>
  <c r="F26" i="4" s="1"/>
  <c r="C20" i="4"/>
  <c r="C20" i="2"/>
  <c r="C15" i="4"/>
  <c r="C15" i="2"/>
  <c r="C27" i="2"/>
  <c r="C15" i="6"/>
  <c r="J189" i="1"/>
  <c r="C18" i="8"/>
  <c r="AV211" i="1"/>
  <c r="BI211" i="1"/>
  <c r="AE211" i="1" s="1"/>
  <c r="C17" i="8" s="1"/>
  <c r="AX215" i="1"/>
  <c r="BC215" i="1" s="1"/>
  <c r="I215" i="1"/>
  <c r="I205" i="1" s="1"/>
  <c r="BI215" i="1"/>
  <c r="AE215" i="1" s="1"/>
  <c r="BH223" i="1"/>
  <c r="AD223" i="1" s="1"/>
  <c r="AW223" i="1"/>
  <c r="AV232" i="1"/>
  <c r="BI232" i="1"/>
  <c r="AE232" i="1" s="1"/>
  <c r="AX236" i="1"/>
  <c r="BC236" i="1" s="1"/>
  <c r="I236" i="1"/>
  <c r="BI236" i="1"/>
  <c r="AE236" i="1" s="1"/>
  <c r="BH244" i="1"/>
  <c r="AD244" i="1" s="1"/>
  <c r="AW244" i="1"/>
  <c r="I255" i="1"/>
  <c r="AX255" i="1"/>
  <c r="AV255" i="1" s="1"/>
  <c r="BI255" i="1"/>
  <c r="AE255" i="1" s="1"/>
  <c r="AX259" i="1"/>
  <c r="BI259" i="1"/>
  <c r="AE259" i="1" s="1"/>
  <c r="I259" i="1"/>
  <c r="I229" i="1" s="1"/>
  <c r="I263" i="1"/>
  <c r="AW263" i="1"/>
  <c r="BH263" i="1"/>
  <c r="AD263" i="1" s="1"/>
  <c r="H263" i="1"/>
  <c r="BC285" i="1"/>
  <c r="AX302" i="1"/>
  <c r="BI302" i="1"/>
  <c r="AE302" i="1" s="1"/>
  <c r="I302" i="1"/>
  <c r="I305" i="1"/>
  <c r="AW305" i="1"/>
  <c r="BH305" i="1"/>
  <c r="AD305" i="1" s="1"/>
  <c r="H305" i="1"/>
  <c r="I318" i="1"/>
  <c r="AX318" i="1"/>
  <c r="AV318" i="1" s="1"/>
  <c r="BI318" i="1"/>
  <c r="AE318" i="1" s="1"/>
  <c r="AX338" i="1"/>
  <c r="BI338" i="1"/>
  <c r="AE338" i="1" s="1"/>
  <c r="I338" i="1"/>
  <c r="AV347" i="1"/>
  <c r="H351" i="1"/>
  <c r="AW351" i="1"/>
  <c r="BH351" i="1"/>
  <c r="AD351" i="1" s="1"/>
  <c r="AW368" i="1"/>
  <c r="BH368" i="1"/>
  <c r="AD368" i="1" s="1"/>
  <c r="H368" i="1"/>
  <c r="BC376" i="1"/>
  <c r="AV376" i="1"/>
  <c r="BC382" i="1"/>
  <c r="AV397" i="1"/>
  <c r="H405" i="1"/>
  <c r="H390" i="1" s="1"/>
  <c r="AW405" i="1"/>
  <c r="BH405" i="1"/>
  <c r="AD405" i="1" s="1"/>
  <c r="C18" i="10"/>
  <c r="AX444" i="1"/>
  <c r="BI444" i="1"/>
  <c r="AC444" i="1" s="1"/>
  <c r="C15" i="10" s="1"/>
  <c r="I444" i="1"/>
  <c r="I443" i="1" s="1"/>
  <c r="C14" i="8"/>
  <c r="C20" i="8"/>
  <c r="AX323" i="1"/>
  <c r="AW327" i="1"/>
  <c r="AX341" i="1"/>
  <c r="AW343" i="1"/>
  <c r="AX353" i="1"/>
  <c r="AW355" i="1"/>
  <c r="AX368" i="1"/>
  <c r="AW372" i="1"/>
  <c r="AX388" i="1"/>
  <c r="AW391" i="1"/>
  <c r="AX409" i="1"/>
  <c r="AW413" i="1"/>
  <c r="AW436" i="1"/>
  <c r="BH436" i="1"/>
  <c r="AF436" i="1" s="1"/>
  <c r="C25" i="10"/>
  <c r="H444" i="1"/>
  <c r="H443" i="1" s="1"/>
  <c r="AW444" i="1"/>
  <c r="AV457" i="1"/>
  <c r="AU470" i="1"/>
  <c r="BH478" i="1"/>
  <c r="AD478" i="1" s="1"/>
  <c r="AW478" i="1"/>
  <c r="I508" i="1"/>
  <c r="AX508" i="1"/>
  <c r="AV508" i="1" s="1"/>
  <c r="BI508" i="1"/>
  <c r="AE508" i="1" s="1"/>
  <c r="AS522" i="1"/>
  <c r="BC531" i="1"/>
  <c r="AX534" i="1"/>
  <c r="BI534" i="1"/>
  <c r="AE534" i="1" s="1"/>
  <c r="I534" i="1"/>
  <c r="I533" i="1" s="1"/>
  <c r="BC546" i="1"/>
  <c r="AV546" i="1"/>
  <c r="AV617" i="1"/>
  <c r="BC617" i="1"/>
  <c r="AX665" i="1"/>
  <c r="BI665" i="1"/>
  <c r="AG665" i="1" s="1"/>
  <c r="I665" i="1"/>
  <c r="I18" i="3"/>
  <c r="F29" i="3" s="1"/>
  <c r="F14" i="2"/>
  <c r="F22" i="2" s="1"/>
  <c r="AX501" i="1"/>
  <c r="BI501" i="1"/>
  <c r="I501" i="1"/>
  <c r="AU507" i="1"/>
  <c r="C20" i="12"/>
  <c r="AV583" i="1"/>
  <c r="AV596" i="1"/>
  <c r="BC596" i="1"/>
  <c r="I662" i="1"/>
  <c r="AX662" i="1"/>
  <c r="AV662" i="1" s="1"/>
  <c r="BI662" i="1"/>
  <c r="AG662" i="1" s="1"/>
  <c r="AV698" i="1"/>
  <c r="C21" i="10"/>
  <c r="BI450" i="1"/>
  <c r="AX450" i="1"/>
  <c r="J470" i="1"/>
  <c r="H471" i="1"/>
  <c r="AW471" i="1"/>
  <c r="H489" i="1"/>
  <c r="AW489" i="1"/>
  <c r="AW504" i="1"/>
  <c r="BH504" i="1"/>
  <c r="AB504" i="1" s="1"/>
  <c r="C14" i="2" s="1"/>
  <c r="H504" i="1"/>
  <c r="H503" i="1" s="1"/>
  <c r="C21" i="12"/>
  <c r="AW517" i="1"/>
  <c r="BH517" i="1"/>
  <c r="AD517" i="1" s="1"/>
  <c r="H517" i="1"/>
  <c r="AU555" i="1"/>
  <c r="C27" i="14" s="1"/>
  <c r="F27" i="14" s="1"/>
  <c r="H571" i="1"/>
  <c r="AW571" i="1"/>
  <c r="BH571" i="1"/>
  <c r="AF571" i="1" s="1"/>
  <c r="H589" i="1"/>
  <c r="AW589" i="1"/>
  <c r="BH589" i="1"/>
  <c r="AF589" i="1" s="1"/>
  <c r="C18" i="14" s="1"/>
  <c r="AX647" i="1"/>
  <c r="BI647" i="1"/>
  <c r="AG647" i="1" s="1"/>
  <c r="I647" i="1"/>
  <c r="BC659" i="1"/>
  <c r="AV659" i="1"/>
  <c r="J418" i="1"/>
  <c r="H423" i="1"/>
  <c r="H422" i="1" s="1"/>
  <c r="AW423" i="1"/>
  <c r="BH423" i="1"/>
  <c r="AD423" i="1" s="1"/>
  <c r="C14" i="10"/>
  <c r="AX471" i="1"/>
  <c r="BI471" i="1"/>
  <c r="AE471" i="1" s="1"/>
  <c r="C17" i="10" s="1"/>
  <c r="I471" i="1"/>
  <c r="AW475" i="1"/>
  <c r="BH475" i="1"/>
  <c r="AD475" i="1" s="1"/>
  <c r="H475" i="1"/>
  <c r="I487" i="1"/>
  <c r="AX487" i="1"/>
  <c r="AV487" i="1" s="1"/>
  <c r="BI487" i="1"/>
  <c r="AE487" i="1" s="1"/>
  <c r="AX489" i="1"/>
  <c r="BI489" i="1"/>
  <c r="AE489" i="1" s="1"/>
  <c r="I489" i="1"/>
  <c r="AW491" i="1"/>
  <c r="BH491" i="1"/>
  <c r="AD491" i="1" s="1"/>
  <c r="H491" i="1"/>
  <c r="BC495" i="1"/>
  <c r="AV495" i="1"/>
  <c r="C14" i="12"/>
  <c r="H513" i="1"/>
  <c r="AW513" i="1"/>
  <c r="BH513" i="1"/>
  <c r="AD513" i="1" s="1"/>
  <c r="C16" i="12" s="1"/>
  <c r="I531" i="1"/>
  <c r="I522" i="1" s="1"/>
  <c r="AX531" i="1"/>
  <c r="AV531" i="1" s="1"/>
  <c r="BI531" i="1"/>
  <c r="BH537" i="1"/>
  <c r="AD537" i="1" s="1"/>
  <c r="AW537" i="1"/>
  <c r="H537" i="1"/>
  <c r="BI635" i="1"/>
  <c r="AG635" i="1" s="1"/>
  <c r="AX635" i="1"/>
  <c r="BC635" i="1" s="1"/>
  <c r="I635" i="1"/>
  <c r="AV644" i="1"/>
  <c r="C19" i="8"/>
  <c r="AX423" i="1"/>
  <c r="BI423" i="1"/>
  <c r="AE423" i="1" s="1"/>
  <c r="AT451" i="1"/>
  <c r="C26" i="10" s="1"/>
  <c r="F26" i="10" s="1"/>
  <c r="BI475" i="1"/>
  <c r="AE475" i="1" s="1"/>
  <c r="AX475" i="1"/>
  <c r="C25" i="12"/>
  <c r="AX513" i="1"/>
  <c r="BI513" i="1"/>
  <c r="AE513" i="1" s="1"/>
  <c r="I513" i="1"/>
  <c r="BC523" i="1"/>
  <c r="AV523" i="1"/>
  <c r="J533" i="1"/>
  <c r="H534" i="1"/>
  <c r="H533" i="1" s="1"/>
  <c r="AW534" i="1"/>
  <c r="BH534" i="1"/>
  <c r="AD534" i="1" s="1"/>
  <c r="H568" i="1"/>
  <c r="H555" i="1" s="1"/>
  <c r="AW568" i="1"/>
  <c r="BH568" i="1"/>
  <c r="AF568" i="1" s="1"/>
  <c r="H586" i="1"/>
  <c r="AW586" i="1"/>
  <c r="BH586" i="1"/>
  <c r="AF586" i="1" s="1"/>
  <c r="AV629" i="1"/>
  <c r="AX491" i="1"/>
  <c r="AW493" i="1"/>
  <c r="AX504" i="1"/>
  <c r="C18" i="12"/>
  <c r="AX517" i="1"/>
  <c r="AW520" i="1"/>
  <c r="AV559" i="1"/>
  <c r="BC559" i="1"/>
  <c r="AV577" i="1"/>
  <c r="BC577" i="1"/>
  <c r="AX629" i="1"/>
  <c r="BC629" i="1" s="1"/>
  <c r="BI629" i="1"/>
  <c r="AG629" i="1" s="1"/>
  <c r="I629" i="1"/>
  <c r="H647" i="1"/>
  <c r="AW647" i="1"/>
  <c r="BH647" i="1"/>
  <c r="AF647" i="1" s="1"/>
  <c r="AX698" i="1"/>
  <c r="BI698" i="1"/>
  <c r="AC698" i="1" s="1"/>
  <c r="I698" i="1"/>
  <c r="I697" i="1" s="1"/>
  <c r="J696" i="1"/>
  <c r="AW741" i="1"/>
  <c r="BH741" i="1"/>
  <c r="AB741" i="1" s="1"/>
  <c r="H741" i="1"/>
  <c r="F16" i="10"/>
  <c r="F22" i="10" s="1"/>
  <c r="I18" i="11"/>
  <c r="C15" i="12"/>
  <c r="BI537" i="1"/>
  <c r="AE537" i="1" s="1"/>
  <c r="I565" i="1"/>
  <c r="AX565" i="1"/>
  <c r="BC565" i="1" s="1"/>
  <c r="BI565" i="1"/>
  <c r="AG565" i="1" s="1"/>
  <c r="I568" i="1"/>
  <c r="AX568" i="1"/>
  <c r="BI568" i="1"/>
  <c r="AG568" i="1" s="1"/>
  <c r="I583" i="1"/>
  <c r="AX583" i="1"/>
  <c r="BC583" i="1" s="1"/>
  <c r="BI583" i="1"/>
  <c r="AG583" i="1" s="1"/>
  <c r="I586" i="1"/>
  <c r="AX586" i="1"/>
  <c r="BI586" i="1"/>
  <c r="AG586" i="1" s="1"/>
  <c r="H610" i="1"/>
  <c r="AW610" i="1"/>
  <c r="BH610" i="1"/>
  <c r="AF610" i="1" s="1"/>
  <c r="I644" i="1"/>
  <c r="AX644" i="1"/>
  <c r="BC644" i="1" s="1"/>
  <c r="BI644" i="1"/>
  <c r="AG644" i="1" s="1"/>
  <c r="BC729" i="1"/>
  <c r="AV729" i="1"/>
  <c r="C17" i="14"/>
  <c r="AS595" i="1"/>
  <c r="C25" i="14" s="1"/>
  <c r="BC600" i="1"/>
  <c r="H606" i="1"/>
  <c r="H595" i="1" s="1"/>
  <c r="AW606" i="1"/>
  <c r="BH606" i="1"/>
  <c r="AF606" i="1" s="1"/>
  <c r="BC620" i="1"/>
  <c r="BC623" i="1"/>
  <c r="AW626" i="1"/>
  <c r="H626" i="1"/>
  <c r="AW632" i="1"/>
  <c r="H632" i="1"/>
  <c r="BH632" i="1"/>
  <c r="AF632" i="1" s="1"/>
  <c r="BC641" i="1"/>
  <c r="AV715" i="1"/>
  <c r="BC715" i="1"/>
  <c r="AL546" i="1"/>
  <c r="AU543" i="1" s="1"/>
  <c r="J543" i="1"/>
  <c r="H551" i="1"/>
  <c r="H550" i="1" s="1"/>
  <c r="AW551" i="1"/>
  <c r="BH551" i="1"/>
  <c r="AB551" i="1" s="1"/>
  <c r="C14" i="14" s="1"/>
  <c r="AT595" i="1"/>
  <c r="C26" i="14" s="1"/>
  <c r="F26" i="14" s="1"/>
  <c r="I603" i="1"/>
  <c r="I595" i="1" s="1"/>
  <c r="AX603" i="1"/>
  <c r="BC603" i="1" s="1"/>
  <c r="BI603" i="1"/>
  <c r="AG603" i="1" s="1"/>
  <c r="AL606" i="1"/>
  <c r="AU595" i="1" s="1"/>
  <c r="J595" i="1"/>
  <c r="I606" i="1"/>
  <c r="AX606" i="1"/>
  <c r="BI606" i="1"/>
  <c r="AG606" i="1" s="1"/>
  <c r="I623" i="1"/>
  <c r="AX623" i="1"/>
  <c r="AV623" i="1" s="1"/>
  <c r="BI623" i="1"/>
  <c r="AG623" i="1" s="1"/>
  <c r="C19" i="14" s="1"/>
  <c r="BI626" i="1"/>
  <c r="AG626" i="1" s="1"/>
  <c r="I626" i="1"/>
  <c r="AX626" i="1"/>
  <c r="H720" i="1"/>
  <c r="C21" i="14"/>
  <c r="J555" i="1"/>
  <c r="AV635" i="1"/>
  <c r="AX689" i="1"/>
  <c r="BI689" i="1"/>
  <c r="AG689" i="1" s="1"/>
  <c r="I689" i="1"/>
  <c r="C14" i="16"/>
  <c r="AW711" i="1"/>
  <c r="BH711" i="1"/>
  <c r="AB711" i="1" s="1"/>
  <c r="I723" i="1"/>
  <c r="AX723" i="1"/>
  <c r="BI723" i="1"/>
  <c r="AE723" i="1" s="1"/>
  <c r="C17" i="16" s="1"/>
  <c r="AV726" i="1"/>
  <c r="AW734" i="1"/>
  <c r="BH734" i="1"/>
  <c r="AB734" i="1" s="1"/>
  <c r="H734" i="1"/>
  <c r="I22" i="2"/>
  <c r="I27" i="5"/>
  <c r="F29" i="5" s="1"/>
  <c r="I22" i="12"/>
  <c r="I27" i="13"/>
  <c r="F29" i="13" s="1"/>
  <c r="C20" i="14"/>
  <c r="BC674" i="1"/>
  <c r="AV674" i="1"/>
  <c r="J733" i="1"/>
  <c r="H744" i="1"/>
  <c r="AW744" i="1"/>
  <c r="I27" i="3"/>
  <c r="F22" i="6"/>
  <c r="I27" i="11"/>
  <c r="C15" i="14"/>
  <c r="BC638" i="1"/>
  <c r="AV638" i="1"/>
  <c r="BC656" i="1"/>
  <c r="AV656" i="1"/>
  <c r="AW668" i="1"/>
  <c r="BH668" i="1"/>
  <c r="AF668" i="1" s="1"/>
  <c r="H668" i="1"/>
  <c r="BC671" i="1"/>
  <c r="I720" i="1"/>
  <c r="AU720" i="1"/>
  <c r="AX744" i="1"/>
  <c r="BI744" i="1"/>
  <c r="AC744" i="1" s="1"/>
  <c r="I744" i="1"/>
  <c r="I733" i="1" s="1"/>
  <c r="I22" i="6"/>
  <c r="I23" i="2" s="1"/>
  <c r="C16" i="14"/>
  <c r="AW650" i="1"/>
  <c r="BH650" i="1"/>
  <c r="AF650" i="1" s="1"/>
  <c r="H650" i="1"/>
  <c r="H665" i="1"/>
  <c r="AW665" i="1"/>
  <c r="BH665" i="1"/>
  <c r="AF665" i="1" s="1"/>
  <c r="BH683" i="1"/>
  <c r="AF683" i="1" s="1"/>
  <c r="AW683" i="1"/>
  <c r="H683" i="1"/>
  <c r="F22" i="4"/>
  <c r="I27" i="9"/>
  <c r="F29" i="9" s="1"/>
  <c r="BI674" i="1"/>
  <c r="AG674" i="1" s="1"/>
  <c r="AX680" i="1"/>
  <c r="BC698" i="1"/>
  <c r="C18" i="16"/>
  <c r="I702" i="1"/>
  <c r="BI706" i="1"/>
  <c r="AC706" i="1" s="1"/>
  <c r="AW719" i="1"/>
  <c r="BH726" i="1"/>
  <c r="AD726" i="1" s="1"/>
  <c r="C16" i="16" s="1"/>
  <c r="BH729" i="1"/>
  <c r="AD729" i="1" s="1"/>
  <c r="AW731" i="1"/>
  <c r="AX741" i="1"/>
  <c r="I18" i="7"/>
  <c r="F29" i="7" s="1"/>
  <c r="I14" i="10"/>
  <c r="I22" i="10" s="1"/>
  <c r="I22" i="16"/>
  <c r="C27" i="16" s="1"/>
  <c r="F27" i="16" s="1"/>
  <c r="F14" i="16"/>
  <c r="F22" i="16" s="1"/>
  <c r="I18" i="17"/>
  <c r="AW686" i="1"/>
  <c r="AX692" i="1"/>
  <c r="BC692" i="1" s="1"/>
  <c r="I694" i="1"/>
  <c r="C26" i="16"/>
  <c r="F26" i="16" s="1"/>
  <c r="AT714" i="1"/>
  <c r="AL723" i="1"/>
  <c r="J720" i="1"/>
  <c r="I27" i="15"/>
  <c r="F29" i="15" s="1"/>
  <c r="BI677" i="1"/>
  <c r="AG677" i="1" s="1"/>
  <c r="BH694" i="1"/>
  <c r="AF694" i="1" s="1"/>
  <c r="BH706" i="1"/>
  <c r="AB706" i="1" s="1"/>
  <c r="AX711" i="1"/>
  <c r="AS733" i="1"/>
  <c r="C25" i="16" s="1"/>
  <c r="F22" i="12"/>
  <c r="I27" i="17"/>
  <c r="I26" i="16" l="1"/>
  <c r="I27" i="16" s="1"/>
  <c r="I26" i="14"/>
  <c r="I27" i="14" s="1"/>
  <c r="C27" i="4"/>
  <c r="F27" i="4" s="1"/>
  <c r="BC744" i="1"/>
  <c r="AV744" i="1"/>
  <c r="AV734" i="1"/>
  <c r="BC734" i="1"/>
  <c r="AV501" i="1"/>
  <c r="BC501" i="1"/>
  <c r="AV683" i="1"/>
  <c r="BC683" i="1"/>
  <c r="BC689" i="1"/>
  <c r="AV689" i="1"/>
  <c r="BC741" i="1"/>
  <c r="AV741" i="1"/>
  <c r="AV647" i="1"/>
  <c r="BC647" i="1"/>
  <c r="BC568" i="1"/>
  <c r="AV568" i="1"/>
  <c r="I470" i="1"/>
  <c r="BC508" i="1"/>
  <c r="BC487" i="1"/>
  <c r="AV391" i="1"/>
  <c r="BC391" i="1"/>
  <c r="AV343" i="1"/>
  <c r="BC343" i="1"/>
  <c r="I442" i="1"/>
  <c r="AV405" i="1"/>
  <c r="BC405" i="1"/>
  <c r="BC302" i="1"/>
  <c r="AV302" i="1"/>
  <c r="AV452" i="1"/>
  <c r="BC452" i="1"/>
  <c r="AV39" i="1"/>
  <c r="BC39" i="1"/>
  <c r="BC255" i="1"/>
  <c r="AV58" i="1"/>
  <c r="BC58" i="1"/>
  <c r="H35" i="1"/>
  <c r="BC241" i="1"/>
  <c r="AV241" i="1"/>
  <c r="AV384" i="1"/>
  <c r="BC384" i="1"/>
  <c r="BC174" i="1"/>
  <c r="AV45" i="1"/>
  <c r="AV537" i="1"/>
  <c r="BC537" i="1"/>
  <c r="AV513" i="1"/>
  <c r="BC513" i="1"/>
  <c r="BC471" i="1"/>
  <c r="AV471" i="1"/>
  <c r="I26" i="10"/>
  <c r="I27" i="10" s="1"/>
  <c r="AV244" i="1"/>
  <c r="BC244" i="1"/>
  <c r="AV142" i="1"/>
  <c r="BC142" i="1"/>
  <c r="AV80" i="1"/>
  <c r="BC80" i="1"/>
  <c r="AV307" i="1"/>
  <c r="BC307" i="1"/>
  <c r="AV119" i="1"/>
  <c r="BC119" i="1"/>
  <c r="AV719" i="1"/>
  <c r="BC719" i="1"/>
  <c r="AV650" i="1"/>
  <c r="BC650" i="1"/>
  <c r="J549" i="1"/>
  <c r="F29" i="11"/>
  <c r="I696" i="1"/>
  <c r="AV493" i="1"/>
  <c r="BC493" i="1"/>
  <c r="H507" i="1"/>
  <c r="H506" i="1" s="1"/>
  <c r="AV491" i="1"/>
  <c r="BC491" i="1"/>
  <c r="AV589" i="1"/>
  <c r="BC589" i="1"/>
  <c r="H470" i="1"/>
  <c r="H442" i="1" s="1"/>
  <c r="C27" i="12"/>
  <c r="F27" i="12" s="1"/>
  <c r="AV372" i="1"/>
  <c r="BC372" i="1"/>
  <c r="AV327" i="1"/>
  <c r="BC327" i="1"/>
  <c r="AV368" i="1"/>
  <c r="BC368" i="1"/>
  <c r="AV223" i="1"/>
  <c r="BC223" i="1"/>
  <c r="J442" i="1"/>
  <c r="AV366" i="1"/>
  <c r="BC366" i="1"/>
  <c r="AV47" i="1"/>
  <c r="BC47" i="1"/>
  <c r="AV388" i="1"/>
  <c r="BC388" i="1"/>
  <c r="AV215" i="1"/>
  <c r="AV178" i="1"/>
  <c r="BC178" i="1"/>
  <c r="I26" i="6"/>
  <c r="I27" i="6" s="1"/>
  <c r="BC219" i="1"/>
  <c r="AV219" i="1"/>
  <c r="AV202" i="1"/>
  <c r="AV154" i="1"/>
  <c r="BC154" i="1"/>
  <c r="AV43" i="1"/>
  <c r="BC43" i="1"/>
  <c r="I35" i="1"/>
  <c r="BC586" i="1"/>
  <c r="AV586" i="1"/>
  <c r="AV534" i="1"/>
  <c r="BC534" i="1"/>
  <c r="AV305" i="1"/>
  <c r="BC305" i="1"/>
  <c r="BC259" i="1"/>
  <c r="AV259" i="1"/>
  <c r="AV320" i="1"/>
  <c r="BC320" i="1"/>
  <c r="C27" i="10"/>
  <c r="F27" i="10" s="1"/>
  <c r="AV162" i="1"/>
  <c r="BC162" i="1"/>
  <c r="AV109" i="1"/>
  <c r="BC109" i="1"/>
  <c r="C18" i="2"/>
  <c r="C18" i="4"/>
  <c r="BC151" i="1"/>
  <c r="AV96" i="1"/>
  <c r="BC96" i="1"/>
  <c r="C19" i="4"/>
  <c r="C17" i="2"/>
  <c r="C22" i="2" s="1"/>
  <c r="AV236" i="1"/>
  <c r="AV680" i="1"/>
  <c r="BC680" i="1"/>
  <c r="AV478" i="1"/>
  <c r="BC478" i="1"/>
  <c r="C22" i="4"/>
  <c r="AV341" i="1"/>
  <c r="BC341" i="1"/>
  <c r="AV450" i="1"/>
  <c r="BC450" i="1"/>
  <c r="C15" i="16"/>
  <c r="C22" i="16" s="1"/>
  <c r="C22" i="10"/>
  <c r="AV504" i="1"/>
  <c r="BC504" i="1"/>
  <c r="AV603" i="1"/>
  <c r="AV565" i="1"/>
  <c r="BC686" i="1"/>
  <c r="AV686" i="1"/>
  <c r="AV668" i="1"/>
  <c r="BC668" i="1"/>
  <c r="BC499" i="1"/>
  <c r="BC468" i="1"/>
  <c r="AV692" i="1"/>
  <c r="AV413" i="1"/>
  <c r="BC413" i="1"/>
  <c r="AV355" i="1"/>
  <c r="BC355" i="1"/>
  <c r="AV351" i="1"/>
  <c r="BC351" i="1"/>
  <c r="AV409" i="1"/>
  <c r="BC409" i="1"/>
  <c r="C16" i="6"/>
  <c r="C22" i="6" s="1"/>
  <c r="AV323" i="1"/>
  <c r="BC323" i="1"/>
  <c r="BC723" i="1"/>
  <c r="AV723" i="1"/>
  <c r="BC335" i="1"/>
  <c r="J506" i="1"/>
  <c r="AV68" i="1"/>
  <c r="BC68" i="1"/>
  <c r="H44" i="1"/>
  <c r="H12" i="1" s="1"/>
  <c r="AV17" i="1"/>
  <c r="BC17" i="1"/>
  <c r="AV158" i="1"/>
  <c r="J74" i="1"/>
  <c r="AV14" i="1"/>
  <c r="BC14" i="1"/>
  <c r="BC318" i="1"/>
  <c r="I390" i="1"/>
  <c r="J204" i="1"/>
  <c r="AV197" i="1"/>
  <c r="BC197" i="1"/>
  <c r="I44" i="1"/>
  <c r="BC76" i="1"/>
  <c r="AV711" i="1"/>
  <c r="BC711" i="1"/>
  <c r="AV338" i="1"/>
  <c r="BC338" i="1"/>
  <c r="H301" i="1"/>
  <c r="H204" i="1" s="1"/>
  <c r="AV269" i="1"/>
  <c r="BC269" i="1"/>
  <c r="AV665" i="1"/>
  <c r="BC665" i="1"/>
  <c r="C22" i="14"/>
  <c r="BC632" i="1"/>
  <c r="AV632" i="1"/>
  <c r="BC606" i="1"/>
  <c r="AV606" i="1"/>
  <c r="AV610" i="1"/>
  <c r="BC610" i="1"/>
  <c r="C17" i="12"/>
  <c r="C22" i="12" s="1"/>
  <c r="AV436" i="1"/>
  <c r="BC436" i="1"/>
  <c r="F23" i="2"/>
  <c r="C29" i="2" s="1"/>
  <c r="AV551" i="1"/>
  <c r="BC551" i="1"/>
  <c r="I555" i="1"/>
  <c r="I549" i="1" s="1"/>
  <c r="AV520" i="1"/>
  <c r="BC520" i="1"/>
  <c r="F29" i="17"/>
  <c r="AV731" i="1"/>
  <c r="BC731" i="1"/>
  <c r="BC662" i="1"/>
  <c r="H733" i="1"/>
  <c r="H696" i="1" s="1"/>
  <c r="H549" i="1"/>
  <c r="BC626" i="1"/>
  <c r="AV626" i="1"/>
  <c r="AV475" i="1"/>
  <c r="BC475" i="1"/>
  <c r="AV423" i="1"/>
  <c r="BC423" i="1"/>
  <c r="AV571" i="1"/>
  <c r="BC571" i="1"/>
  <c r="AV517" i="1"/>
  <c r="BC517" i="1"/>
  <c r="BC489" i="1"/>
  <c r="AV489" i="1"/>
  <c r="I507" i="1"/>
  <c r="I506" i="1" s="1"/>
  <c r="BC444" i="1"/>
  <c r="AV444" i="1"/>
  <c r="C22" i="8"/>
  <c r="I301" i="1"/>
  <c r="I204" i="1" s="1"/>
  <c r="AV263" i="1"/>
  <c r="BC263" i="1"/>
  <c r="AV353" i="1"/>
  <c r="BC353" i="1"/>
  <c r="AV248" i="1"/>
  <c r="BC248" i="1"/>
  <c r="AV185" i="1"/>
  <c r="BC185" i="1"/>
  <c r="AV125" i="1"/>
  <c r="BC125" i="1"/>
  <c r="AV37" i="1"/>
  <c r="BC37" i="1"/>
  <c r="AV137" i="1"/>
  <c r="BC137" i="1"/>
  <c r="I189" i="1"/>
  <c r="I74" i="1" s="1"/>
  <c r="BC419" i="1"/>
  <c r="AV419" i="1"/>
  <c r="AV227" i="1"/>
  <c r="BC227" i="1"/>
  <c r="BC42" i="1"/>
  <c r="C27" i="8"/>
  <c r="F27" i="8" s="1"/>
  <c r="H189" i="1"/>
  <c r="H74" i="1" s="1"/>
  <c r="BC55" i="1"/>
  <c r="F29" i="2" l="1"/>
  <c r="I28" i="2"/>
  <c r="I29" i="2" s="1"/>
  <c r="I12" i="1"/>
  <c r="I26" i="8"/>
  <c r="I27" i="8" s="1"/>
  <c r="I26" i="12"/>
  <c r="I27" i="12" s="1"/>
  <c r="I26" i="4"/>
  <c r="I27" i="4" s="1"/>
</calcChain>
</file>

<file path=xl/sharedStrings.xml><?xml version="1.0" encoding="utf-8"?>
<sst xmlns="http://schemas.openxmlformats.org/spreadsheetml/2006/main" count="5037" uniqueCount="1230">
  <si>
    <t>Slepý stavební rozpočet</t>
  </si>
  <si>
    <t>Název stavby:</t>
  </si>
  <si>
    <t>REKONSTRUKCE STŘECHY ZŠ T.G.MASARYKA V IVANČICÍCH</t>
  </si>
  <si>
    <t>Doba výstavby:</t>
  </si>
  <si>
    <t>1 den</t>
  </si>
  <si>
    <t>Objednatel:</t>
  </si>
  <si>
    <t>Město Ivančice</t>
  </si>
  <si>
    <t>Druh stavby:</t>
  </si>
  <si>
    <t>oprava střešní konstrukce</t>
  </si>
  <si>
    <t>Začátek výstavby:</t>
  </si>
  <si>
    <t>13.01.2025</t>
  </si>
  <si>
    <t>Projektant:</t>
  </si>
  <si>
    <t>Tomáš Sýkora</t>
  </si>
  <si>
    <t>Lokalita:</t>
  </si>
  <si>
    <t>ZŠ TGM Ivančice, Na Brněnce 1, 664 91 Ivančice</t>
  </si>
  <si>
    <t>Konec výstavby:</t>
  </si>
  <si>
    <t>Zhotovitel:</t>
  </si>
  <si>
    <t> </t>
  </si>
  <si>
    <t>JKSO:</t>
  </si>
  <si>
    <t>8013212</t>
  </si>
  <si>
    <t>Zpracováno dne:</t>
  </si>
  <si>
    <t>Zpracoval:</t>
  </si>
  <si>
    <t>Č</t>
  </si>
  <si>
    <t>Kód</t>
  </si>
  <si>
    <t>Zkrácený popis</t>
  </si>
  <si>
    <t>MJ</t>
  </si>
  <si>
    <t>Množství</t>
  </si>
  <si>
    <t>Cena/MJ</t>
  </si>
  <si>
    <t>Náklady (Kč)</t>
  </si>
  <si>
    <t>Cenová</t>
  </si>
  <si>
    <t>ISWORK</t>
  </si>
  <si>
    <t>GROUPCODE</t>
  </si>
  <si>
    <t>VATTAX</t>
  </si>
  <si>
    <t xml:space="preserve"> </t>
  </si>
  <si>
    <t>Rozměry</t>
  </si>
  <si>
    <t>(Kč)</t>
  </si>
  <si>
    <t>Dodávka</t>
  </si>
  <si>
    <t>Montáž</t>
  </si>
  <si>
    <t>Celkem</t>
  </si>
  <si>
    <t>soustava</t>
  </si>
  <si>
    <t>Přesuny</t>
  </si>
  <si>
    <t>Typ skupiny</t>
  </si>
  <si>
    <t>HSV mat</t>
  </si>
  <si>
    <t>HSV prac</t>
  </si>
  <si>
    <t>PSV mat</t>
  </si>
  <si>
    <t>PSV prac</t>
  </si>
  <si>
    <t>Mont mat</t>
  </si>
  <si>
    <t>Mont prac</t>
  </si>
  <si>
    <t>Ostatní mat.</t>
  </si>
  <si>
    <t>MAT</t>
  </si>
  <si>
    <t>WORK</t>
  </si>
  <si>
    <t>CELK</t>
  </si>
  <si>
    <t/>
  </si>
  <si>
    <t>Staveniště</t>
  </si>
  <si>
    <t>M000VD</t>
  </si>
  <si>
    <t>Preambule</t>
  </si>
  <si>
    <t>00</t>
  </si>
  <si>
    <t>1</t>
  </si>
  <si>
    <t>0001</t>
  </si>
  <si>
    <t>!!!UPOZORNĚNÍ k nacenění rozpočtu, čtěte popis této položky!!!</t>
  </si>
  <si>
    <t>2</t>
  </si>
  <si>
    <t>M000VD_</t>
  </si>
  <si>
    <t>00_9_</t>
  </si>
  <si>
    <t>00_</t>
  </si>
  <si>
    <t xml:space="preserve">Rozpočet je zpracován dle projektové dokumentace ""REKONSTRUKCE STŘECHY 
ZŠ T.G.MASARYKA V IVANČICÍCH"
"
- technické zprávy
-výkresové dokumentace
</t>
  </si>
  <si>
    <t>94</t>
  </si>
  <si>
    <t>Lešení a stavební výtahy</t>
  </si>
  <si>
    <t>941941032RT4</t>
  </si>
  <si>
    <t>Montáž lešení lehkého řadového s podlahami, š. do 1 m, výšky do 30 m</t>
  </si>
  <si>
    <t>m2</t>
  </si>
  <si>
    <t>RTS II / 2024</t>
  </si>
  <si>
    <t>94_</t>
  </si>
  <si>
    <t>lešení rámové pronajaté</t>
  </si>
  <si>
    <t>12,05*8,70+(+4,72+1,0+1,0+1,57+1,0+6,25+1,0+1,57+52,32+1,0)*14,82</t>
  </si>
  <si>
    <t>jižní a východní fasáda</t>
  </si>
  <si>
    <t>(35,90*1,0*2)*12,93+14,0*3,70</t>
  </si>
  <si>
    <t>severení fasáda</t>
  </si>
  <si>
    <t>(15,25+1,0*2)*11,98</t>
  </si>
  <si>
    <t>západní fasáda</t>
  </si>
  <si>
    <t>(61,30+1,0*6)*12,85</t>
  </si>
  <si>
    <t>vnitroblok</t>
  </si>
  <si>
    <t>(40,35*2+10,90*2+3,1*2+16*1,0)*6,79</t>
  </si>
  <si>
    <t>tělocvična</t>
  </si>
  <si>
    <t>-(4,0*3,25+10,0*3,25)</t>
  </si>
  <si>
    <t>odečet krček a štít</t>
  </si>
  <si>
    <t>RTS komentář:</t>
  </si>
  <si>
    <t>Položka je kalkulována pro fasádní rámové lešení a nečlenitou fasádu. Pro fasádu členitou je vhodné použít individuální kalkulaci</t>
  </si>
  <si>
    <t>3</t>
  </si>
  <si>
    <t>941944192R00</t>
  </si>
  <si>
    <t>Příplatek za každý měsíc použití lešení k pol.4032</t>
  </si>
  <si>
    <t>4016,2746*3</t>
  </si>
  <si>
    <t>4</t>
  </si>
  <si>
    <t>941944832R00</t>
  </si>
  <si>
    <t>Demontáž lešení leh.řad.bez podlah,š.1 m,H 30 m</t>
  </si>
  <si>
    <t>M005VD</t>
  </si>
  <si>
    <t>Vedlejší náklady</t>
  </si>
  <si>
    <t>5</t>
  </si>
  <si>
    <t>005121010R</t>
  </si>
  <si>
    <t>Vybudování zařízení staveniště</t>
  </si>
  <si>
    <t>Soubor</t>
  </si>
  <si>
    <t>vlastní</t>
  </si>
  <si>
    <t>M005VD_</t>
  </si>
  <si>
    <t>6</t>
  </si>
  <si>
    <t>005121020R</t>
  </si>
  <si>
    <t>Provoz zařízení staveniště</t>
  </si>
  <si>
    <t>7</t>
  </si>
  <si>
    <t>005121030R</t>
  </si>
  <si>
    <t>Odstranění zařízení staveniště</t>
  </si>
  <si>
    <t>8</t>
  </si>
  <si>
    <t>005122010R</t>
  </si>
  <si>
    <t>Provoz objednatele</t>
  </si>
  <si>
    <t>9</t>
  </si>
  <si>
    <t>005124010R</t>
  </si>
  <si>
    <t>Koordinační činnost</t>
  </si>
  <si>
    <t>10</t>
  </si>
  <si>
    <t>005124011R</t>
  </si>
  <si>
    <t>Výrobní dokumentace</t>
  </si>
  <si>
    <t>11</t>
  </si>
  <si>
    <t>005124012R</t>
  </si>
  <si>
    <t>Dokumentace skutečného provedení stavby</t>
  </si>
  <si>
    <t>12</t>
  </si>
  <si>
    <t>00512401RVD1</t>
  </si>
  <si>
    <t>Zvýšené zabezpečení proti zatečení do objektu</t>
  </si>
  <si>
    <t>S</t>
  </si>
  <si>
    <t>Přesuny sutí</t>
  </si>
  <si>
    <t>13</t>
  </si>
  <si>
    <t>979011111R00</t>
  </si>
  <si>
    <t>Svislá doprava suti a vybour. hmot za 2.NP a 1.PP</t>
  </si>
  <si>
    <t>t</t>
  </si>
  <si>
    <t>S_</t>
  </si>
  <si>
    <t>Položka je určena pro dopravu suti a vybouraných hmot za prvé podlaží nad nebo pod základním podlažím. Svislá doprava suti ze základního podlaží se neoceňuje. Základním podlažím je zpravidla přízemí</t>
  </si>
  <si>
    <t>14</t>
  </si>
  <si>
    <t>979011121R00</t>
  </si>
  <si>
    <t>Příplatek za každé další podlaží</t>
  </si>
  <si>
    <t>76,34449*3</t>
  </si>
  <si>
    <t>15</t>
  </si>
  <si>
    <t>979082111R00</t>
  </si>
  <si>
    <t>Vnitrostaveništní doprava suti do 10 m</t>
  </si>
  <si>
    <t>RTS I / 2019</t>
  </si>
  <si>
    <t>76,34449</t>
  </si>
  <si>
    <t>Poznámka:</t>
  </si>
  <si>
    <t>+2</t>
  </si>
  <si>
    <t>16</t>
  </si>
  <si>
    <t>979082121R00</t>
  </si>
  <si>
    <t>Příplatek k vnitrost. dopravě suti za dalších 5 m</t>
  </si>
  <si>
    <t>76,34449*12;vzdálenost 60 m</t>
  </si>
  <si>
    <t>+3</t>
  </si>
  <si>
    <t>17</t>
  </si>
  <si>
    <t>979081111R00</t>
  </si>
  <si>
    <t>Odvoz suti a vybour. hmot na skládku do 1 km</t>
  </si>
  <si>
    <t>18</t>
  </si>
  <si>
    <t>979081121RT3</t>
  </si>
  <si>
    <t>Příplatek k odvozu za každý další 1 km</t>
  </si>
  <si>
    <t>kontejnerem 7 t</t>
  </si>
  <si>
    <t>76,34449*16;vzdálenost 10 km</t>
  </si>
  <si>
    <t>19</t>
  </si>
  <si>
    <t>979990101R00</t>
  </si>
  <si>
    <t>Poplatek za sklád.suti-směs bet.a cihel do 30x30cm</t>
  </si>
  <si>
    <t>163,82316</t>
  </si>
  <si>
    <t>-25,62</t>
  </si>
  <si>
    <t>krytina</t>
  </si>
  <si>
    <t>-10,6</t>
  </si>
  <si>
    <t>-19,93</t>
  </si>
  <si>
    <t>20</t>
  </si>
  <si>
    <t>979999996R00</t>
  </si>
  <si>
    <t>Poplatek za recyklaci asfaltu, kusovost nad 1600 cm2 (skup.170302)</t>
  </si>
  <si>
    <t>25,62+10,6</t>
  </si>
  <si>
    <t>Thermoservis - transport s.r.o. Roviny 4 643 00 Brno – Chrlice, ČR IČ: 269 12 643 DIČ: CZ 269 12 64</t>
  </si>
  <si>
    <t>21</t>
  </si>
  <si>
    <t>979990161R00</t>
  </si>
  <si>
    <t>Poplatek za uložení - dřevo, skupina odpadu 170201</t>
  </si>
  <si>
    <t>19,93</t>
  </si>
  <si>
    <t>záklop</t>
  </si>
  <si>
    <t>Střecha nad tělocvičnou</t>
  </si>
  <si>
    <t>762</t>
  </si>
  <si>
    <t>Konstrukce tesařské</t>
  </si>
  <si>
    <t>01</t>
  </si>
  <si>
    <t>22</t>
  </si>
  <si>
    <t>762811811R00</t>
  </si>
  <si>
    <t>Demontáž záklopů z hrubých prken tl. do 3,2 cm</t>
  </si>
  <si>
    <t>762_</t>
  </si>
  <si>
    <t>01_76_</t>
  </si>
  <si>
    <t>01_</t>
  </si>
  <si>
    <t>včetně zadlabání (zaříznutí) námětku (pro srovnání výškového rozdílu po provedení oplechování)</t>
  </si>
  <si>
    <t>0,30*(12,41+7,71+3,10+8,40+3,10+10,90+40,35+10,90)</t>
  </si>
  <si>
    <t>okap střechy nad tělocvičnou</t>
  </si>
  <si>
    <t>0,10*2*(29,79+3,59)</t>
  </si>
  <si>
    <t>hřeben pro odvětrávání</t>
  </si>
  <si>
    <t>23</t>
  </si>
  <si>
    <t>762811210RT3</t>
  </si>
  <si>
    <t>Montáž záklopu, vrchní na sraz, hrubá prkna</t>
  </si>
  <si>
    <t>včetně dodávky řeziva, prkna tl. 24 mm</t>
  </si>
  <si>
    <t>0,285*(29,80+2,90+3,60)*2</t>
  </si>
  <si>
    <t>K51,K55, K142</t>
  </si>
  <si>
    <t>24</t>
  </si>
  <si>
    <t>76234220VD01</t>
  </si>
  <si>
    <t>Montáž nárožních kontralatí přibitím</t>
  </si>
  <si>
    <t>m</t>
  </si>
  <si>
    <t>8,95*2*2</t>
  </si>
  <si>
    <t>K47</t>
  </si>
  <si>
    <t>6,90*2</t>
  </si>
  <si>
    <t>K50</t>
  </si>
  <si>
    <t>V položce nejsou zakalkulovány náklady na dodávku řeziva.Tato dodávka se oceňuje ve specifikaci ztratné se doporučuje ve výši 10 %</t>
  </si>
  <si>
    <t>25</t>
  </si>
  <si>
    <t>60515810</t>
  </si>
  <si>
    <t>Hranol konstrukční KVH NSi, SM, C24, 60 x 60 mm, 5 m</t>
  </si>
  <si>
    <t>m3</t>
  </si>
  <si>
    <t>8,95*2*2*(0,06*0,06)</t>
  </si>
  <si>
    <t>6,90*2*(0,06*0,06)</t>
  </si>
  <si>
    <t>;ztratné 15%; 0,026784</t>
  </si>
  <si>
    <t>Stavební masivní dřevo KVH  Vizuálně nebo strojově dle pevnosti tříděné, technicky sušené a kalibrované masivní dřevo s definovanou rozměrovou stálostí pro viditelné a neviditelné úseky.  Masivní konstrukční dřevo (KVH) jsou profily z jehličnatého dřeva (převážně smrku) pro použití v moderních dřevěných stavbách. KVH profily jsou čtyřstranně hoblované a mají sražené hrany. Délkovým nastavováním jednotlivých profilů pomocí zubovitého spoje lze dosahovat délek až 18 m. Profily jsou technicky vysušeny na vlhkost 15 ± 3 %. Podle účelu použití se rozlišují dva druhy KVH profilů, které se však od sebe odlišují pouze vlastnostmi povrchu:  * KVH-Si pro pohledové konstrukce  * KVH-NSi pro nepohledové konstrukce</t>
  </si>
  <si>
    <t>26</t>
  </si>
  <si>
    <t>762342911VD1</t>
  </si>
  <si>
    <t>Montovaný prvek vynášející hřeben střechy D+M</t>
  </si>
  <si>
    <t>Ks</t>
  </si>
  <si>
    <t>RTS II / 2021</t>
  </si>
  <si>
    <t>latě 3/5 cm, OSB ECO typ 3 tl. 25 mm
2KS/KROKEV</t>
  </si>
  <si>
    <t>38*2</t>
  </si>
  <si>
    <t>K51,K55, K142,</t>
  </si>
  <si>
    <t>27</t>
  </si>
  <si>
    <t>762911111R00</t>
  </si>
  <si>
    <t>Impregnace řeziva máčením Bochemit QB</t>
  </si>
  <si>
    <t>(0,30*(12,41+7,71+3,10+8,40+3,10+10,90+40,35+10,90))*2*1,1</t>
  </si>
  <si>
    <t>(0,285*(29,80+2,90+3,60)*2)*2*1,1</t>
  </si>
  <si>
    <t>8,95*2*2*(0,06*4)</t>
  </si>
  <si>
    <t>6,90*2*(0,06*4)</t>
  </si>
  <si>
    <t>;ztratné 15%; 18,20376</t>
  </si>
  <si>
    <t>Koncentrovaný vodou ředitelný fungicidní a insekticidní přípravek na dřevo i zdivo. Přípravek poskytuje dlouhodobou ochranu proti dřevokaznému hmyzu, dřevokazným houbám a plísním. Aplikuje se máčením (1x).</t>
  </si>
  <si>
    <t>28</t>
  </si>
  <si>
    <t>762395000R00</t>
  </si>
  <si>
    <t>Spojovací a ochranné prostředky pro střechy</t>
  </si>
  <si>
    <t>0,30*(12,41+7,71+3,10+8,40+3,10+10,90+40,35+10,90)*0,024</t>
  </si>
  <si>
    <t>0,10*2*(29,79+3,59)*0,024</t>
  </si>
  <si>
    <t>Položka je určena pouze pro soubory:  762 33 Montáž vázaných konstrukcí krovů 762 34 Montáž bednění a laťování, 762 35 Montáž nadstřešních konstrukcí, 762 36 Montáž spádových klínů.</t>
  </si>
  <si>
    <t>29</t>
  </si>
  <si>
    <t>998762103R00</t>
  </si>
  <si>
    <t>Přesun hmot pro tesařské konstrukce, výšky do 24 m</t>
  </si>
  <si>
    <t>764</t>
  </si>
  <si>
    <t>Konstrukce klempířské</t>
  </si>
  <si>
    <t>30</t>
  </si>
  <si>
    <t>764900035RAAVD01</t>
  </si>
  <si>
    <t>Demontáž podokapních žlabů půlkruhových</t>
  </si>
  <si>
    <t>764_</t>
  </si>
  <si>
    <t>z plechu TiZn, včetně háků</t>
  </si>
  <si>
    <t>7,71+3,275+8,75+3,275+2,175+11,25+40,70+11,25+12,58</t>
  </si>
  <si>
    <t>X04</t>
  </si>
  <si>
    <t>V položce není kalkulován poplatek za skládku pro vybouranou suť. Tyto náklady se oceňují individuálně podle místních podmínek. Orientační hmotnost vybouraných konstrukcí je 0,005 t/m konstrukce.</t>
  </si>
  <si>
    <t>31</t>
  </si>
  <si>
    <t>764323820R00</t>
  </si>
  <si>
    <t>Demontáž oplechování okapů, živičná krytina, rš 250 mm</t>
  </si>
  <si>
    <t>X08</t>
  </si>
  <si>
    <t>32</t>
  </si>
  <si>
    <t>764337850R00</t>
  </si>
  <si>
    <t>Demontáž lemování zdí ze segmentů,rš do 500 mm</t>
  </si>
  <si>
    <t>(5,38+1,30)*2</t>
  </si>
  <si>
    <t>33</t>
  </si>
  <si>
    <t>764392841R00</t>
  </si>
  <si>
    <t>Demontáž úžlabí, rš 500 mm, sklon do 45°</t>
  </si>
  <si>
    <t>6,0*2</t>
  </si>
  <si>
    <t>X10</t>
  </si>
  <si>
    <t>34</t>
  </si>
  <si>
    <t>764218111R00</t>
  </si>
  <si>
    <t>Strukturní oddělovací vrstva s paropropustnou folií a lepící páskou v přesahu</t>
  </si>
  <si>
    <t>systémový výrobek dodavatele krytiny</t>
  </si>
  <si>
    <t>37,33+192,40+15,93+22,62*2+22,09+37,33+238,48</t>
  </si>
  <si>
    <t>K22,K23,K24,K25,K26 -  nad tělocvičnou</t>
  </si>
  <si>
    <t xml:space="preserve">Strukturní dělicí vrstva pro krytiny z plechu TiZn </t>
  </si>
  <si>
    <t>35</t>
  </si>
  <si>
    <t>764212623RT3</t>
  </si>
  <si>
    <t>Krytina TiZn, svitky rš 670 mm, do 45° - VIZ VÝPIS KLEMPÍŘSKÝCH VÝROBKŮ</t>
  </si>
  <si>
    <t>plech v předzvětralém vzhledu z výroby (břidlicově šedá úprava)</t>
  </si>
  <si>
    <t>(37,33+192,40+15,93+22,62*2+22,09+37,33+238,48+15,93)*1,1</t>
  </si>
  <si>
    <t>K22,K23,K24,K25,K26,K27 -  nad tělocvičnou</t>
  </si>
  <si>
    <t xml:space="preserve">Střešní krytina z plechu TiZn hladká ze svitku tl.0,7 mm, RŠ 670 mm, systém dvojité stojaté drážky, se sklonem od 30° do 45°. </t>
  </si>
  <si>
    <t>36</t>
  </si>
  <si>
    <t>764222491R00</t>
  </si>
  <si>
    <t>Montáž oplechování okapů TiZn,- VIZ VÝPIS KLEMPÍŘSKÝCH VÝROBKŮ</t>
  </si>
  <si>
    <t>R.Š. 333 mm
TiZn plechu tl. 0,7 mm ve předzvětralém vzhledu z výroby (břidlicově šedá úprava)</t>
  </si>
  <si>
    <t>7,71+3,10*2+8,40+2,00+10,90*2+40,35+12,41</t>
  </si>
  <si>
    <t>K08,K09,K10,K11,K12,K13,K14 - zatahovací (okapnicový) pás</t>
  </si>
  <si>
    <t>37</t>
  </si>
  <si>
    <t>1911331023VD1</t>
  </si>
  <si>
    <t>Svit.š.670mm,TiZn plechu tl. 0,7 mm ve předzvětralém vzhledu z výroby (břidlicově šedá úprava),</t>
  </si>
  <si>
    <t>;ztratné 10%; 9,887</t>
  </si>
  <si>
    <t>38</t>
  </si>
  <si>
    <t>764394230R00</t>
  </si>
  <si>
    <t>Vyztužovací pás z Pz plechu rš 250 mm D+M tl. 0,8 mm - VIZ VÝPIS KLEMPÍŘSKÝCH VÝROBKŮ</t>
  </si>
  <si>
    <t>K01,K02,K03,K04,K05,K06,K07 - zatahovací (okapnicový) pás</t>
  </si>
  <si>
    <t>39</t>
  </si>
  <si>
    <t>764252605VD1</t>
  </si>
  <si>
    <t>Žlab podokapní půlkulatý TiZn RHEINZINK rš. 333 mm - VIZ VÝPIS KLEMPÍŘSKÝCH VÝROBKŮ</t>
  </si>
  <si>
    <t>12,41+7,71+3,40*2+8,70+2,30+11,20*2+4,65</t>
  </si>
  <si>
    <t>K28,K29,K30,K31,K32,K33,K34</t>
  </si>
  <si>
    <t>40</t>
  </si>
  <si>
    <t>764248493VD1</t>
  </si>
  <si>
    <t>Montáž zachytače sněhu z Ti Zn podélného - VIZ VÝPIS KLEMPÍŘSKÝCH VÝROBKŮ</t>
  </si>
  <si>
    <t>K35,K36,K37,K38,K39,K40,K41</t>
  </si>
  <si>
    <t>41</t>
  </si>
  <si>
    <t>19115101VD1</t>
  </si>
  <si>
    <t>Montážní svorka na uchycení trubkového zachytávače sněhu</t>
  </si>
  <si>
    <t>kus</t>
  </si>
  <si>
    <t>108,28333</t>
  </si>
  <si>
    <t>;ztratné 3%; 3,2484999</t>
  </si>
  <si>
    <t>42</t>
  </si>
  <si>
    <t>19115101VD2</t>
  </si>
  <si>
    <t>AL trubka zachytávače sněhu</t>
  </si>
  <si>
    <t>64,97</t>
  </si>
  <si>
    <t>;ztratné 5%; 3,2485</t>
  </si>
  <si>
    <t>43</t>
  </si>
  <si>
    <t>19115101VD3</t>
  </si>
  <si>
    <t>spojka trubek</t>
  </si>
  <si>
    <t>10,82833</t>
  </si>
  <si>
    <t>;ztratné 10%; 1,082833</t>
  </si>
  <si>
    <t>44</t>
  </si>
  <si>
    <t>19115101VD4</t>
  </si>
  <si>
    <t>zachytávač ledu</t>
  </si>
  <si>
    <t>;ztratné 5%; 5,4141665</t>
  </si>
  <si>
    <t>45</t>
  </si>
  <si>
    <t>764292651RT3</t>
  </si>
  <si>
    <t>Lemování TiZn, napojení na stěnu - VIZ VÝPIS KLEMPÍŘSKÝCH VÝROBKŮ</t>
  </si>
  <si>
    <t>PŘEDZVĚTRALY TiZn TL. 0,7 MM</t>
  </si>
  <si>
    <t>7,2*2</t>
  </si>
  <si>
    <t>K42,K137</t>
  </si>
  <si>
    <t>Boční lemování z plechu TiZn na střechách s plechovou krytinou z TiZn, systém dvojité stojaté drážky, boční napojení na stěnu DVOJDÍLNÉ 0,926 kg krycí lišta, RŠ 167 mm, tl. 0,7 mm 0,832 kg oplechování zdi RŠ 125 mm, tl. 0,7 mm</t>
  </si>
  <si>
    <t>46</t>
  </si>
  <si>
    <t>764292633RT3</t>
  </si>
  <si>
    <t>Úžlabí TiZn TL. 0,7 MM,rš.800,ležatá drážka,nad 10° - VIZ VÝPIS VÝPLNÍ OTVORŮ</t>
  </si>
  <si>
    <t>PŘEDZVĚTRALÝ Z VÝROBY - ŠEDÝ
včetně PŘÍDAVNÉHO "Z" PROFILU PŘIPÁJKOVANÉHO</t>
  </si>
  <si>
    <t>6,00*2</t>
  </si>
  <si>
    <t>K43,K44</t>
  </si>
  <si>
    <t>6,85*2</t>
  </si>
  <si>
    <t>K45,K46</t>
  </si>
  <si>
    <t>47</t>
  </si>
  <si>
    <t>764394320VD1</t>
  </si>
  <si>
    <t>Podkladní pás z FeZn plechu rš 167 mm D+M tl. 0,8 mm D+M</t>
  </si>
  <si>
    <t>VIZ VÝPIS KLEMPÍŘSKÝCH VÝROBKŮ</t>
  </si>
  <si>
    <t>K48</t>
  </si>
  <si>
    <t>;ztratné 15%; 7,44</t>
  </si>
  <si>
    <t>48</t>
  </si>
  <si>
    <t>764521491VD1</t>
  </si>
  <si>
    <t>Montáž oplechování nárožní lišty R.š. 200 mm</t>
  </si>
  <si>
    <t>K49</t>
  </si>
  <si>
    <t>49</t>
  </si>
  <si>
    <t>Svit.š.670mm, PŘEDZVĚTRALÝ TL. 0,7 MM - VIZ VÝPIS KLEMPÍŘSKÝCH VÝROBKŮ</t>
  </si>
  <si>
    <t>50</t>
  </si>
  <si>
    <t>764292611RT3</t>
  </si>
  <si>
    <t>Oplechování hřebene TiZn, s odvětráním - VIZ VÝPIS KLEMPÍŘSKÝCH VÝROBKŮ</t>
  </si>
  <si>
    <t>PŘEDZVĚTRALÝ BŘIDLICOVĚ ŠEDÝ Z VÝROBY
R.Š. 750 MM</t>
  </si>
  <si>
    <t>29,80+3,60</t>
  </si>
  <si>
    <t>K51,K55</t>
  </si>
  <si>
    <t>2,90</t>
  </si>
  <si>
    <t>K142</t>
  </si>
  <si>
    <t>51</t>
  </si>
  <si>
    <t>Podkladní pás z Pz plechu rš 250 mm - VIZ VÝPIS KLEMPÍŘSKÝCH VÝROBKŮ</t>
  </si>
  <si>
    <t xml:space="preserve">FeZn TL. 0,80 MM
</t>
  </si>
  <si>
    <t>29,80*2</t>
  </si>
  <si>
    <t>K53</t>
  </si>
  <si>
    <t>3,60*2</t>
  </si>
  <si>
    <t>K57</t>
  </si>
  <si>
    <t>3,20*2</t>
  </si>
  <si>
    <t>K143</t>
  </si>
  <si>
    <t>52</t>
  </si>
  <si>
    <t>764530492VD1</t>
  </si>
  <si>
    <t>Montáž oplechování čela hřebene Ti Zn</t>
  </si>
  <si>
    <t>K54</t>
  </si>
  <si>
    <t>53</t>
  </si>
  <si>
    <t>19113310342</t>
  </si>
  <si>
    <t>Svit.š.570mm,TiZn TL. 0,7 MM, PŘEDZVĚTRALÝ BŘIDLOCOVĚ ŠEDÝ Z VÝROBY</t>
  </si>
  <si>
    <t>0,5*3</t>
  </si>
  <si>
    <t>54</t>
  </si>
  <si>
    <t>998764202R00</t>
  </si>
  <si>
    <t>Přesun hmot pro klempířské konstr., výšky do 12 m</t>
  </si>
  <si>
    <t>%</t>
  </si>
  <si>
    <t>2062000*0,01</t>
  </si>
  <si>
    <t>765</t>
  </si>
  <si>
    <t>Krytina tvrdá</t>
  </si>
  <si>
    <t>55</t>
  </si>
  <si>
    <t>765361810R00</t>
  </si>
  <si>
    <t>Demontáž šindelové krytiny, do suti</t>
  </si>
  <si>
    <t>765_</t>
  </si>
  <si>
    <t>včetně pojistné HI</t>
  </si>
  <si>
    <t>X01 - nad tělocvičnou</t>
  </si>
  <si>
    <t>56</t>
  </si>
  <si>
    <t>765312785VD1</t>
  </si>
  <si>
    <t>Pás ochranný větrací okapní kotvený do záklopu - VIZ VÝPIS KLEMPÍŘSKÝCH VÝROBKŮ</t>
  </si>
  <si>
    <t>K15,K16,K17,K18,K19,K20,K21</t>
  </si>
  <si>
    <t>29,80*2+3,60*2</t>
  </si>
  <si>
    <t>K52,K56</t>
  </si>
  <si>
    <t>2,90*2</t>
  </si>
  <si>
    <t>K144</t>
  </si>
  <si>
    <t>57</t>
  </si>
  <si>
    <t>191135105</t>
  </si>
  <si>
    <t>Tahokov,AERO63, svitek,TiZn PŘÍRODNÍ TL. 1,0 mm</t>
  </si>
  <si>
    <t>;ztratné 10%; 17,147</t>
  </si>
  <si>
    <t>58</t>
  </si>
  <si>
    <t>998765201R00</t>
  </si>
  <si>
    <t>Přesun hmot pro krytiny tvrdé, výšky do 6 m</t>
  </si>
  <si>
    <t>230000*0,01</t>
  </si>
  <si>
    <t>Střecha nad hlavní budovou</t>
  </si>
  <si>
    <t>713</t>
  </si>
  <si>
    <t>Izolace tepelné</t>
  </si>
  <si>
    <t>02</t>
  </si>
  <si>
    <t>59</t>
  </si>
  <si>
    <t>713105122R00</t>
  </si>
  <si>
    <t>Odstranění tepelné izolace střech šikmých, volně uložené, z desek minerálních, tl. 100 - 200 mm</t>
  </si>
  <si>
    <t>713_</t>
  </si>
  <si>
    <t>02_71_</t>
  </si>
  <si>
    <t>02_</t>
  </si>
  <si>
    <t>(5,1*(62,9+8,00+34,50)+5,1*(18,55+11,50+18,40+4,0*4,0))*0,88</t>
  </si>
  <si>
    <t>X01</t>
  </si>
  <si>
    <t>-(0,78*1,40)*131</t>
  </si>
  <si>
    <t>OKNA</t>
  </si>
  <si>
    <t>60</t>
  </si>
  <si>
    <t>713111130RVD1</t>
  </si>
  <si>
    <t>Montáž tepelné izolace krovů shora, vložená mezi krokve</t>
  </si>
  <si>
    <t>NS02</t>
  </si>
  <si>
    <t>61</t>
  </si>
  <si>
    <t>6315085951</t>
  </si>
  <si>
    <t>Pás izolační UNIROL PROFI, tl. 160 mm</t>
  </si>
  <si>
    <t>;ztratné 10%; 76,22868</t>
  </si>
  <si>
    <t>Rozměry 2900x1200x160 mm  Izolační rolované pásy vyrobené ze skelné plsti mají po celém povrchu hydrofobizované vlákna. Výroba je založena na metodě rozvlákňování taveniny skla a dalších příměsí a přísad. Vytvořená minerální vlákna se v rámci výrobní linky zpracují do finálního tvaru pásu. Izolaci je nutné v konstrukci chránit vhodným způsobem (parotěsnicí fólie, vhodná ochrana proti usazování prachu u volně ložených izolací, další vrstvy dvojitých konstrukcí). Izolace je ekologicky a hygienicky nezávadná a odolná vůči plísním, houbám a dřevokaznému hmyzu.  Skelné izolační pásy s vynikajícími tepelně-izolačními vlastnostmi jsou určené jako tepelná a akustická izolace šikmých střech a stropů. Zvláště energeticky úsporný typ izolace.  Balení 3,48 m2  Lambda ?D = 0,033 W·m-1·K-1</t>
  </si>
  <si>
    <t>62</t>
  </si>
  <si>
    <t>713161111R00</t>
  </si>
  <si>
    <t>Montáž tepelné izolace krovů shora, z dřevovláknitých desek, pojistná hydroizolace, kontralatě</t>
  </si>
  <si>
    <t>vč. dodávky kontralatí 40×60 mm</t>
  </si>
  <si>
    <t>82,60+442,40+350,10+213,93+205,08+68,95+30,24+30,24</t>
  </si>
  <si>
    <t>Položka obsahuje montáž dřevovláknité desky, pojistné hydroizolace s přelepením spojů, kontralatí o rozteči 1000 mm a nerezových samořezných vrutů. Položka neobsahuje dodávku dřevovláknitých desek a pojistné hydroizolace.  17. 9. 2019 opravena spotřeba vrutů z 12,24 na 1,675 ks/m2</t>
  </si>
  <si>
    <t>63</t>
  </si>
  <si>
    <t>60715326</t>
  </si>
  <si>
    <t>Deska dřevovláknitá Special dry, tl. 80 mm, P+D</t>
  </si>
  <si>
    <t>;ztratné 2%; 28,4708</t>
  </si>
  <si>
    <t>Dřevovláknitá deska určená k renovaci podkroví a stěn, možnost ukládání izolace přímo na krokve bez deskování, ochraňuje před větrem, vlhkostí a hlukem. hydrofobizovaná izolační stěnová deska vyráběná suchým způsobem  rozměr 1800 x 600 mm Objemová hmotnost 140 kg/m3 Součinitel tepelné vodivosti 0,040 W/m</t>
  </si>
  <si>
    <t>64</t>
  </si>
  <si>
    <t>67352181.A</t>
  </si>
  <si>
    <t>Fólie hydroizolační PE-HD, Solid tl. 0,22 mm, difúzní</t>
  </si>
  <si>
    <t>;ztratné 13%; 185,0602</t>
  </si>
  <si>
    <t xml:space="preserve">Difúzní kontaktní pojistná hydroizolace pro šikmé střešní konstrukce s pokládkou na bednění či na tepelnou izolaci. Opatřena antireflexním potiskem pro snazší instalaci. Funkční vrstva 0,220 mm ze stabilizovaného polyethylenu pro lepší odolnost vůči UV záření.  Balení: role 1,5 x 50 </t>
  </si>
  <si>
    <t>65</t>
  </si>
  <si>
    <t>998713203R00</t>
  </si>
  <si>
    <t>Přesun hmot pro izolace tepelné, výšky do 24 m</t>
  </si>
  <si>
    <t>2189000*0,01</t>
  </si>
  <si>
    <t>66</t>
  </si>
  <si>
    <t>Demontáž záklopů z hrubých prken tl. do 3,2 cm - X01</t>
  </si>
  <si>
    <t>02_76_</t>
  </si>
  <si>
    <t>67</t>
  </si>
  <si>
    <t>11,20+12,70+12,70*2</t>
  </si>
  <si>
    <t>K120,K122,K124</t>
  </si>
  <si>
    <t>68</t>
  </si>
  <si>
    <t>(11,20+12,70+12,70*2)*(0,06*0,06)</t>
  </si>
  <si>
    <t>;ztratné 15%; 0,053406</t>
  </si>
  <si>
    <t>69</t>
  </si>
  <si>
    <t>latě 3/5 cm, OSB ECO typ 3 tl. 25 mm</t>
  </si>
  <si>
    <t>(5,20+48,10+1,80+20,90+7,20)/1*2</t>
  </si>
  <si>
    <t>K105,K106,K107,K108,K114</t>
  </si>
  <si>
    <t>70</t>
  </si>
  <si>
    <t>762340010RAI</t>
  </si>
  <si>
    <t>Bednění střech z prken na sraz</t>
  </si>
  <si>
    <t>pouze montáž, řezivo ve specifikaci</t>
  </si>
  <si>
    <t>0,285*(5,20+48,10+1,80+20,90+7,20)*2</t>
  </si>
  <si>
    <t>71</t>
  </si>
  <si>
    <t>605960021</t>
  </si>
  <si>
    <t>Prkno boční SM/JD/BO jakost I-III tl. 23 - 24 mm, š. nad 80 mm, 4 m</t>
  </si>
  <si>
    <t>35,30314</t>
  </si>
  <si>
    <t>;ztratné 5%; 1,765157</t>
  </si>
  <si>
    <t>72</t>
  </si>
  <si>
    <t>762342206VD1</t>
  </si>
  <si>
    <t>Montáž okrajových hranolů na vruty</t>
  </si>
  <si>
    <t>kotvení do krokví 
 - osazení v rovině dřevovláknitých desek</t>
  </si>
  <si>
    <t>(8,80*2+11,88+4,55+52,15+22,20+1,55+15,25+22,35+34,30)</t>
  </si>
  <si>
    <t>V položce jsou zakalkulovány náklady na dodávku vrutů. V položce nejsou zakalkulovány náklady na dodávku řeziva.Tato dodávka se oceňuje ve specifikaci ztratné se doporučuje ve výši 10 %</t>
  </si>
  <si>
    <t>73</t>
  </si>
  <si>
    <t>60515791</t>
  </si>
  <si>
    <t>Hranolek stavební SM tl. 80 mm, š. 80 mm, 3 - 5 m</t>
  </si>
  <si>
    <t>(8,80*2+11,88+4,55+52,15+22,20+1,55+15,25+22,35+34,30)*0,08*0,08</t>
  </si>
  <si>
    <t>;ztratné 10%; 0,116371</t>
  </si>
  <si>
    <t>80×80 mm</t>
  </si>
  <si>
    <t>74</t>
  </si>
  <si>
    <t>762341922R00</t>
  </si>
  <si>
    <t>Vyřezání otvorů střech, v bednění pl. do 2 m2</t>
  </si>
  <si>
    <t>včetně dřevovláknité izolace</t>
  </si>
  <si>
    <t>(0,78*1,40)*131</t>
  </si>
  <si>
    <t>T01</t>
  </si>
  <si>
    <t>Množství vyřezání střešní vazby se určuje v m délky prvků, bez čepů</t>
  </si>
  <si>
    <t>75</t>
  </si>
  <si>
    <t>762341220R00</t>
  </si>
  <si>
    <t>Montáž bedn.střech rovn. z aglomer.desek šroubováním</t>
  </si>
  <si>
    <t>2,92</t>
  </si>
  <si>
    <t>K131</t>
  </si>
  <si>
    <t>4,50</t>
  </si>
  <si>
    <t>K132</t>
  </si>
  <si>
    <t>6,20</t>
  </si>
  <si>
    <t>K133</t>
  </si>
  <si>
    <t>3,65</t>
  </si>
  <si>
    <t>K134</t>
  </si>
  <si>
    <t>V položce nejsou zakalkulovány náklady na dodávku desek. Tato dodávka se oceňuje ve specifikaci, ztratné se doporučuje ve výši 10 %. Spojovací a ochranné prostředky se ocení položkou 762 39-5000.</t>
  </si>
  <si>
    <t>76</t>
  </si>
  <si>
    <t>60726123</t>
  </si>
  <si>
    <t>Deska dřevoštěpková OSB 3, E0 broušená 4PD tl. 25 mm</t>
  </si>
  <si>
    <t>;ztratné 5%; 0,8635</t>
  </si>
  <si>
    <t>řada OSB3 - konstrukční deska pro použití ve vlhkém prostředí  B - broušená strana 4PD - pero/drážka po celém obvodu desky  rozměr 2500 x 675 m</t>
  </si>
  <si>
    <t>77</t>
  </si>
  <si>
    <t>(8,80*2+11,88+4,55+52,15+22,20+1,55+15,25+22,35+34,30)*(0,08*4)</t>
  </si>
  <si>
    <t>(82,60+442,40+350,10+213,93+205,08+68,95+30,24+30,24)*2*1,1</t>
  </si>
  <si>
    <t>(0,285*(5,20+48,10+1,80+20,90+7,20)*2)*2*1,1</t>
  </si>
  <si>
    <t>(11,20+12,70+12,70*2)*(0,06*4)</t>
  </si>
  <si>
    <t>;ztratné 15%; 497,70636</t>
  </si>
  <si>
    <t>78</t>
  </si>
  <si>
    <t>(8,95*2*2)*(0,06*0,04)</t>
  </si>
  <si>
    <t>(6,90*2)*(0,06*0,04)</t>
  </si>
  <si>
    <t>(11,20+12,70+12,70*2)*(0,06*0,04)</t>
  </si>
  <si>
    <t>((5,20+48,10+1,80+20,90+7,20)/1*2)*(0,14*0,03)</t>
  </si>
  <si>
    <t>(82,60+442,40+350,10+213,93+205,08+68,95+30,24+30,24)*0,024</t>
  </si>
  <si>
    <t>0,285*(5,20+48,10+1,80+20,90+7,20)*2*0,024</t>
  </si>
  <si>
    <t>2,92*0,025</t>
  </si>
  <si>
    <t>4,50*0,025</t>
  </si>
  <si>
    <t>6,20*0,025</t>
  </si>
  <si>
    <t>3,65*0,025</t>
  </si>
  <si>
    <t>;ztratné 5%; 1,891742</t>
  </si>
  <si>
    <t>79</t>
  </si>
  <si>
    <t>998762203R00</t>
  </si>
  <si>
    <t>909304*0,01</t>
  </si>
  <si>
    <t>80</t>
  </si>
  <si>
    <t>11,73+4,55+52,15+22,20+12,15+1,55+15,25+22,35+34,30</t>
  </si>
  <si>
    <t>81</t>
  </si>
  <si>
    <t>82</t>
  </si>
  <si>
    <t>(442,40+82,60+350,10+213,93+68,95+205,08+30,24*2)*1,1</t>
  </si>
  <si>
    <t>K58,K59,K60,K61,K62,K63,K64 - STŘECHA NAD HLAVNÍ BUDOVOU</t>
  </si>
  <si>
    <t>-(6+13*4+6+4+6+4*2+3+14*2+6+12)*(0,78*1,40)</t>
  </si>
  <si>
    <t>X02 - OKNA</t>
  </si>
  <si>
    <t>2,92+4,50</t>
  </si>
  <si>
    <t>K131,K132</t>
  </si>
  <si>
    <t>83</t>
  </si>
  <si>
    <t>11,73+4,55+52,15+22,20+1,525+15,25+22,35+34,30</t>
  </si>
  <si>
    <t>K73,K74,K75,K76,K77,K78,K79,K80 - zatahovací (okapnicový) pás</t>
  </si>
  <si>
    <t>84</t>
  </si>
  <si>
    <t>;ztratné 15%; 24,60825</t>
  </si>
  <si>
    <t>85</t>
  </si>
  <si>
    <t>11,80+4,60+52,15+22,20+1,55+15,25+22,35+34,30</t>
  </si>
  <si>
    <t>K65,K66,K67,K68,K69,K70,K71,K72 - zatahovací (okapnicový) pás</t>
  </si>
  <si>
    <t>86</t>
  </si>
  <si>
    <t>12,05+4,72+52,32+22,38+1,72+15,60+22,48+34,20</t>
  </si>
  <si>
    <t>K89,K90,K91,K92,K93,K94,K95,K96</t>
  </si>
  <si>
    <t>87</t>
  </si>
  <si>
    <t>11,20*2</t>
  </si>
  <si>
    <t>K123,K127</t>
  </si>
  <si>
    <t>10,80*2</t>
  </si>
  <si>
    <t>K128,K129</t>
  </si>
  <si>
    <t>88</t>
  </si>
  <si>
    <t>(11,20+12,70+12,70)*1,15</t>
  </si>
  <si>
    <t>K121,K122,K125</t>
  </si>
  <si>
    <t>89</t>
  </si>
  <si>
    <t>11,20+12,70+12,70</t>
  </si>
  <si>
    <t>K120,K123,K124</t>
  </si>
  <si>
    <t>90</t>
  </si>
  <si>
    <t>;ztratné 15%; 5,49</t>
  </si>
  <si>
    <t>91</t>
  </si>
  <si>
    <t>5,20+48,10+1,80+20,90+7,20</t>
  </si>
  <si>
    <t>92</t>
  </si>
  <si>
    <t>(5,20+48,10+1,80+20,90+7,20)*2</t>
  </si>
  <si>
    <t>K109,K110,K111,K112,K113</t>
  </si>
  <si>
    <t>93</t>
  </si>
  <si>
    <t>0,5*2</t>
  </si>
  <si>
    <t>95</t>
  </si>
  <si>
    <t>11,50+4,95+52,55+22,00+1,30+14,75+22,35+34,80</t>
  </si>
  <si>
    <t>K97,K98,K99,K100,K101,K102,K103,K104</t>
  </si>
  <si>
    <t>96</t>
  </si>
  <si>
    <t>164,2/0,60</t>
  </si>
  <si>
    <t>97</t>
  </si>
  <si>
    <t>164,2</t>
  </si>
  <si>
    <t>98</t>
  </si>
  <si>
    <t>99</t>
  </si>
  <si>
    <t>100</t>
  </si>
  <si>
    <t>764422810R00</t>
  </si>
  <si>
    <t>Demontáž oplechování říms,rš od 600 do 800 mm</t>
  </si>
  <si>
    <t>2,80*2+4,95</t>
  </si>
  <si>
    <t>X05</t>
  </si>
  <si>
    <t>101</t>
  </si>
  <si>
    <t>764900060RA0</t>
  </si>
  <si>
    <t>Demontáž oplechování zdí - ATIKY</t>
  </si>
  <si>
    <t>2,15*2+4,05</t>
  </si>
  <si>
    <t>X06</t>
  </si>
  <si>
    <t>V položce není kalkulován poplatek za skládku pro vybouranou suť. Tyto náklady se oceňují individuálně podle místních podmínek. Orientační hmotnost vybouraných konstrukcí je 0,002 t/m konstrukce.</t>
  </si>
  <si>
    <t>102</t>
  </si>
  <si>
    <t>764900020RA0</t>
  </si>
  <si>
    <t>Demontáž oplechování zdí</t>
  </si>
  <si>
    <t>4,95*1,70</t>
  </si>
  <si>
    <t>X07</t>
  </si>
  <si>
    <t>103</t>
  </si>
  <si>
    <t>Demontáž oplechování zdí - ŠTÍTOVÉ LEMOVÁNÍ</t>
  </si>
  <si>
    <t>8,60*2</t>
  </si>
  <si>
    <t>X09</t>
  </si>
  <si>
    <t>104</t>
  </si>
  <si>
    <t>764392851R00</t>
  </si>
  <si>
    <t>Demontáž úžlabí, rš 660 mm, sklon do 45°</t>
  </si>
  <si>
    <t>11,80*2+11,20*2</t>
  </si>
  <si>
    <t>105</t>
  </si>
  <si>
    <t>764521690RT3</t>
  </si>
  <si>
    <t>Oplechování říms TiZn RHEINZINK, rš 800 mm - VIZ VÝPIS KLEMPÍŘSKÝCH KONSTRUKCÍ</t>
  </si>
  <si>
    <t>PŘEDZVĚTRALÝ BŘIDLICOVĚ ŠEDÝ TiZn TL. 0,7 MM</t>
  </si>
  <si>
    <t>2,80*2+5,0</t>
  </si>
  <si>
    <t>Oplechování římsy z plechu TiZn RHEINZINK. Celoplošné lepení. Včetně dilatací po 3 m.  5,069 kg parapetní plech 0,453 kg dilatac</t>
  </si>
  <si>
    <t>106</t>
  </si>
  <si>
    <t>764530450RT2</t>
  </si>
  <si>
    <t>Oplechování zdí z Ti Zn plechu, rš 600 mm - VIZ VÝPIS KLEMPÍŘSKÝCH VÝROBKŮ</t>
  </si>
  <si>
    <t>nalepení Enkolitem
PŘEDZVETRALÝ BŘIDLICOVĚ ŠEDÝ TL. 0,7 MM</t>
  </si>
  <si>
    <t>1,56*2+4,95</t>
  </si>
  <si>
    <t xml:space="preserve">Položka je kalkulována pro oplechování zdí a nadezdívek včetně rohů. </t>
  </si>
  <si>
    <t>107</t>
  </si>
  <si>
    <t>764554410RAD</t>
  </si>
  <si>
    <t>Odpadní trouby z TiZn plechu kruhové - VIZ VÝPIS KLEMPÍŘSKÝCH VÝROBKŮ</t>
  </si>
  <si>
    <t>průměru 150 mm
PŘEDZVETRALÝ BŘIDLICOVĚ ŠEDÝ TL. 0,7 MM</t>
  </si>
  <si>
    <t>14,0*2</t>
  </si>
  <si>
    <t>K135</t>
  </si>
  <si>
    <t>108</t>
  </si>
  <si>
    <t>764291420R00</t>
  </si>
  <si>
    <t>Závětrná lišta z Ti Zn plechu, rš 330 mm - VIZ VÝPIS KLEMPÍŘSKÝCH VÝROBKŮ</t>
  </si>
  <si>
    <t>PŘEDZVETRALÝ BŘIDLICOVĚ ŠEDÝ TL. 0,7 MM</t>
  </si>
  <si>
    <t>8,9*2</t>
  </si>
  <si>
    <t>K138</t>
  </si>
  <si>
    <t>109</t>
  </si>
  <si>
    <t>764394240VD1</t>
  </si>
  <si>
    <t>Podkladní pás z Pz plechu tl. 0,8 mm, rš 330 mm - VIZ VÝPIS KLEMPÍŘSKÝCH VÝROBKŮ</t>
  </si>
  <si>
    <t>8,90*2</t>
  </si>
  <si>
    <t>K139</t>
  </si>
  <si>
    <t>110</t>
  </si>
  <si>
    <t>764292661VD1</t>
  </si>
  <si>
    <t>Oplechování masky okapní hrany z TiZn RHEINZINK tl. 0,7 mm - VIZ VÝPIS KLEMPÍŘSKÝCH VÝROBKŮ</t>
  </si>
  <si>
    <t>krycí plech TiZn TL. 0,7 MM - předzvětralý břidlicově šedý z výroby. K153-K160
VÝZTUŽNÝ PÁS - FeZn TL. 0,8 MM, PŘÍRODNÍ PROVEDENÍ K145-K152</t>
  </si>
  <si>
    <t>11,73+4,55+52,15+22,20+1,55+15,25+22,35+34,30</t>
  </si>
  <si>
    <t>K145,K146,K147,K148,K149,K150,K151,K152,K153,K154,K155,K156,K157,K158,K159,K160</t>
  </si>
  <si>
    <t>VČETNĚ VÝZTUŽNÉHO PÁSU</t>
  </si>
  <si>
    <t>111</t>
  </si>
  <si>
    <t>998764203R00</t>
  </si>
  <si>
    <t>Přesun hmot pro klempířské konstr., výšky do 24 m</t>
  </si>
  <si>
    <t>4311000*0,01</t>
  </si>
  <si>
    <t>112</t>
  </si>
  <si>
    <t>113</t>
  </si>
  <si>
    <t>12,41+4,56+52,15+22,20+1,55+15,25+22,35+34,30</t>
  </si>
  <si>
    <t>K81,K82,K83,K84,K85,K86,K87,K88</t>
  </si>
  <si>
    <t>(5,20+48,05+1,80+20,88+7,20)*2</t>
  </si>
  <si>
    <t>K115,K116,K117,K118,K119</t>
  </si>
  <si>
    <t>114</t>
  </si>
  <si>
    <t>;ztratné 10%; 33,103</t>
  </si>
  <si>
    <t>115</t>
  </si>
  <si>
    <t>765799311VD1</t>
  </si>
  <si>
    <t>Montáž fólie na krokve přibitím se slepením spojů</t>
  </si>
  <si>
    <t>Folie  bude pokládána z vnější strany přes krokve (na vnější stranu vnitřního obkladu</t>
  </si>
  <si>
    <t>5,2*(62,9+8,00+34,50+18,55+11,50+18,40+4,0*4)*1,35</t>
  </si>
  <si>
    <t>Položka je určena pro montáž fólie na krokve na střeše o sklonu do 35°. Montáž fólie ve sklonu přes 35° do 45° se oceňuje s příplatkem za sklon položkou č. 765 79-9315.R00. Montáž fólie ve sklonu přes 45° se stanovuje individuálně. Bez dodávky fólie</t>
  </si>
  <si>
    <t>116</t>
  </si>
  <si>
    <t>63150817</t>
  </si>
  <si>
    <t>Fólie parobrzdná PA, UV tl. 0,20 mm</t>
  </si>
  <si>
    <t>;ztratné 13%; 155,00511</t>
  </si>
  <si>
    <t>Parozábrana na bázi polyamidu s proměnnou ekvivalentní difuzní tloušťkou a přilnavým rounem.  Balení: role 1,5 x 40. TECHNICKÁ SPECIFIKACE VIZ TZ</t>
  </si>
  <si>
    <t>117</t>
  </si>
  <si>
    <t>631508081</t>
  </si>
  <si>
    <t>Páska lepicí KB1 š. 60 mm</t>
  </si>
  <si>
    <t>(5,2*(62,9+8,00+34,50+18,55+11,50+18,40+4,0*4)*1,35)/1,5</t>
  </si>
  <si>
    <t>;ztratné 10%; 79,4898</t>
  </si>
  <si>
    <t>Lepicí páska pro vzduchotěsné přelepení přesahů parobrzdy. rozměry: tl. cca 0,026 mm, š 60 mm, l = 40 m. TECHNICKÁ SPECIFIKACE VIZ TZ</t>
  </si>
  <si>
    <t>118</t>
  </si>
  <si>
    <t>765799315R00</t>
  </si>
  <si>
    <t>Příplatek za sklon od 30° do 45°,fólie na bednění</t>
  </si>
  <si>
    <t xml:space="preserve">Položka je určena pro montáž fólie nebo lepenky. </t>
  </si>
  <si>
    <t>119</t>
  </si>
  <si>
    <t>998765203R00</t>
  </si>
  <si>
    <t>Přesun hmot pro krytiny tvrdé, výšky do 24 m</t>
  </si>
  <si>
    <t>825000*0,01</t>
  </si>
  <si>
    <t>766</t>
  </si>
  <si>
    <t>Konstrukce truhlářské</t>
  </si>
  <si>
    <t>120</t>
  </si>
  <si>
    <t>766624814R00</t>
  </si>
  <si>
    <t>Demontáž střešního okna vel. do 780 x 1480 mm</t>
  </si>
  <si>
    <t>766_</t>
  </si>
  <si>
    <t>6+13*4+6+4+6+4*2+3+14*2+6+12</t>
  </si>
  <si>
    <t>X02</t>
  </si>
  <si>
    <t>Včetně demontáže vnějšího lemování a obkladu ostění ze sádrokartonu. Položka neobsahuje náklady na rozkrytí střešní krytiny</t>
  </si>
  <si>
    <t>784</t>
  </si>
  <si>
    <t>Malby</t>
  </si>
  <si>
    <t>121</t>
  </si>
  <si>
    <t>784195412R00</t>
  </si>
  <si>
    <t>Malba Primalex Polar, bílá, bez penetrace, 2 x</t>
  </si>
  <si>
    <t>784_</t>
  </si>
  <si>
    <t>02_78_</t>
  </si>
  <si>
    <t>4,15*(8,97+8,70+5,66+6,0+3,52+16,55)</t>
  </si>
  <si>
    <t>severní křídlo - šikminy</t>
  </si>
  <si>
    <t>-(0,78*1,40)*(18+28)</t>
  </si>
  <si>
    <t>severní křídlo - odečet oken</t>
  </si>
  <si>
    <t>2,20*18+4,11*14</t>
  </si>
  <si>
    <t>severní křídlo - ostění oken</t>
  </si>
  <si>
    <t>182,9</t>
  </si>
  <si>
    <t>severní křídlo strop</t>
  </si>
  <si>
    <t>4,93*10+(3,56+11,48+33,0+21,41+21,1)*3,05</t>
  </si>
  <si>
    <t>severní křídlo stěny</t>
  </si>
  <si>
    <t>-(0,78*1,40)*(85)</t>
  </si>
  <si>
    <t>východní křídlo - odečet oken</t>
  </si>
  <si>
    <t>2,20*23+3,91*62</t>
  </si>
  <si>
    <t>východní křídlo - ostění oken</t>
  </si>
  <si>
    <t>300,64</t>
  </si>
  <si>
    <t>východní křídlo strop</t>
  </si>
  <si>
    <t>4,33*26+(11,68+19,56+9,48+22,68+18,61+10,24+3,35+55,064+17,33)*2,90</t>
  </si>
  <si>
    <t>4,05*(10,76+12,85+2,75+11,94+7,90+2,94+26,16+14,45)</t>
  </si>
  <si>
    <t>východní křídlo - šikminy</t>
  </si>
  <si>
    <t>Otěruvzdorný tekutý malířský vnitřní nátěr s výbornou kryvostí a vynikající bělostí. Ředí se vodou 0,5 - 0,75 l čisté vody na 1 kg barvy. Bez vyspravení sádrou a bez penetrace.</t>
  </si>
  <si>
    <t>M21</t>
  </si>
  <si>
    <t>Elektromontáže</t>
  </si>
  <si>
    <t>122</t>
  </si>
  <si>
    <t>210VD02</t>
  </si>
  <si>
    <t>DEMONTÁŽ STÁVAJÍCÍHO HROMOSVODU</t>
  </si>
  <si>
    <t>ks</t>
  </si>
  <si>
    <t>M21_</t>
  </si>
  <si>
    <t>02_9_</t>
  </si>
  <si>
    <t>ÚPRAVA FASÁDY PO ODSTRANĚNÝCH KOTVÁCH</t>
  </si>
  <si>
    <t>M950VD</t>
  </si>
  <si>
    <t>Přípravné práce</t>
  </si>
  <si>
    <t>123</t>
  </si>
  <si>
    <t>950003</t>
  </si>
  <si>
    <t>Demontáž a zpětná montáž klima jednotek,, (včetně vypuštění a opětovné naplnění chladivem)</t>
  </si>
  <si>
    <t>M950VD_</t>
  </si>
  <si>
    <t>demontáž stávajících vynášecích konzol; osazení nových D+M</t>
  </si>
  <si>
    <t>X03</t>
  </si>
  <si>
    <t>Střešní okna</t>
  </si>
  <si>
    <t>Stropy a stropní konstrukce (pro pozemní stavby)</t>
  </si>
  <si>
    <t>03</t>
  </si>
  <si>
    <t>124</t>
  </si>
  <si>
    <t>416091071VD1</t>
  </si>
  <si>
    <t>Příplatek za opláštění ostění střešního okna</t>
  </si>
  <si>
    <t>41_</t>
  </si>
  <si>
    <t>03_4_</t>
  </si>
  <si>
    <t>03_</t>
  </si>
  <si>
    <t>včetně dodávky materiálu
použití sdk desky RF(DF) 15 mm
PRÁCE + MAT. PRO 1,40 M2 OSTĚNÍ</t>
  </si>
  <si>
    <t>2,20/1,40*41</t>
  </si>
  <si>
    <t>T01 - SAMOSTATNÉ OKNO</t>
  </si>
  <si>
    <t>3,91/1,40*31</t>
  </si>
  <si>
    <t>T01 - SESTAVA OKEN - HL.KŘÍDLO</t>
  </si>
  <si>
    <t>4,11/1,4*14</t>
  </si>
  <si>
    <t>T01 - SESTAVA OKEN - SEV.KŘ.</t>
  </si>
  <si>
    <t>Napojení SDK podhledu na střešní okno. Položka obsahuje přetmelení spár, osazení rohových lišt, včetně jejich přetmelení a vložení siťoviny a následné přestěrkování plochy ostění</t>
  </si>
  <si>
    <t>125</t>
  </si>
  <si>
    <t>998011003R00</t>
  </si>
  <si>
    <t>Přesun hmot pro budovy zděné výšky do 24 m</t>
  </si>
  <si>
    <t>126</t>
  </si>
  <si>
    <t>713134211RK4</t>
  </si>
  <si>
    <t>Montáž parozábrany na stěny s přelepením spojů - OSTĚNÍ STŘEŠNÍCH OKEN</t>
  </si>
  <si>
    <t>03_71_</t>
  </si>
  <si>
    <t>parotěsná zábrana Jutafol N 140 speciál</t>
  </si>
  <si>
    <t>2,20*41</t>
  </si>
  <si>
    <t>3,91*31</t>
  </si>
  <si>
    <t>4,11*14</t>
  </si>
  <si>
    <t>127</t>
  </si>
  <si>
    <t>713131130R00</t>
  </si>
  <si>
    <t>Montáž tepelné izolace stěn vložením do nosné rámové konstrukce - OSTĚNÍ STŘEŠNÍCH OKEN</t>
  </si>
  <si>
    <t>2,20*41*0,97</t>
  </si>
  <si>
    <t>3,91*31*0,97</t>
  </si>
  <si>
    <t>4,11*14*0,97</t>
  </si>
  <si>
    <t>Vložení do nosné konstrukce dřevostaveb. V položce není zakalkulována dodávka izolačního materiálu. Tato dodávka se oceňuje ve specifikaci. Při stanovení množství tepelné izolace se z celkového množství neodečítají otvory nebo neizolované plochy menší než 1 m2. Měrnou jednotkou je pohledová plocha stěny. Doporučená spotřeba minerálních desek je 0,97 m2/m2 plochy stěny</t>
  </si>
  <si>
    <t>128</t>
  </si>
  <si>
    <t>63151381</t>
  </si>
  <si>
    <t>Deska izolační MINERÁLNÍ tl. 30 mm</t>
  </si>
  <si>
    <t>;ztratné 5%; 13,044075</t>
  </si>
  <si>
    <t>Izolační desky vyrobené ze skelné minerální plsti. Výroba je založena na metodě rozvlákňování taveniny směsi hornin a dalších příměsí a přísad. Vlákna jsou po celém povrchu hydrofobizována. Desky je nutné v konstrukci chránit vhodným způsobem proti povětrnostním vlivům (vnější opláštění, ev. difuzní fólie)  Desky MULTIMAX 30 jsou vhodné pro izolace vnějších stěn předvěšených fasádních systémů, vkládají se pod obklad do roštu nebo mechanicky kotvené, do  vícevrstvého zdiva. Desky je možné ke  stěně mechanicky kotvit držáky pro měkké MW izolace. Izolační desky se k podkladu nelepí. V případě použití materiálu MULTIMAX 30 na izolování podhledů je také nutné předem uvažovat s použitím kovových hmoždinek z důvodu požární bezpečnosti a jejich umístění nesmí být na kraji desky.  Rozměry: 1200 x 600 x 30 mm Balení: 12,96 m2 Lambda ?D = 0,030 W·m-1·K-1</t>
  </si>
  <si>
    <t>129</t>
  </si>
  <si>
    <t>110000*0,01</t>
  </si>
  <si>
    <t>130</t>
  </si>
  <si>
    <t>766624043R00</t>
  </si>
  <si>
    <t>Montáž střešních oken rozměr 78/140 - 160 cm - viz výpis truhlářských výrobků</t>
  </si>
  <si>
    <t>03_76_</t>
  </si>
  <si>
    <t>VČETNĚ STÍNÍCÍCH DOPLŇKU K OKNŮM
VČETNĚ ELEKTRO INSTALACE, NAPROGRAMOVÁNÍ BEZDRÁTOVÝCH OVLADAČŮ DO JEDNOTLIVÝCH CELKŮ A ZAŠKOLENÍ UŽIVATELŮ
VČETNĚ KLEMPÍŘSKÉHO LEMOVÁNÍ OKEN</t>
  </si>
  <si>
    <t>131</t>
  </si>
  <si>
    <t>Položka obsahuje montáž střešního okna včetně lemování a spojovacího materiálu.</t>
  </si>
  <si>
    <t>6114022056_T01</t>
  </si>
  <si>
    <t>Okno střešní GGUK MK08 046621A 780 x 1400 mm výklopně-kyvné, bezúdržbové</t>
  </si>
  <si>
    <t>VLASTNÍ</t>
  </si>
  <si>
    <t>TECHNICKÝ POPIS - VIZ VÝPIS TRUHLÁŘSKÝCH VÝROBKŮ</t>
  </si>
  <si>
    <t>132</t>
  </si>
  <si>
    <t>61140554_V01</t>
  </si>
  <si>
    <t>LEHKÁ VENKOVNÍ ROLETA NA SOLÁRNÍ POHON SSS MK08 0000SA - VIZ VÝPIS VÝROBKŮ</t>
  </si>
  <si>
    <t>V01</t>
  </si>
  <si>
    <t>TECHNICKÝ POPIS - VIZ VÝPIS VÝROBKŮ</t>
  </si>
  <si>
    <t>133</t>
  </si>
  <si>
    <t>61140544_V02</t>
  </si>
  <si>
    <t>Roleta zastiňovací RML MK08 1028SWL - ELEKTRICKÝ POHON</t>
  </si>
  <si>
    <t>V02</t>
  </si>
  <si>
    <t>134</t>
  </si>
  <si>
    <t>61140305_VD01</t>
  </si>
  <si>
    <t>Sada lemování 2000 + BBX, BFX, BDX MK08, rozměr 780 x 1400 mm - K130 - SPECIAL EKWK MK08 2401H (DÍLCE DLE POZIC NA STŘEŠE)</t>
  </si>
  <si>
    <t>K130_EKW MK08 2401H</t>
  </si>
  <si>
    <t>-PRO FALCOVANOU KRYTINU TiZn S PŘEDZVĚTRALOU ÚPRAVOU Z VÝROBY - BŘIDLICOVĚ ŠEDÁ. KLEMPÍŘSKÉ PRVKY DLE KRYTINY. VIZ VÝPIS KLEMPÍŘSKÝCH VÝROBKŮ</t>
  </si>
  <si>
    <t>135</t>
  </si>
  <si>
    <t>61140305_VD02</t>
  </si>
  <si>
    <t>Sada lemování 2000 + BBX, BFX, BDX MK08, rozměr 780 x 1400 mm - K130 - SPECIAL EKWK MK08 2402H (DÍLCE DLE POZIC NA STŘEŠE)</t>
  </si>
  <si>
    <t>K130_EKW MK08 2402H</t>
  </si>
  <si>
    <t>136</t>
  </si>
  <si>
    <t>61140305_VD03</t>
  </si>
  <si>
    <t>Sada lemování 2000 + BBX, BFX, BDX MK08, rozměr 780 x 1400 mm - K130 - SPECIAL EKWK MK08 24039 (DÍLCE DLE POZIC NA STŘEŠE)</t>
  </si>
  <si>
    <t>K130_EKW MK08 24039</t>
  </si>
  <si>
    <t>137</t>
  </si>
  <si>
    <t>61140305_VD04</t>
  </si>
  <si>
    <t>Sada lemování 2000 + BBX, BFX, BDX MK08, rozměr 780 x 1400 mm - K130 - SPECIAL EDW MK08 2400 (DÍLCE DLE POZIC NA STŘEŠE)</t>
  </si>
  <si>
    <t>K130_EDW MK08 2400</t>
  </si>
  <si>
    <t>138</t>
  </si>
  <si>
    <t>61140305_VD05</t>
  </si>
  <si>
    <t>Sada lemování 2000 + BBX, BFX, BDX MK08, rozměr 780 x 1400 mm - K130 - SPECIAL EKWK MK08 2407E (DÍLCE DLE POZIC NA STŘEŠE)</t>
  </si>
  <si>
    <t>K130_EKW MK08 2407E</t>
  </si>
  <si>
    <t>139</t>
  </si>
  <si>
    <t>61140305_VD06</t>
  </si>
  <si>
    <t>Sada lemování 2000 + BBX, BFX, BDX MK08, rozměr 780 x 1400 mm - K130 - SPECIAL EKWK MK08 2404HE (DÍLCE DLE POZIC NA STŘEŠE)</t>
  </si>
  <si>
    <t>140</t>
  </si>
  <si>
    <t>61140305_VD07</t>
  </si>
  <si>
    <t>Sada lemování 2000 + BBX, BFX, BDX MK08, rozměr 780 x 1400 mm - K130 - SPECIAL EKXK MK08 2405HE (DÍLCE DLE POZIC NA STŘEŠE)</t>
  </si>
  <si>
    <t>K130_EKX MK08 2405HE</t>
  </si>
  <si>
    <t>141</t>
  </si>
  <si>
    <t>61140305_VD08</t>
  </si>
  <si>
    <t>Sada lemování 2000 + BBX, BFX, BDX MK08, rozměr 780 x 1400 mm - K130 - SPECIAL EKVK MK08 24069E (DÍLCE DLE POZIC NA STŘEŠE)</t>
  </si>
  <si>
    <t>142</t>
  </si>
  <si>
    <t>998766203R00</t>
  </si>
  <si>
    <t>Přesun hmot pro truhlářské konstr., výšky do 24 m</t>
  </si>
  <si>
    <t>8278000*0,01</t>
  </si>
  <si>
    <t>143</t>
  </si>
  <si>
    <t>941955001R00</t>
  </si>
  <si>
    <t>Lešení lehké pomocné, výška podlahy do 1,2 m</t>
  </si>
  <si>
    <t>03_9_</t>
  </si>
  <si>
    <t>0,78*131</t>
  </si>
  <si>
    <t>pro montáž oken a sdk ostění</t>
  </si>
  <si>
    <t>Klima jednotky - stavební připravenost</t>
  </si>
  <si>
    <t>763</t>
  </si>
  <si>
    <t>Dřevostavby</t>
  </si>
  <si>
    <t>04</t>
  </si>
  <si>
    <t>144</t>
  </si>
  <si>
    <t>763734111R00</t>
  </si>
  <si>
    <t>Montáž ostatních prvků plochy do 50 cm2</t>
  </si>
  <si>
    <t>763_</t>
  </si>
  <si>
    <t>04_76_</t>
  </si>
  <si>
    <t>04_</t>
  </si>
  <si>
    <t>vynesení konzoly klima</t>
  </si>
  <si>
    <t>1,05*2</t>
  </si>
  <si>
    <t>Trámek 60×80</t>
  </si>
  <si>
    <t>0,65*2</t>
  </si>
  <si>
    <t>KONTRALAŤ 60×40 (naležato)</t>
  </si>
  <si>
    <t>Montáž ostatních prvků - krokví, vaznic, ztužidel, zavětrování, atd.</t>
  </si>
  <si>
    <t>145</t>
  </si>
  <si>
    <t>60517116</t>
  </si>
  <si>
    <t>Lať SM/JD/BO 40 x 60 mm</t>
  </si>
  <si>
    <t>0,65*2*22</t>
  </si>
  <si>
    <t>;ztratné 10%; 2,86</t>
  </si>
  <si>
    <t xml:space="preserve">Délka do 5 </t>
  </si>
  <si>
    <t>146</t>
  </si>
  <si>
    <t>605157099</t>
  </si>
  <si>
    <t>Hranolek stavební SM tl. 60×80 mm, 2 - 5 m</t>
  </si>
  <si>
    <t>(0,06*0,08)*1,05*2*22</t>
  </si>
  <si>
    <t>;ztratné 10%; 0,022176</t>
  </si>
  <si>
    <t>147</t>
  </si>
  <si>
    <t>998763201R00</t>
  </si>
  <si>
    <t>Přesun hmot pro dřevostavby, výšky do 12 m</t>
  </si>
  <si>
    <t>2943*0,01</t>
  </si>
  <si>
    <t>148</t>
  </si>
  <si>
    <t>764242411VD1</t>
  </si>
  <si>
    <t>Lemování trub průměr 75 MM - VIZ VÝPIS KLEMPÍŘSKÝCH VÝROBKŮ</t>
  </si>
  <si>
    <t>TiZn PŘEDZVĚTRALÝ BŘIDLICOVĚ ŠEDÝ</t>
  </si>
  <si>
    <t>K136</t>
  </si>
  <si>
    <t>Lemování prostupů kruhových průměr 75 mm z plechu TiZn TL. 0,7 MM</t>
  </si>
  <si>
    <t>149</t>
  </si>
  <si>
    <t>764242411VD2</t>
  </si>
  <si>
    <t>Lemování trub průměr 35 MM - VIZ VÝPIS KLEMPÍŘSKÝCH VÝROBKŮ</t>
  </si>
  <si>
    <t>22*4</t>
  </si>
  <si>
    <t>K161</t>
  </si>
  <si>
    <t>150</t>
  </si>
  <si>
    <t>87000*0,01</t>
  </si>
  <si>
    <t>767</t>
  </si>
  <si>
    <t>Konstrukce doplňkové stavební (zámečnické)</t>
  </si>
  <si>
    <t>151</t>
  </si>
  <si>
    <t>76783310VD01</t>
  </si>
  <si>
    <t>Montáž KOVOVÝCH STUPŇŮ - VIZ VÝPIS VÝROBKŮ</t>
  </si>
  <si>
    <t>KS</t>
  </si>
  <si>
    <t>767_</t>
  </si>
  <si>
    <t>V04</t>
  </si>
  <si>
    <t>V05</t>
  </si>
  <si>
    <t>152</t>
  </si>
  <si>
    <t>55347338VD1</t>
  </si>
  <si>
    <t>Stupeň schodišťový z POROROŠTU  800×250 mm - VIZ VÝPIS VÝROBKŮ</t>
  </si>
  <si>
    <t>VYNESENÝ SCHODIŠŤOVÝ STUPEŇ
-SYSTÉMOVÉ ŘEŠENÍ DODAVATELE PLECHOVÉ KRYTINY (TiZn)
-2× DRŽÁK NÁŠLAPNÉHO STUPŇE - UPEVNĚNÍ NA DVOJITOU STOJATOU DRÁŽKU 
-1× STUPEŇ Z POROROŠTU 250×800 MM</t>
  </si>
  <si>
    <t>153</t>
  </si>
  <si>
    <t>998767203R00</t>
  </si>
  <si>
    <t>Přesun hmot pro zámečnické konstr., výšky do 24 m</t>
  </si>
  <si>
    <t>346000*0,01</t>
  </si>
  <si>
    <t>M65</t>
  </si>
  <si>
    <t>Elektroinstalace</t>
  </si>
  <si>
    <t>154</t>
  </si>
  <si>
    <t>650022172VD1</t>
  </si>
  <si>
    <t>Montáž konzole pro klima jednotky</t>
  </si>
  <si>
    <t>M65_</t>
  </si>
  <si>
    <t>04_9_</t>
  </si>
  <si>
    <t>155</t>
  </si>
  <si>
    <t>55343611_V03</t>
  </si>
  <si>
    <t>KONZOLA VYNÁŠEJÍCÍ KLIMA JEDNOTKU - VIZ VÝPIS VÝROBKŮ</t>
  </si>
  <si>
    <t>V03</t>
  </si>
  <si>
    <t>KONZOLE MT 600 PRO INSTALACI KLIMA JEDNOTEK NA STŘECHU S NASTAVITELNÝM ÚHLEM SKLONU A ROZTEČÍ PODPĚR. INSTALACE
UCHYCOVACÍ KONSTRUKCE POD KRYTINU NA LATĚNÍ. GALVANICKY POKOVENÝ POVRCH S PRÁŠKOVOU BARVOU. SOUČÁSTÍ BALENÍ JE
ANTIVIBRAČNÍ SADA SE ŠROUBEM M12 Z NEREZ OCELI. 800X450, CELKOVÁ NOSNOST 140 KG.</t>
  </si>
  <si>
    <t xml:space="preserve">TPS – Silnoproud + Bleskosvod	</t>
  </si>
  <si>
    <t>Úprava povrchů vnější</t>
  </si>
  <si>
    <t>05</t>
  </si>
  <si>
    <t>156</t>
  </si>
  <si>
    <t>622300281RT4</t>
  </si>
  <si>
    <t>Montáž chráničky kabelu DO STŘEŠNÍHO PLÁŠTĚ</t>
  </si>
  <si>
    <t>62_</t>
  </si>
  <si>
    <t>05_6_</t>
  </si>
  <si>
    <t>05_</t>
  </si>
  <si>
    <t>vč. chráničky  DN 75 mm
vč protahovacího drátu a vypěnění chráničky</t>
  </si>
  <si>
    <t>0,5*22</t>
  </si>
  <si>
    <t>Vyřezání PRŮCHODU a osazení chráničky.</t>
  </si>
  <si>
    <t>157</t>
  </si>
  <si>
    <t>21001000VD01</t>
  </si>
  <si>
    <t>ROZVADĚČE S PŘEPĚŤOVÝMI OCHRANAMI VČETNĚ MONTÁŽE A ZAPOJENÍ -</t>
  </si>
  <si>
    <t>05_9_</t>
  </si>
  <si>
    <t xml:space="preserve">RS4.2 - STÁVAJÍCÍ ROZVADĚČ - DOPLNĚNÍ - 1x přepěťová ochrana stupně "T2" LPL III (TN-S), 3x proudový chránič s nadproudovou ochranou C/1-10A/0,03A
</t>
  </si>
  <si>
    <t>158</t>
  </si>
  <si>
    <t>21001000VD02</t>
  </si>
  <si>
    <t xml:space="preserve">RS4.3 - STÁVAJÍCÍ ROZVADĚČ - DOPLNĚNÍ
1x přepěťová ochrana stupně "T2" LPL III (TN-S), 2x proudový chránič s nadproudovou ochranou C/1-10A/0,03A
</t>
  </si>
  <si>
    <t>159</t>
  </si>
  <si>
    <t>21001000VD03</t>
  </si>
  <si>
    <t xml:space="preserve">RS4.4 - STÁVAJÍCÍ ROZVADĚČ - DOPLNĚNÍ
1x přepěťová ochrana stupně "T2" LPL III (TN-S), 3x proudový chránič s nadproudovou ochranou C/1-10A/0,03A
</t>
  </si>
  <si>
    <t>160</t>
  </si>
  <si>
    <t>21001000VD04</t>
  </si>
  <si>
    <t>INSTALAČNÍ MATERIÁL VČETNĚ MONTÁŽE, ZAPOJENÍ A ULOŽENÍ - KRABICE V UZAVŘENÉM PROVEDENÍ</t>
  </si>
  <si>
    <t>krabice odbočná s víčkem s bezšroubovými svorkami, plastová, IP54, na povrch</t>
  </si>
  <si>
    <t>197</t>
  </si>
  <si>
    <t>161</t>
  </si>
  <si>
    <t>21001000VD05</t>
  </si>
  <si>
    <t>krabice 150x150 na povrch, s ekvipotenciální svorkovnicí EPS 4A, pro 5x CY 6mm</t>
  </si>
  <si>
    <t>162</t>
  </si>
  <si>
    <t>21001000VD06</t>
  </si>
  <si>
    <t>INSTALAČNÍ MATERIÁL VČETNĚ MONTÁŽE, ZAPOJENÍ A ULOŽENÍ - KABELOVÉ ŽLABY, LIŠTY A PŘÍCHTKY</t>
  </si>
  <si>
    <t>neděrovaný žlab 62/50, včetně plného víka (třída reakce na oheň A1), včetně ukotvení</t>
  </si>
  <si>
    <t>163</t>
  </si>
  <si>
    <t>21001000VD07</t>
  </si>
  <si>
    <t xml:space="preserve">lišta 50x20mm, včetně víka, včetně ukotvení
</t>
  </si>
  <si>
    <t>164</t>
  </si>
  <si>
    <t>21001000VD08</t>
  </si>
  <si>
    <t xml:space="preserve">kabelová příchytka na půdu
</t>
  </si>
  <si>
    <t>250</t>
  </si>
  <si>
    <t>165</t>
  </si>
  <si>
    <t>21001000VD09</t>
  </si>
  <si>
    <t>INSTALAČNÍ MATERIÁL VČETNĚ MONTÁŽE, ZAPOJENÍ A ULOŽENÍ - TRUBKY A CHRÁNIČKY</t>
  </si>
  <si>
    <t xml:space="preserve">trubka ohebná PVC o 25/18,3mm (dn/di), včetně uložení volně
</t>
  </si>
  <si>
    <t>450</t>
  </si>
  <si>
    <t>166</t>
  </si>
  <si>
    <t>21001000VD10</t>
  </si>
  <si>
    <t xml:space="preserve">trubka ohebná PVC o 40/31,2mm (dn/di), včetně uložení do země (děrovaná)
</t>
  </si>
  <si>
    <t>167</t>
  </si>
  <si>
    <t>21001000VD11</t>
  </si>
  <si>
    <t>KABELY VČETNĚ MONTÁŽE, ULOŽENÍ A ZAPOJENÍ - KABELY CYKY</t>
  </si>
  <si>
    <t>kabel CYKY-J 3x1,5mm, uložených v trubkách</t>
  </si>
  <si>
    <t>535</t>
  </si>
  <si>
    <t>168</t>
  </si>
  <si>
    <t>21001000VD12</t>
  </si>
  <si>
    <t>KABELY VČETNĚ MONTÁŽE, ULOŽENÍ A ZAPOJENÍ - KABELY CXKH-R B2ca, s1, d1, a1</t>
  </si>
  <si>
    <t>169</t>
  </si>
  <si>
    <t>21001000VD13</t>
  </si>
  <si>
    <t>KABELY VČETNĚ MONTÁŽE, ULOŽENÍ A ZAPOJENÍ - VODIČE CY PRO POSPOJOVÁNÍ</t>
  </si>
  <si>
    <t>vodič pro pospojování CY 6mm</t>
  </si>
  <si>
    <t>285</t>
  </si>
  <si>
    <t>M21_1</t>
  </si>
  <si>
    <t>Bleskosvod</t>
  </si>
  <si>
    <t>170</t>
  </si>
  <si>
    <t>21001000VD14</t>
  </si>
  <si>
    <t>"JT1,0" jímací tyč d=10mm, l=1,0m nerez, podpůrná trubka d=50mm, l=3,2m, GFK/Al pro vodiče HVI long</t>
  </si>
  <si>
    <t>M21_1_</t>
  </si>
  <si>
    <t>BLESKOSVOD VČETNĚ DOPRAVY, MONTÁŽE A ZAPOJENÍ</t>
  </si>
  <si>
    <t xml:space="preserve">Délky vodičů HVI Long šedé a počty podpěr je nutné před objednáním proměřit a spočítat realizační montážní firmou.				
</t>
  </si>
  <si>
    <t>171</t>
  </si>
  <si>
    <t>21001000VD15</t>
  </si>
  <si>
    <t>"JT1,5" jímací tyč d=10mm, l=2,5m Al zakrácená na 1,5m, podpůrná trubka d=50mm, l=3,2m, GFK/Al pro vodiče HVI long</t>
  </si>
  <si>
    <t>172</t>
  </si>
  <si>
    <t>21001000VD16</t>
  </si>
  <si>
    <t>"DPT" - držák na stěnu pro svislou montáž, pro jímací tyče nebo podpůrné trubky D40-50, s natáčivou příložkou</t>
  </si>
  <si>
    <t>173</t>
  </si>
  <si>
    <t>21001000VD17</t>
  </si>
  <si>
    <t>sada pro upevnění vodičů HVI long šedých</t>
  </si>
  <si>
    <t>Upevňovací sada pro montáž vodičů HVI long k podpůrným trubkám pro vodiče HVI long, složená z připojovací destičky (čtyřnásobné s dvojicí přírubových matic s ozubením) a upevňovacího kroužku se čtyřmi držáky vedení (O 20 mm), opatřenými prořezem pro koncovku (včetně dvou stahovacích pásků s dvoudílným plastovým držákem).</t>
  </si>
  <si>
    <t>174</t>
  </si>
  <si>
    <t>21001000VD18</t>
  </si>
  <si>
    <t>sada připojovacích prvků pro vodič HVI long O 23 mm, pro uložení vně podpůrné trubky</t>
  </si>
  <si>
    <t xml:space="preserve">Připojovací prvky pro zakončení vodiče HVI long na obou koncích, pro vytvoření koncovky vedení při instalaci vně podpůrné trubky (hlavice pro připojovací destičku) a připojovací prvek pro připojení na jiné části vnější ochrany před bleskem nebo na uzemňovací soustavu (součástí jsou čtyři smršťovací bužírky, 2x černá, 2x šedá)
</t>
  </si>
  <si>
    <t>175</t>
  </si>
  <si>
    <t>21001000VD19</t>
  </si>
  <si>
    <t>"OŠ" - označovací štítek, AL pro prům. 7-10 mm pásek 30 mm</t>
  </si>
  <si>
    <t>176</t>
  </si>
  <si>
    <t>21001000VD20</t>
  </si>
  <si>
    <t>"SZK" - krabice pro zkušební svorky (se svorkou) 0,35/0,20/0,20m (délka/šířka/hloubka), litina, barva černá, pro prům. 7-10/pásek 40mm</t>
  </si>
  <si>
    <t>177</t>
  </si>
  <si>
    <t>21001000VD21</t>
  </si>
  <si>
    <t>vodič vysokonapěťový HVI Long ŠEDÝ, s&lt;0,75m (vzduch), Ř=23mm</t>
  </si>
  <si>
    <t>350</t>
  </si>
  <si>
    <t>178</t>
  </si>
  <si>
    <t>21001000VD22</t>
  </si>
  <si>
    <t>"PV1" - držák vedení s plastovou podložkou pro montáž na stěnu, s příložkou se dvěma šrouby</t>
  </si>
  <si>
    <t>179</t>
  </si>
  <si>
    <t>21001000VD23</t>
  </si>
  <si>
    <t>"PV2" - střešní držák vedení s příložkou pro střechy se stojatým falcem</t>
  </si>
  <si>
    <t>180</t>
  </si>
  <si>
    <t>21001000VD24</t>
  </si>
  <si>
    <t>nátěr vodičů HVI Long šedý a spodních částí podpůrných trubek dle střešní krytiny. Barvy a laky musí být snášenlivé s PE. Barvy a laky mohou být rozpu</t>
  </si>
  <si>
    <t>181</t>
  </si>
  <si>
    <t>21001000VD25</t>
  </si>
  <si>
    <t>uzemňovací svorka na potrubí D 27-89mm, nerez f. Rd 10mm o. 2x Rd 6-8mm bzw. 4-25mm2</t>
  </si>
  <si>
    <t>UZEMNĚNÍ VČETNĚ DOPRAVY, MONTÁŽE A ZAPOJENÍ				
Svorka/pásková objímka pro připojení potrubí podle ČSN EN 62561-1, k uzemnění nebo systému vyrovnání potenciálů podle ČSN 33 2000-4-41 nebo k vyrovnání potenciálů při působení blesku podle ČSN EN 62305-3. Kompletní provedení s plynule nastavitelným nerezovým upínacím páskem, pro připojení 1 vodiče prům. 10 mm nebo 1 - 2 vodičů prům. 6 - 8 mm nebo 2 vodičů s průřezem 4 - 50 mm2 (jedno/vícežilové).</t>
  </si>
  <si>
    <t>182</t>
  </si>
  <si>
    <t>21001000VD26</t>
  </si>
  <si>
    <t>úprava / zakrácení stávajícího zemnícího drátu FeZn Ř 10mm</t>
  </si>
  <si>
    <t xml:space="preserve">UZEMNĚNÍ VČETNĚ DOPRAVY, MONTÁŽE A ZAPOJENÍ				
</t>
  </si>
  <si>
    <t>183</t>
  </si>
  <si>
    <t>21001000VD27</t>
  </si>
  <si>
    <t>úprava terénu u stávajícího využitého zemnícího drátu FeZn Ř 10mm pro uložení zemní krabice "SZK"</t>
  </si>
  <si>
    <t>UZEMNĚNÍ VČETNĚ DOPRAVY, MONTÁŽE A ZAPOJENÍ				
rozebrání dlažby, výkop 0,35/0,20/0,20m (délka/šířka/hloubka) pro uložení krabice do štěrkového pole, zapravení terénu / opětovné položení dlažby</t>
  </si>
  <si>
    <t>184</t>
  </si>
  <si>
    <t>21001000VD28</t>
  </si>
  <si>
    <t>drát AlMgSi o 8mm (vyrovnání potenciálu)</t>
  </si>
  <si>
    <t>185</t>
  </si>
  <si>
    <t>21001000VD29</t>
  </si>
  <si>
    <t>"ST5" - svorka na potrubí Ř=44-55mm, Fe/Zn (vyrovnání potenciálu)</t>
  </si>
  <si>
    <t>186</t>
  </si>
  <si>
    <t>21001000VD30</t>
  </si>
  <si>
    <t>SO - svorka na okapové svody, Fe/Zn</t>
  </si>
  <si>
    <t>187</t>
  </si>
  <si>
    <t>21001000VD31</t>
  </si>
  <si>
    <t>demontáž stávající bleskosvodné soustavy bez zachování funkčnosti</t>
  </si>
  <si>
    <t>hod</t>
  </si>
  <si>
    <t xml:space="preserve">OSTATNÍ			
</t>
  </si>
  <si>
    <t>188</t>
  </si>
  <si>
    <t>21001000VD32</t>
  </si>
  <si>
    <t>ekologická likvidace bleskosvodné soustavy jako celek</t>
  </si>
  <si>
    <t>0,78</t>
  </si>
  <si>
    <t>189</t>
  </si>
  <si>
    <t>21001000VD33</t>
  </si>
  <si>
    <t>zapravení děr po demontovaných podpěrách bleskových svodů do zdiva včtně fasádního nátěru v barvě fasády</t>
  </si>
  <si>
    <t>190</t>
  </si>
  <si>
    <t>21001000VD34</t>
  </si>
  <si>
    <t>dřevěná deska cca 4000x250x40mm, včetně kotvícího / uchycujícího materiálu</t>
  </si>
  <si>
    <t>191</t>
  </si>
  <si>
    <t>21001000VD35</t>
  </si>
  <si>
    <t>dřevěná deska cca 2500x200x40mm, včetně kotvícího / uchycujícího materiálu</t>
  </si>
  <si>
    <t>192</t>
  </si>
  <si>
    <t>21001000VD36</t>
  </si>
  <si>
    <t>úprava dřevěné konstrukce pro přichycení nástěnného držáku spodní části podpůrné trubky</t>
  </si>
  <si>
    <t>193</t>
  </si>
  <si>
    <t>21001000VD37</t>
  </si>
  <si>
    <t>kabelový vývod pro el. střešní okna, ukončení a zapojení</t>
  </si>
  <si>
    <t>194</t>
  </si>
  <si>
    <t>21001000VD38</t>
  </si>
  <si>
    <t>štítky na krabice</t>
  </si>
  <si>
    <t>199</t>
  </si>
  <si>
    <t>195</t>
  </si>
  <si>
    <t>21001000VD39</t>
  </si>
  <si>
    <t>vrtání otvorů do o 10cm</t>
  </si>
  <si>
    <t>196</t>
  </si>
  <si>
    <t>21001000VD40</t>
  </si>
  <si>
    <t>21001000VD41</t>
  </si>
  <si>
    <t>pomocný instalační materiál</t>
  </si>
  <si>
    <t>198</t>
  </si>
  <si>
    <t>21001000VD42</t>
  </si>
  <si>
    <t>koordinace ostatních profesí během stavby</t>
  </si>
  <si>
    <t>21001000VD43</t>
  </si>
  <si>
    <t>revize elektroinstalace</t>
  </si>
  <si>
    <t>200</t>
  </si>
  <si>
    <t>21001000VD44</t>
  </si>
  <si>
    <t>revize bleskosvodu</t>
  </si>
  <si>
    <t>201</t>
  </si>
  <si>
    <t>21001000VD45</t>
  </si>
  <si>
    <t>Mimostav. doprava 3.6% z dodávky</t>
  </si>
  <si>
    <t>kpl</t>
  </si>
  <si>
    <t>202</t>
  </si>
  <si>
    <t>21001000VD46</t>
  </si>
  <si>
    <t>PPV obor 001-025</t>
  </si>
  <si>
    <t>Dešťová kanalizace</t>
  </si>
  <si>
    <t>Hloubené vykopávky</t>
  </si>
  <si>
    <t>06</t>
  </si>
  <si>
    <t>203</t>
  </si>
  <si>
    <t>139601102R00</t>
  </si>
  <si>
    <t>Ruční výkop jam, rýh a šachet v hornině tř. 3</t>
  </si>
  <si>
    <t>RTS I / 2024</t>
  </si>
  <si>
    <t>13_</t>
  </si>
  <si>
    <t>06_1_</t>
  </si>
  <si>
    <t>06_</t>
  </si>
  <si>
    <t>(13,5+2,50)*0,4*0,80</t>
  </si>
  <si>
    <t>k nejbližší šachtě</t>
  </si>
  <si>
    <t>0,8*0,8*0,8</t>
  </si>
  <si>
    <t>šachta</t>
  </si>
  <si>
    <t>Konstrukce ze zemin</t>
  </si>
  <si>
    <t>204</t>
  </si>
  <si>
    <t>174101102R00</t>
  </si>
  <si>
    <t>Zásyp ruční se zhutněním</t>
  </si>
  <si>
    <t>17_</t>
  </si>
  <si>
    <t>205</t>
  </si>
  <si>
    <t>175101101RT2</t>
  </si>
  <si>
    <t>Obsyp potrubí bez prohození sypaniny</t>
  </si>
  <si>
    <t>s dodáním štěrkopísku frakce 0 - 22 mm</t>
  </si>
  <si>
    <t>(13,5+2,50)*0,4*0,20</t>
  </si>
  <si>
    <t>Včetně dodávky kameniva</t>
  </si>
  <si>
    <t>Povrchové úpravy terénu</t>
  </si>
  <si>
    <t>206</t>
  </si>
  <si>
    <t>180402111R00</t>
  </si>
  <si>
    <t>Založení trávníku parkového výsevem v rovině</t>
  </si>
  <si>
    <t>18_</t>
  </si>
  <si>
    <t>(13,5+2,50)*0,80</t>
  </si>
  <si>
    <t>1,50*1,50</t>
  </si>
  <si>
    <t>Podkladní a vedlejší konstrukce (kromě vozovek a železničního svršku)</t>
  </si>
  <si>
    <t>207</t>
  </si>
  <si>
    <t>451595111R00</t>
  </si>
  <si>
    <t>Lože pod potrubí z prohozeného výkopku</t>
  </si>
  <si>
    <t>45_</t>
  </si>
  <si>
    <t>06_4_</t>
  </si>
  <si>
    <t>(13,5+2,50)*0,4*0,10</t>
  </si>
  <si>
    <t>0,8*0,8*0,1</t>
  </si>
  <si>
    <t>Položka je určena i pro zřízení sběrných vrstev nad drenážními trubkami. V položce jsou zakalkulovány i náklady na prohození výkopku získaného při zemních pracích. Položka je určena pro práce v otevřeném výkopu, pro práce ve štole se k položce používá příplatek 45154-1192</t>
  </si>
  <si>
    <t>208</t>
  </si>
  <si>
    <t>998011001R00</t>
  </si>
  <si>
    <t>Přesun hmot pro budovy zděné výšky do 6 m</t>
  </si>
  <si>
    <t>721</t>
  </si>
  <si>
    <t>Vnitřní kanalizace</t>
  </si>
  <si>
    <t>209</t>
  </si>
  <si>
    <t>721176224R00</t>
  </si>
  <si>
    <t>Potrubí KG svodné (ležaté) v zemi, D 160 x 4,0 mm</t>
  </si>
  <si>
    <t>721_</t>
  </si>
  <si>
    <t>06_72_</t>
  </si>
  <si>
    <t>(13,5+2,50)*1,1</t>
  </si>
  <si>
    <t>210</t>
  </si>
  <si>
    <t>28656139</t>
  </si>
  <si>
    <t>Koleno 30° kanalizační odolné PPKGB DN 160</t>
  </si>
  <si>
    <t>2*2</t>
  </si>
  <si>
    <t>Kanalizace do náročných podmínek. Kanalizační trubky a tvarovky z polypropylenu, se schopností odolávat vařící vodě a účinkům světla, vyráběné v souladu s DIN EN 14758. Svými vlastnostmi odpovídá požadavkům normy ČSN EN 1852.  Vyznačují se hladkou homogennní stěnou s vysokou kruhovou tuhostí, čímž jsou předurčeny pro uložení v zemi v místech s vyššími vrcholovými tlaky - dálniční vozovky, extrémní hloubky uložení, oblasti s vysokou hladinou podzemní vody atd.  Těsnost spojů systému při přetlaku i podtlaku zajišťuje vícebřitý těsnicí element, který je opatřen napínacím břitem - zabraňuje vniknutí nečistot mezi těsnění a stěnu trubky, vymezovacím břitem - fixuje pozici zasunuté trubky, stíracím břitem - odstraňuje zbytky nečistot ze zasouvaného konce trubky, hlavním břitem - zajišťuje dlouhodobé utěsnění spoje.  Kruhová tuhost SN 10 kN/m2 Dlouhodobá teplotní odolnost 90 °C Vysoká chemická odolnost pH 2 - pH 12 (kyselina / alkalické</t>
  </si>
  <si>
    <t>211</t>
  </si>
  <si>
    <t>28656177</t>
  </si>
  <si>
    <t>Kus čisticí kanalizační PPKGRE DN 160</t>
  </si>
  <si>
    <t>212</t>
  </si>
  <si>
    <t>721242117R00</t>
  </si>
  <si>
    <t>Lapač střešních splavenin litinový, DN 150 mm</t>
  </si>
  <si>
    <t>213</t>
  </si>
  <si>
    <t>998721201R00</t>
  </si>
  <si>
    <t>Přesun hmot pro vnitřní kanalizaci, výšky do 6 m</t>
  </si>
  <si>
    <t>29134*0,01</t>
  </si>
  <si>
    <t>Ostatní konstrukce a práce na trubním vedení</t>
  </si>
  <si>
    <t>214</t>
  </si>
  <si>
    <t>894431112R00</t>
  </si>
  <si>
    <t>Osazení plastové šachty z dílů prům.600 mm,</t>
  </si>
  <si>
    <t>89_</t>
  </si>
  <si>
    <t>06_8_</t>
  </si>
  <si>
    <t>včetně kompletního sortimentu
přesné typové označení bude dle skutečné polohy potrubí v zemi</t>
  </si>
  <si>
    <t>Položka je určena pro osazení plastových dílců šachet, tvořených dnem, šachtovým dílem a konusem na připravený podklad včetně přípravy pro napojení potrubí. V položce nejsou zakalkulovány náklady na dodání plastových dílců; dílce se oceňují ve specifikaci. Ztratné se nedoporučuje. Plastová šachta splňuje požadavky na vodotěsnost, odolnost proti korozi, stabilitu a trvanlivost a vyhovuje zatížení vozovek A, B a C. Osazení poklopů a mříží se oceňuje samostatně položkami 899 10 - .... až 899 40 - .... části A01 tohoto ceníku</t>
  </si>
  <si>
    <t>215</t>
  </si>
  <si>
    <t>28697122.A</t>
  </si>
  <si>
    <t>Roura šachtová PP  korugovaná bez hrdla 600 x 3000 mm</t>
  </si>
  <si>
    <t xml:space="preserve">katalogové číslo výrobce RP030000W  Inspekční (neprůlezná) šachta firmy TEGRA 600 je novým řešením v oblasti kanalizačních sítí a domovních přípojek, systémů pro odpadní a dešťovou vodu, sdružené kanalizace, průmyslových odpadních sítí, „zelené zóny a vozovek". Materiál roury - polypropylen má vynikající pevnostní charakteristiky, šachtová roura odolává bez nebezpečí prasknutí i velmi vysokému zatížení. Technické výhody vyplývající z dosavadních technických řešení:  ŠACHTOVÁ (KORUGOVANÁ) ROURA:  - plynulá regulace výšky šachty  - kopírování chování okolní zeminy  - kruhová tuhost SN4  - odolnost vůči svislému zatížení </t>
  </si>
  <si>
    <t>216</t>
  </si>
  <si>
    <t>286971503</t>
  </si>
  <si>
    <t>Dno šachtové PP  TEGRA 600 průtočné 60° KG 160 mm</t>
  </si>
  <si>
    <t xml:space="preserve">katalogové číslo výrobce RF130000W pro potrubí hladké, včetně těsnění  Inspekční (neprůlezná) šachta TEGRA 600 je novým řešením v oblasti kanalizačních sítí a domovních přípojek, systémů pro odpadní a dešťovou vodu, sdružené kanalizace, průmyslových odpadních sítí, „zelené zóny a vozovek". Unikátní je systém výkyvných hrdel umožňující napojení dna v libovolném úhlu. Technické výhody vyplývající z dosavadních technických řešení:  DNO ŠACHTY:  - výroba metodou extruzního vstřikování  - pevná a trvalá konstrukce  - dobré usazení v půdě  </t>
  </si>
  <si>
    <t>217</t>
  </si>
  <si>
    <t>55241713</t>
  </si>
  <si>
    <t>Poklop šachtový litina TEGRA 600/100 D400</t>
  </si>
  <si>
    <t>Celkem:</t>
  </si>
  <si>
    <t>Krycí list slepého rozpočtu</t>
  </si>
  <si>
    <t>IČO/DIČ:</t>
  </si>
  <si>
    <t>00281859/CZ00281859</t>
  </si>
  <si>
    <t>73313190/CZ7712155616</t>
  </si>
  <si>
    <t>Položek:</t>
  </si>
  <si>
    <t>Datum:</t>
  </si>
  <si>
    <t>Rozpočtové náklady v Kč</t>
  </si>
  <si>
    <t>A</t>
  </si>
  <si>
    <t>Základní rozpočtové náklady</t>
  </si>
  <si>
    <t>B</t>
  </si>
  <si>
    <t>Doplňkové náklady</t>
  </si>
  <si>
    <t>C</t>
  </si>
  <si>
    <t>Náklady na umístění stavby (NUS)</t>
  </si>
  <si>
    <t>HSV</t>
  </si>
  <si>
    <t>Dodávky</t>
  </si>
  <si>
    <t>Práce přesčas</t>
  </si>
  <si>
    <t>Zařízení staveniště</t>
  </si>
  <si>
    <t>Bez pevné podl.</t>
  </si>
  <si>
    <t>Mimostav. doprava</t>
  </si>
  <si>
    <t>PSV</t>
  </si>
  <si>
    <t>Kulturní památka</t>
  </si>
  <si>
    <t>Územní vlivy</t>
  </si>
  <si>
    <t>Provozní vlivy</t>
  </si>
  <si>
    <t>"M"</t>
  </si>
  <si>
    <t>Ostatní</t>
  </si>
  <si>
    <t>NUS z rozpočtu</t>
  </si>
  <si>
    <t>Ostatní materiál</t>
  </si>
  <si>
    <t>Přesun hmot a sutí</t>
  </si>
  <si>
    <t>ZRN celkem</t>
  </si>
  <si>
    <t>DN celkem</t>
  </si>
  <si>
    <t>NUS celkem</t>
  </si>
  <si>
    <t>DN celkem z obj.</t>
  </si>
  <si>
    <t>NUS celkem z obj.</t>
  </si>
  <si>
    <t>VORN celkem</t>
  </si>
  <si>
    <t>VORN celkem z obj.</t>
  </si>
  <si>
    <t>Základ 0%</t>
  </si>
  <si>
    <t>Základ 12%</t>
  </si>
  <si>
    <t>DPH 12%</t>
  </si>
  <si>
    <t>Celkem bez DPH</t>
  </si>
  <si>
    <t>Základ 21%</t>
  </si>
  <si>
    <t>DPH 21%</t>
  </si>
  <si>
    <t>Celkem včetně DPH</t>
  </si>
  <si>
    <t>Projektant</t>
  </si>
  <si>
    <t>Objednatel</t>
  </si>
  <si>
    <t>Zhotovitel</t>
  </si>
  <si>
    <t>Datum, razítko a podpis</t>
  </si>
  <si>
    <t>Vedlejší a ostatní rozpočtové náklady</t>
  </si>
  <si>
    <t>Vedlejší rozpočtové náklady VRN</t>
  </si>
  <si>
    <t>Doplňkové náklady DN</t>
  </si>
  <si>
    <t>Kč</t>
  </si>
  <si>
    <t>Základna</t>
  </si>
  <si>
    <t>Celkem DN</t>
  </si>
  <si>
    <t>Celkem NUS</t>
  </si>
  <si>
    <t>Celkem VRN</t>
  </si>
  <si>
    <t>Ostatní rozpočtové náklady ORN</t>
  </si>
  <si>
    <t>Ostatní rozpočtové náklady (ORN)</t>
  </si>
  <si>
    <t>Celkem ORN</t>
  </si>
  <si>
    <t>Krycí list slepého rozpočtu (00 - Staveniště)</t>
  </si>
  <si>
    <t>Vedlejší a ostatní rozpočtové náklady (00 - Staveniště)</t>
  </si>
  <si>
    <t>Krycí list slepého rozpočtu (01 - Střecha nad tělocvičnou)</t>
  </si>
  <si>
    <t>Vedlejší a ostatní rozpočtové náklady (01 - Střecha nad tělocvičnou)</t>
  </si>
  <si>
    <t>Krycí list slepého rozpočtu (02 - Střecha nad hlavní budovou)</t>
  </si>
  <si>
    <t>Vedlejší a ostatní rozpočtové náklady (02 - Střecha nad hlavní budovou)</t>
  </si>
  <si>
    <t>Krycí list slepého rozpočtu (03 - Střešní okna)</t>
  </si>
  <si>
    <t>Vedlejší a ostatní rozpočtové náklady (03 - Střešní okna)</t>
  </si>
  <si>
    <t>Krycí list slepého rozpočtu (04 - Klima jednotky - stavební připravenost)</t>
  </si>
  <si>
    <t>Vedlejší a ostatní rozpočtové náklady (04 - Klima jednotky - stavební připravenost)</t>
  </si>
  <si>
    <t>Krycí list slepého rozpočtu (05 - TPS – Silnoproud + Bleskosvod	)</t>
  </si>
  <si>
    <t>Vedlejší a ostatní rozpočtové náklady (05 - TPS – Silnoproud + Bleskosvod	)</t>
  </si>
  <si>
    <t>Krycí list slepého rozpočtu (06 - Dešťová kanalizace)</t>
  </si>
  <si>
    <t>Vedlejší a ostatní rozpočtové náklady (06 - Dešťová kanalizace)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</si>
</sst>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Calibri"/>
      <charset val="1"/>
    </font>
    <font>
      <sz val="18"/>
      <color rgb="FF000000"/>
      <name val="Arial"/>
      <charset val="238"/>
    </font>
    <font>
      <b/>
      <sz val="10"/>
      <color rgb="FF000000"/>
      <name val="Arial"/>
      <charset val="238"/>
    </font>
    <font>
      <sz val="10"/>
      <color rgb="FF000000"/>
      <name val="Arial"/>
      <charset val="238"/>
    </font>
    <font>
      <i/>
      <sz val="10"/>
      <color rgb="FF000000"/>
      <name val="Arial"/>
      <charset val="238"/>
    </font>
    <font>
      <i/>
      <sz val="10"/>
      <color rgb="FF008000"/>
      <name val="Arial"/>
      <charset val="238"/>
    </font>
    <font>
      <sz val="10"/>
      <color rgb="FF0080C0"/>
      <name val="Arial"/>
      <charset val="238"/>
    </font>
    <font>
      <i/>
      <sz val="10"/>
      <color rgb="FF0080C0"/>
      <name val="Arial"/>
      <charset val="238"/>
    </font>
    <font>
      <sz val="11"/>
      <name val="Arial"/>
      <charset val="1"/>
    </font>
    <font>
      <i/>
      <sz val="8"/>
      <color rgb="FF000000"/>
      <name val="Arial"/>
      <charset val="238"/>
    </font>
    <font>
      <b/>
      <sz val="18"/>
      <color rgb="FF000000"/>
      <name val="Arial"/>
      <charset val="238"/>
    </font>
    <font>
      <b/>
      <sz val="20"/>
      <color rgb="FF000000"/>
      <name val="Arial"/>
      <charset val="238"/>
    </font>
    <font>
      <b/>
      <sz val="11"/>
      <color rgb="FF000000"/>
      <name val="Arial"/>
      <charset val="238"/>
    </font>
    <font>
      <b/>
      <sz val="12"/>
      <color rgb="FF000000"/>
      <name val="Arial"/>
      <charset val="238"/>
    </font>
    <font>
      <sz val="12"/>
      <color rgb="FF000000"/>
      <name val="Arial"/>
      <charset val="238"/>
    </font>
  </fonts>
  <fills count="3">
    <fill>
      <patternFill patternType="none"/>
    </fill>
    <fill>
      <patternFill patternType="gray125"/>
    </fill>
    <fill>
      <patternFill patternType="solid">
        <fgColor rgb="FFC0C0C0"/>
        <bgColor rgb="FFC0C0C0"/>
      </patternFill>
    </fill>
  </fills>
  <borders count="8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right style="thin">
        <color rgb="FF000000"/>
      </right>
      <top/>
      <bottom style="medium">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C0C0C0"/>
      </left>
      <right/>
      <top/>
      <bottom/>
      <diagonal/>
    </border>
    <border>
      <left/>
      <right/>
      <top/>
      <bottom/>
      <diagonal/>
    </border>
    <border>
      <left/>
      <right style="thin">
        <color rgb="FFC0C0C0"/>
      </right>
      <top/>
      <bottom/>
      <diagonal/>
    </border>
    <border>
      <left style="thin">
        <color rgb="FFC0C0C0"/>
      </left>
      <right/>
      <top/>
      <bottom/>
      <diagonal/>
    </border>
    <border>
      <left/>
      <right/>
      <top/>
      <bottom/>
      <diagonal/>
    </border>
    <border>
      <left/>
      <right style="thin">
        <color rgb="FFC0C0C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style="thin">
        <color rgb="FF000000"/>
      </right>
      <top/>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style="medium">
        <color rgb="FF000000"/>
      </right>
      <top style="medium">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252">
    <xf numFmtId="0" fontId="0" fillId="0" borderId="0" xfId="0"/>
    <xf numFmtId="4" fontId="2" fillId="2" borderId="0" xfId="0" applyNumberFormat="1" applyFont="1" applyFill="1" applyAlignment="1">
      <alignment horizontal="right" vertical="center"/>
    </xf>
    <xf numFmtId="0" fontId="3" fillId="0" borderId="0" xfId="0" applyFont="1" applyAlignment="1">
      <alignment horizontal="left" vertical="center" wrapText="1"/>
    </xf>
    <xf numFmtId="0" fontId="2" fillId="2" borderId="0" xfId="0" applyFont="1" applyFill="1" applyAlignment="1">
      <alignment horizontal="right" vertical="center"/>
    </xf>
    <xf numFmtId="0" fontId="2" fillId="0" borderId="0" xfId="0" applyFont="1" applyAlignment="1">
      <alignment horizontal="right" vertical="center"/>
    </xf>
    <xf numFmtId="4" fontId="3" fillId="0" borderId="0" xfId="0" applyNumberFormat="1" applyFont="1" applyAlignment="1">
      <alignment horizontal="right" vertical="center"/>
    </xf>
    <xf numFmtId="0" fontId="3" fillId="0" borderId="0" xfId="0" applyFont="1" applyAlignment="1">
      <alignment horizontal="right" vertical="center"/>
    </xf>
    <xf numFmtId="0" fontId="4" fillId="0" borderId="0" xfId="0" applyFont="1" applyAlignment="1">
      <alignment horizontal="left" vertical="center" wrapText="1"/>
    </xf>
    <xf numFmtId="0" fontId="6" fillId="0" borderId="0" xfId="0" applyFont="1" applyAlignment="1">
      <alignment horizontal="left" vertical="center" wrapText="1"/>
    </xf>
    <xf numFmtId="4" fontId="6" fillId="0" borderId="0" xfId="0" applyNumberFormat="1" applyFont="1" applyAlignment="1">
      <alignment horizontal="right" vertical="center"/>
    </xf>
    <xf numFmtId="0" fontId="6" fillId="0" borderId="0" xfId="0" applyFont="1" applyAlignment="1">
      <alignment horizontal="right" vertical="center"/>
    </xf>
    <xf numFmtId="0" fontId="7" fillId="0" borderId="0" xfId="0" applyFont="1" applyAlignment="1">
      <alignment horizontal="left" vertical="center" wrapText="1"/>
    </xf>
    <xf numFmtId="0" fontId="11" fillId="2" borderId="51" xfId="0" applyFont="1" applyFill="1" applyBorder="1" applyAlignment="1">
      <alignment horizontal="center" vertical="center"/>
    </xf>
    <xf numFmtId="0" fontId="11" fillId="2" borderId="54" xfId="0" applyFont="1" applyFill="1" applyBorder="1" applyAlignment="1">
      <alignment horizontal="center" vertical="center"/>
    </xf>
    <xf numFmtId="0" fontId="13" fillId="0" borderId="55" xfId="0" applyFont="1" applyBorder="1" applyAlignment="1">
      <alignment horizontal="left" vertical="center"/>
    </xf>
    <xf numFmtId="0" fontId="14" fillId="0" borderId="56" xfId="0" applyFont="1" applyBorder="1" applyAlignment="1">
      <alignment horizontal="left" vertical="center"/>
    </xf>
    <xf numFmtId="4" fontId="14" fillId="0" borderId="56" xfId="0" applyNumberFormat="1" applyFont="1" applyBorder="1" applyAlignment="1">
      <alignment horizontal="right" vertical="center"/>
    </xf>
    <xf numFmtId="0" fontId="14" fillId="0" borderId="56" xfId="0" applyFont="1" applyBorder="1" applyAlignment="1">
      <alignment horizontal="right" vertical="center"/>
    </xf>
    <xf numFmtId="0" fontId="13" fillId="0" borderId="59" xfId="0" applyFont="1" applyBorder="1" applyAlignment="1">
      <alignment horizontal="left" vertical="center"/>
    </xf>
    <xf numFmtId="4" fontId="14" fillId="0" borderId="63" xfId="0" applyNumberFormat="1" applyFont="1" applyBorder="1" applyAlignment="1">
      <alignment horizontal="right" vertical="center"/>
    </xf>
    <xf numFmtId="0" fontId="14" fillId="0" borderId="63" xfId="0" applyFont="1" applyBorder="1" applyAlignment="1">
      <alignment horizontal="right" vertical="center"/>
    </xf>
    <xf numFmtId="4" fontId="14" fillId="0" borderId="54" xfId="0" applyNumberFormat="1" applyFont="1" applyBorder="1" applyAlignment="1">
      <alignment horizontal="right" vertical="center"/>
    </xf>
    <xf numFmtId="4" fontId="13" fillId="2" borderId="53" xfId="0" applyNumberFormat="1" applyFont="1" applyFill="1" applyBorder="1" applyAlignment="1">
      <alignment horizontal="right" vertical="center"/>
    </xf>
    <xf numFmtId="4" fontId="13" fillId="2" borderId="58" xfId="0" applyNumberFormat="1" applyFont="1" applyFill="1" applyBorder="1" applyAlignment="1">
      <alignment horizontal="right" vertical="center"/>
    </xf>
    <xf numFmtId="0" fontId="9" fillId="0" borderId="29" xfId="0" applyFont="1" applyBorder="1" applyAlignment="1">
      <alignment horizontal="left" vertical="center"/>
    </xf>
    <xf numFmtId="0" fontId="2" fillId="0" borderId="79" xfId="0" applyFont="1" applyBorder="1" applyAlignment="1">
      <alignment horizontal="right" vertical="center"/>
    </xf>
    <xf numFmtId="4" fontId="3" fillId="0" borderId="56" xfId="0" applyNumberFormat="1" applyFont="1" applyBorder="1" applyAlignment="1">
      <alignment horizontal="right" vertical="center"/>
    </xf>
    <xf numFmtId="0" fontId="3" fillId="0" borderId="56" xfId="0" applyFont="1" applyBorder="1" applyAlignment="1">
      <alignment horizontal="left" vertical="center"/>
    </xf>
    <xf numFmtId="4" fontId="3" fillId="0" borderId="83" xfId="0" applyNumberFormat="1" applyFont="1" applyBorder="1" applyAlignment="1">
      <alignment horizontal="right" vertical="center"/>
    </xf>
    <xf numFmtId="0" fontId="3" fillId="0" borderId="83" xfId="0" applyFont="1" applyBorder="1" applyAlignment="1">
      <alignment horizontal="left" vertical="center"/>
    </xf>
    <xf numFmtId="0" fontId="2" fillId="0" borderId="87" xfId="0" applyFont="1" applyBorder="1" applyAlignment="1">
      <alignment horizontal="left" vertical="center"/>
    </xf>
    <xf numFmtId="0" fontId="2" fillId="0" borderId="87" xfId="0" applyFont="1" applyBorder="1" applyAlignment="1">
      <alignment horizontal="right" vertical="center"/>
    </xf>
    <xf numFmtId="4" fontId="2" fillId="0" borderId="87" xfId="0" applyNumberFormat="1" applyFont="1" applyBorder="1" applyAlignment="1">
      <alignment horizontal="right" vertical="center"/>
    </xf>
    <xf numFmtId="0" fontId="1" fillId="0" borderId="1"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0" xfId="0" applyFont="1" applyAlignment="1">
      <alignment horizontal="left" vertical="center"/>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0" borderId="0" xfId="0" applyFont="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0" fontId="1" fillId="0" borderId="1" xfId="0" applyFont="1" applyBorder="1" applyAlignment="1">
      <alignment horizontal="center" vertical="center" wrapText="1"/>
    </xf>
    <xf numFmtId="0" fontId="3" fillId="0" borderId="46" xfId="0" applyFont="1" applyBorder="1" applyAlignment="1">
      <alignment horizontal="left" vertical="center"/>
    </xf>
    <xf numFmtId="0" fontId="3" fillId="0" borderId="47" xfId="0" applyFont="1" applyBorder="1" applyAlignment="1">
      <alignment horizontal="left" vertical="center"/>
    </xf>
    <xf numFmtId="1" fontId="3" fillId="0" borderId="6" xfId="0" applyNumberFormat="1" applyFont="1" applyBorder="1" applyAlignment="1">
      <alignment horizontal="left" vertical="center"/>
    </xf>
    <xf numFmtId="0" fontId="3" fillId="0" borderId="6" xfId="0" applyFont="1" applyBorder="1" applyAlignment="1">
      <alignment horizontal="left" vertical="center" wrapText="1"/>
    </xf>
    <xf numFmtId="0" fontId="3" fillId="0" borderId="48" xfId="0" applyFont="1" applyBorder="1" applyAlignment="1">
      <alignment horizontal="left" vertical="center"/>
    </xf>
    <xf numFmtId="0" fontId="10" fillId="0" borderId="50" xfId="0" applyFont="1" applyBorder="1" applyAlignment="1">
      <alignment horizontal="center" vertical="center"/>
    </xf>
    <xf numFmtId="0" fontId="12" fillId="0" borderId="52" xfId="0" applyFont="1" applyBorder="1" applyAlignment="1">
      <alignment horizontal="left" vertical="center"/>
    </xf>
    <xf numFmtId="0" fontId="12" fillId="0" borderId="53" xfId="0" applyFont="1" applyBorder="1" applyAlignment="1">
      <alignment horizontal="left" vertical="center"/>
    </xf>
    <xf numFmtId="0" fontId="13" fillId="0" borderId="60" xfId="0" applyFont="1" applyBorder="1" applyAlignment="1">
      <alignment horizontal="left" vertical="center"/>
    </xf>
    <xf numFmtId="0" fontId="13" fillId="0" borderId="58" xfId="0" applyFont="1" applyBorder="1" applyAlignment="1">
      <alignment horizontal="left" vertical="center"/>
    </xf>
    <xf numFmtId="0" fontId="13" fillId="0" borderId="61" xfId="0" applyFont="1" applyBorder="1" applyAlignment="1">
      <alignment horizontal="left" vertical="center"/>
    </xf>
    <xf numFmtId="0" fontId="13" fillId="0" borderId="62" xfId="0" applyFont="1" applyBorder="1" applyAlignment="1">
      <alignment horizontal="left" vertical="center"/>
    </xf>
    <xf numFmtId="0" fontId="13" fillId="0" borderId="65" xfId="0" applyFont="1" applyBorder="1" applyAlignment="1">
      <alignment horizontal="left" vertical="center"/>
    </xf>
    <xf numFmtId="0" fontId="13" fillId="0" borderId="53" xfId="0" applyFont="1" applyBorder="1" applyAlignment="1">
      <alignment horizontal="left" vertical="center"/>
    </xf>
    <xf numFmtId="0" fontId="14" fillId="0" borderId="57" xfId="0" applyFont="1" applyBorder="1" applyAlignment="1">
      <alignment horizontal="left" vertical="center"/>
    </xf>
    <xf numFmtId="0" fontId="14" fillId="0" borderId="58" xfId="0" applyFont="1" applyBorder="1" applyAlignment="1">
      <alignment horizontal="left" vertical="center"/>
    </xf>
    <xf numFmtId="0" fontId="14" fillId="0" borderId="64" xfId="0" applyFont="1" applyBorder="1" applyAlignment="1">
      <alignment horizontal="left" vertical="center"/>
    </xf>
    <xf numFmtId="0" fontId="14" fillId="0" borderId="62" xfId="0" applyFont="1" applyBorder="1" applyAlignment="1">
      <alignment horizontal="left" vertical="center"/>
    </xf>
    <xf numFmtId="0" fontId="13" fillId="0" borderId="52" xfId="0" applyFont="1" applyBorder="1" applyAlignment="1">
      <alignment horizontal="left" vertical="center"/>
    </xf>
    <xf numFmtId="0" fontId="13" fillId="0" borderId="57" xfId="0" applyFont="1" applyBorder="1" applyAlignment="1">
      <alignment horizontal="left" vertical="center"/>
    </xf>
    <xf numFmtId="0" fontId="13" fillId="2" borderId="65" xfId="0" applyFont="1" applyFill="1" applyBorder="1" applyAlignment="1">
      <alignment horizontal="left" vertical="center"/>
    </xf>
    <xf numFmtId="0" fontId="13" fillId="2" borderId="66" xfId="0" applyFont="1" applyFill="1" applyBorder="1" applyAlignment="1">
      <alignment horizontal="left" vertical="center"/>
    </xf>
    <xf numFmtId="0" fontId="13" fillId="2" borderId="60" xfId="0" applyFont="1" applyFill="1" applyBorder="1" applyAlignment="1">
      <alignment horizontal="left" vertical="center"/>
    </xf>
    <xf numFmtId="0" fontId="13" fillId="2" borderId="67" xfId="0" applyFont="1" applyFill="1" applyBorder="1" applyAlignment="1">
      <alignment horizontal="left" vertical="center"/>
    </xf>
    <xf numFmtId="0" fontId="13" fillId="2" borderId="52" xfId="0" applyFont="1" applyFill="1" applyBorder="1" applyAlignment="1">
      <alignment horizontal="left" vertical="center"/>
    </xf>
    <xf numFmtId="0" fontId="13" fillId="2" borderId="57" xfId="0" applyFont="1" applyFill="1" applyBorder="1" applyAlignment="1">
      <alignment horizontal="left" vertical="center"/>
    </xf>
    <xf numFmtId="0" fontId="14" fillId="0" borderId="68" xfId="0" applyFont="1" applyBorder="1" applyAlignment="1">
      <alignment horizontal="left" vertical="center"/>
    </xf>
    <xf numFmtId="0" fontId="14" fillId="0" borderId="69" xfId="0" applyFont="1" applyBorder="1" applyAlignment="1">
      <alignment horizontal="left" vertical="center"/>
    </xf>
    <xf numFmtId="0" fontId="14" fillId="0" borderId="70" xfId="0" applyFont="1" applyBorder="1" applyAlignment="1">
      <alignment horizontal="left" vertical="center"/>
    </xf>
    <xf numFmtId="0" fontId="14" fillId="0" borderId="72" xfId="0" applyFont="1" applyBorder="1" applyAlignment="1">
      <alignment horizontal="left" vertical="center"/>
    </xf>
    <xf numFmtId="0" fontId="14" fillId="0" borderId="0" xfId="0" applyFont="1" applyAlignment="1">
      <alignment horizontal="left" vertical="center"/>
    </xf>
    <xf numFmtId="0" fontId="14" fillId="0" borderId="73" xfId="0" applyFont="1" applyBorder="1" applyAlignment="1">
      <alignment horizontal="left" vertical="center"/>
    </xf>
    <xf numFmtId="0" fontId="14" fillId="0" borderId="75" xfId="0" applyFont="1" applyBorder="1" applyAlignment="1">
      <alignment horizontal="left" vertical="center"/>
    </xf>
    <xf numFmtId="0" fontId="14" fillId="0" borderId="76" xfId="0" applyFont="1" applyBorder="1" applyAlignment="1">
      <alignment horizontal="left" vertical="center"/>
    </xf>
    <xf numFmtId="0" fontId="14" fillId="0" borderId="77" xfId="0" applyFont="1" applyBorder="1" applyAlignment="1">
      <alignment horizontal="left" vertical="center"/>
    </xf>
    <xf numFmtId="0" fontId="14" fillId="0" borderId="71" xfId="0" applyFont="1" applyBorder="1" applyAlignment="1">
      <alignment horizontal="left" vertical="center"/>
    </xf>
    <xf numFmtId="0" fontId="14" fillId="0" borderId="74" xfId="0" applyFont="1" applyBorder="1" applyAlignment="1">
      <alignment horizontal="left" vertical="center"/>
    </xf>
    <xf numFmtId="0" fontId="14" fillId="0" borderId="78" xfId="0" applyFont="1" applyBorder="1" applyAlignment="1">
      <alignment horizontal="left" vertical="center"/>
    </xf>
    <xf numFmtId="0" fontId="13"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3" fillId="0" borderId="60" xfId="0" applyFont="1" applyBorder="1" applyAlignment="1">
      <alignment horizontal="left" vertical="center"/>
    </xf>
    <xf numFmtId="0" fontId="3" fillId="0" borderId="67" xfId="0" applyFont="1" applyBorder="1" applyAlignment="1">
      <alignment horizontal="left" vertical="center"/>
    </xf>
    <xf numFmtId="0" fontId="3" fillId="0" borderId="58" xfId="0" applyFont="1" applyBorder="1" applyAlignment="1">
      <alignment horizontal="left" vertical="center"/>
    </xf>
    <xf numFmtId="0" fontId="3" fillId="0" borderId="80" xfId="0" applyFont="1" applyBorder="1" applyAlignment="1">
      <alignment horizontal="left" vertical="center"/>
    </xf>
    <xf numFmtId="0" fontId="3" fillId="0" borderId="81" xfId="0" applyFont="1" applyBorder="1" applyAlignment="1">
      <alignment horizontal="left" vertical="center"/>
    </xf>
    <xf numFmtId="0" fontId="3" fillId="0" borderId="82" xfId="0" applyFont="1" applyBorder="1" applyAlignment="1">
      <alignment horizontal="left" vertical="center"/>
    </xf>
    <xf numFmtId="0" fontId="2" fillId="0" borderId="84" xfId="0" applyFont="1" applyBorder="1" applyAlignment="1">
      <alignment horizontal="left" vertical="center"/>
    </xf>
    <xf numFmtId="0" fontId="2" fillId="0" borderId="85" xfId="0" applyFont="1" applyBorder="1" applyAlignment="1">
      <alignment horizontal="left" vertical="center"/>
    </xf>
    <xf numFmtId="0" fontId="2" fillId="0" borderId="86" xfId="0" applyFont="1" applyBorder="1" applyAlignment="1">
      <alignment horizontal="left" vertical="center"/>
    </xf>
    <xf numFmtId="0" fontId="13" fillId="0" borderId="84" xfId="0" applyFont="1" applyBorder="1" applyAlignment="1">
      <alignment horizontal="left" vertical="center"/>
    </xf>
    <xf numFmtId="0" fontId="13" fillId="0" borderId="85" xfId="0" applyFont="1" applyBorder="1" applyAlignment="1">
      <alignment horizontal="left" vertical="center"/>
    </xf>
    <xf numFmtId="0" fontId="13" fillId="0" borderId="86" xfId="0" applyFont="1" applyBorder="1" applyAlignment="1">
      <alignment horizontal="left" vertical="center"/>
    </xf>
    <xf numFmtId="4" fontId="13" fillId="0" borderId="88" xfId="0" applyNumberFormat="1" applyFont="1" applyBorder="1" applyAlignment="1">
      <alignment horizontal="right" vertical="center"/>
    </xf>
    <xf numFmtId="0" fontId="13" fillId="0" borderId="85" xfId="0" applyFont="1" applyBorder="1" applyAlignment="1">
      <alignment horizontal="right" vertical="center"/>
    </xf>
    <xf numFmtId="0" fontId="13" fillId="0" borderId="86" xfId="0" applyFont="1" applyBorder="1" applyAlignment="1">
      <alignment horizontal="right" vertical="center"/>
    </xf>
    <xf numFmtId="0" fontId="1" fillId="0" borderId="1" xfId="0"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xf>
    <xf numFmtId="0" fontId="2" fillId="0" borderId="3" xfId="0" applyFont="1" applyFill="1" applyBorder="1" applyAlignment="1">
      <alignment horizontal="left" vertical="center" wrapText="1"/>
    </xf>
    <xf numFmtId="0" fontId="2" fillId="0" borderId="3" xfId="0" applyFont="1" applyFill="1" applyBorder="1" applyAlignment="1">
      <alignment horizontal="left" vertical="center"/>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0" xfId="0" applyFont="1" applyFill="1" applyAlignment="1">
      <alignment horizontal="left" vertical="center"/>
    </xf>
    <xf numFmtId="0" fontId="2" fillId="0" borderId="0" xfId="0" applyFont="1" applyFill="1" applyAlignment="1">
      <alignment horizontal="left" vertical="center"/>
    </xf>
    <xf numFmtId="0" fontId="3" fillId="0" borderId="6" xfId="0" applyFont="1" applyFill="1" applyBorder="1" applyAlignment="1">
      <alignment horizontal="left" vertical="center"/>
    </xf>
    <xf numFmtId="0" fontId="3" fillId="0" borderId="5"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7" xfId="0" applyFont="1" applyFill="1" applyBorder="1" applyAlignment="1">
      <alignment horizontal="left" vertical="center"/>
    </xf>
    <xf numFmtId="0" fontId="3" fillId="0" borderId="8" xfId="0" applyFont="1" applyFill="1" applyBorder="1" applyAlignment="1">
      <alignment horizontal="left" vertical="center"/>
    </xf>
    <xf numFmtId="0" fontId="3"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3" xfId="0" applyFont="1" applyFill="1" applyBorder="1" applyAlignment="1">
      <alignment horizontal="left" vertical="center"/>
    </xf>
    <xf numFmtId="0" fontId="2" fillId="0" borderId="11"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3" fillId="0" borderId="19" xfId="0" applyFont="1" applyFill="1" applyBorder="1" applyAlignment="1">
      <alignment horizontal="left" vertical="center"/>
    </xf>
    <xf numFmtId="0" fontId="3" fillId="0" borderId="20" xfId="0" applyFont="1" applyFill="1" applyBorder="1" applyAlignment="1">
      <alignment horizontal="left" vertical="center"/>
    </xf>
    <xf numFmtId="0" fontId="2" fillId="0" borderId="21" xfId="0" applyFont="1" applyFill="1" applyBorder="1" applyAlignment="1">
      <alignment horizontal="left" vertical="center"/>
    </xf>
    <xf numFmtId="0" fontId="2" fillId="0" borderId="22" xfId="0" applyFont="1" applyFill="1" applyBorder="1" applyAlignment="1">
      <alignment horizontal="left" vertical="center"/>
    </xf>
    <xf numFmtId="0" fontId="2" fillId="0" borderId="23"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27" xfId="0" applyFont="1" applyFill="1" applyBorder="1" applyAlignment="1">
      <alignment horizontal="center" vertical="center"/>
    </xf>
    <xf numFmtId="0" fontId="3" fillId="0" borderId="28" xfId="0" applyFont="1" applyFill="1" applyBorder="1" applyAlignment="1">
      <alignment horizontal="left" vertical="center"/>
    </xf>
    <xf numFmtId="0" fontId="2" fillId="0" borderId="29" xfId="0" applyFont="1" applyFill="1" applyBorder="1" applyAlignment="1">
      <alignment horizontal="left" vertical="center"/>
    </xf>
    <xf numFmtId="0" fontId="2" fillId="0" borderId="29" xfId="0" applyFont="1" applyFill="1" applyBorder="1" applyAlignment="1">
      <alignment horizontal="left" vertical="center" wrapText="1"/>
    </xf>
    <xf numFmtId="0" fontId="2" fillId="0" borderId="29" xfId="0" applyFont="1" applyFill="1" applyBorder="1" applyAlignment="1">
      <alignment horizontal="left" vertical="center"/>
    </xf>
    <xf numFmtId="0" fontId="3" fillId="0" borderId="29" xfId="0" applyFont="1" applyFill="1" applyBorder="1" applyAlignment="1">
      <alignment horizontal="left" vertical="center"/>
    </xf>
    <xf numFmtId="4" fontId="2" fillId="0" borderId="29" xfId="0" applyNumberFormat="1" applyFont="1" applyFill="1" applyBorder="1" applyAlignment="1">
      <alignment horizontal="right" vertical="center"/>
    </xf>
    <xf numFmtId="0" fontId="2" fillId="0" borderId="30" xfId="0" applyFont="1" applyFill="1" applyBorder="1" applyAlignment="1">
      <alignment horizontal="right" vertical="center"/>
    </xf>
    <xf numFmtId="0" fontId="3" fillId="0" borderId="5" xfId="0" applyFont="1" applyFill="1" applyBorder="1" applyAlignment="1">
      <alignment horizontal="left" vertical="center"/>
    </xf>
    <xf numFmtId="0" fontId="2" fillId="0" borderId="0" xfId="0" applyFont="1" applyFill="1" applyAlignment="1">
      <alignment horizontal="left" vertical="center"/>
    </xf>
    <xf numFmtId="0" fontId="2" fillId="0" borderId="0" xfId="0" applyFont="1" applyFill="1" applyAlignment="1">
      <alignment horizontal="left" vertical="center" wrapText="1"/>
    </xf>
    <xf numFmtId="0" fontId="3" fillId="0" borderId="0" xfId="0" applyFont="1" applyFill="1" applyAlignment="1">
      <alignment horizontal="left" vertical="center"/>
    </xf>
    <xf numFmtId="4" fontId="2" fillId="0" borderId="0" xfId="0" applyNumberFormat="1" applyFont="1" applyFill="1" applyAlignment="1">
      <alignment horizontal="right" vertical="center"/>
    </xf>
    <xf numFmtId="0" fontId="2" fillId="0" borderId="6" xfId="0" applyFont="1" applyFill="1" applyBorder="1" applyAlignment="1">
      <alignment horizontal="right" vertical="center"/>
    </xf>
    <xf numFmtId="4" fontId="3" fillId="0" borderId="0" xfId="0" applyNumberFormat="1" applyFont="1" applyFill="1" applyAlignment="1">
      <alignment horizontal="right" vertical="center"/>
    </xf>
    <xf numFmtId="0" fontId="3" fillId="0" borderId="6" xfId="0" applyFont="1" applyFill="1" applyBorder="1" applyAlignment="1">
      <alignment horizontal="right" vertical="center"/>
    </xf>
    <xf numFmtId="0" fontId="0" fillId="0" borderId="5" xfId="0" applyFill="1" applyBorder="1"/>
    <xf numFmtId="0" fontId="0" fillId="0" borderId="0" xfId="0" applyFill="1"/>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4" fillId="0" borderId="6" xfId="0" applyFont="1" applyFill="1" applyBorder="1" applyAlignment="1">
      <alignment horizontal="left" vertical="center"/>
    </xf>
    <xf numFmtId="0" fontId="5" fillId="0" borderId="0" xfId="0" applyFont="1" applyFill="1" applyAlignment="1">
      <alignment horizontal="left" vertical="center"/>
    </xf>
    <xf numFmtId="0" fontId="4" fillId="0" borderId="0" xfId="0" applyFont="1" applyFill="1" applyAlignment="1">
      <alignment horizontal="left" vertical="center"/>
    </xf>
    <xf numFmtId="4" fontId="5" fillId="0" borderId="0" xfId="0" applyNumberFormat="1" applyFont="1" applyFill="1" applyAlignment="1">
      <alignment horizontal="right" vertical="center"/>
    </xf>
    <xf numFmtId="0" fontId="0" fillId="0" borderId="6" xfId="0" applyFill="1" applyBorder="1"/>
    <xf numFmtId="0" fontId="4" fillId="0" borderId="0" xfId="0" applyFont="1" applyFill="1" applyAlignment="1">
      <alignment horizontal="right" vertical="center"/>
    </xf>
    <xf numFmtId="0" fontId="6" fillId="0" borderId="5"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horizontal="left" vertical="center"/>
    </xf>
    <xf numFmtId="4" fontId="6" fillId="0" borderId="0" xfId="0" applyNumberFormat="1" applyFont="1" applyFill="1" applyAlignment="1">
      <alignment horizontal="right" vertical="center"/>
    </xf>
    <xf numFmtId="0" fontId="6" fillId="0" borderId="6" xfId="0" applyFont="1" applyFill="1" applyBorder="1" applyAlignment="1">
      <alignment horizontal="right" vertical="center"/>
    </xf>
    <xf numFmtId="0" fontId="0" fillId="0" borderId="31" xfId="0" applyFill="1" applyBorder="1"/>
    <xf numFmtId="0" fontId="5" fillId="0" borderId="32" xfId="0" applyFont="1" applyFill="1" applyBorder="1" applyAlignment="1">
      <alignment horizontal="left" vertical="center"/>
    </xf>
    <xf numFmtId="0" fontId="4" fillId="0" borderId="32" xfId="0" applyFont="1" applyFill="1" applyBorder="1" applyAlignment="1">
      <alignment horizontal="left" vertical="center"/>
    </xf>
    <xf numFmtId="4" fontId="5" fillId="0" borderId="32" xfId="0" applyNumberFormat="1" applyFont="1" applyFill="1" applyBorder="1" applyAlignment="1">
      <alignment horizontal="right" vertical="center"/>
    </xf>
    <xf numFmtId="0" fontId="0" fillId="0" borderId="33" xfId="0" applyFill="1" applyBorder="1"/>
    <xf numFmtId="0" fontId="3" fillId="0" borderId="34" xfId="0" applyFont="1" applyFill="1" applyBorder="1" applyAlignment="1">
      <alignment horizontal="left" vertical="center"/>
    </xf>
    <xf numFmtId="0" fontId="3" fillId="0" borderId="35" xfId="0" applyFont="1" applyFill="1" applyBorder="1" applyAlignment="1">
      <alignment horizontal="left" vertical="center"/>
    </xf>
    <xf numFmtId="0" fontId="3" fillId="0" borderId="35" xfId="0" applyFont="1" applyFill="1" applyBorder="1" applyAlignment="1">
      <alignment horizontal="left" vertical="center" wrapText="1"/>
    </xf>
    <xf numFmtId="0" fontId="3" fillId="0" borderId="35" xfId="0" applyFont="1" applyFill="1" applyBorder="1" applyAlignment="1">
      <alignment horizontal="left" vertical="center"/>
    </xf>
    <xf numFmtId="4" fontId="3" fillId="0" borderId="35" xfId="0" applyNumberFormat="1" applyFont="1" applyFill="1" applyBorder="1" applyAlignment="1">
      <alignment horizontal="right" vertical="center"/>
    </xf>
    <xf numFmtId="0" fontId="3" fillId="0" borderId="36" xfId="0" applyFont="1" applyFill="1" applyBorder="1" applyAlignment="1">
      <alignment horizontal="right" vertical="center"/>
    </xf>
    <xf numFmtId="0" fontId="8" fillId="0" borderId="37" xfId="0" applyFont="1" applyFill="1" applyBorder="1"/>
    <xf numFmtId="0" fontId="8" fillId="0" borderId="38" xfId="0" applyFont="1" applyFill="1" applyBorder="1"/>
    <xf numFmtId="0" fontId="5" fillId="0" borderId="38" xfId="0" applyFont="1" applyFill="1" applyBorder="1" applyAlignment="1">
      <alignment horizontal="left" vertical="center"/>
    </xf>
    <xf numFmtId="0" fontId="4" fillId="0" borderId="38" xfId="0" applyFont="1" applyFill="1" applyBorder="1" applyAlignment="1">
      <alignment horizontal="left" vertical="center"/>
    </xf>
    <xf numFmtId="4" fontId="5" fillId="0" borderId="38" xfId="0" applyNumberFormat="1" applyFont="1" applyFill="1" applyBorder="1" applyAlignment="1">
      <alignment horizontal="right" vertical="center"/>
    </xf>
    <xf numFmtId="0" fontId="8" fillId="0" borderId="39" xfId="0" applyFont="1" applyFill="1" applyBorder="1"/>
    <xf numFmtId="0" fontId="0" fillId="0" borderId="40" xfId="0" applyFill="1" applyBorder="1"/>
    <xf numFmtId="0" fontId="4" fillId="0" borderId="41" xfId="0" applyFont="1" applyFill="1" applyBorder="1" applyAlignment="1">
      <alignment horizontal="right" vertical="center"/>
    </xf>
    <xf numFmtId="0" fontId="4" fillId="0" borderId="41" xfId="0" applyFont="1" applyFill="1" applyBorder="1" applyAlignment="1">
      <alignment horizontal="left" vertical="center" wrapText="1"/>
    </xf>
    <xf numFmtId="0" fontId="4" fillId="0" borderId="41" xfId="0" applyFont="1" applyFill="1" applyBorder="1" applyAlignment="1">
      <alignment horizontal="left" vertical="center"/>
    </xf>
    <xf numFmtId="0" fontId="4" fillId="0" borderId="42" xfId="0" applyFont="1" applyFill="1" applyBorder="1" applyAlignment="1">
      <alignment horizontal="left" vertical="center"/>
    </xf>
    <xf numFmtId="0" fontId="0" fillId="0" borderId="43" xfId="0" applyFill="1" applyBorder="1"/>
    <xf numFmtId="0" fontId="4" fillId="0" borderId="44" xfId="0" applyFont="1" applyFill="1" applyBorder="1" applyAlignment="1">
      <alignment horizontal="right" vertical="center"/>
    </xf>
    <xf numFmtId="0" fontId="4" fillId="0" borderId="44" xfId="0" applyFont="1" applyFill="1" applyBorder="1" applyAlignment="1">
      <alignment horizontal="left" vertical="center" wrapText="1"/>
    </xf>
    <xf numFmtId="0" fontId="4" fillId="0" borderId="44" xfId="0" applyFont="1" applyFill="1" applyBorder="1" applyAlignment="1">
      <alignment horizontal="left" vertical="center"/>
    </xf>
    <xf numFmtId="0" fontId="4" fillId="0" borderId="45" xfId="0" applyFont="1" applyFill="1" applyBorder="1" applyAlignment="1">
      <alignment horizontal="left" vertical="center"/>
    </xf>
    <xf numFmtId="0" fontId="4" fillId="0" borderId="32" xfId="0" applyFont="1" applyFill="1" applyBorder="1" applyAlignment="1">
      <alignment horizontal="right" vertical="center"/>
    </xf>
    <xf numFmtId="0" fontId="4" fillId="0" borderId="32" xfId="0" applyFont="1" applyFill="1" applyBorder="1" applyAlignment="1">
      <alignment horizontal="left" vertical="center" wrapText="1"/>
    </xf>
    <xf numFmtId="0" fontId="4" fillId="0" borderId="32" xfId="0" applyFont="1" applyFill="1" applyBorder="1" applyAlignment="1">
      <alignment horizontal="left" vertical="center"/>
    </xf>
    <xf numFmtId="0" fontId="4" fillId="0" borderId="33" xfId="0" applyFont="1" applyFill="1" applyBorder="1" applyAlignment="1">
      <alignment horizontal="left" vertical="center"/>
    </xf>
    <xf numFmtId="0" fontId="8" fillId="0" borderId="34" xfId="0" applyFont="1" applyFill="1" applyBorder="1"/>
    <xf numFmtId="0" fontId="8" fillId="0" borderId="35" xfId="0" applyFont="1" applyFill="1" applyBorder="1"/>
    <xf numFmtId="0" fontId="5" fillId="0" borderId="35" xfId="0" applyFont="1" applyFill="1" applyBorder="1" applyAlignment="1">
      <alignment horizontal="left" vertical="center"/>
    </xf>
    <xf numFmtId="0" fontId="4" fillId="0" borderId="35" xfId="0" applyFont="1" applyFill="1" applyBorder="1" applyAlignment="1">
      <alignment horizontal="left" vertical="center"/>
    </xf>
    <xf numFmtId="4" fontId="5" fillId="0" borderId="35" xfId="0" applyNumberFormat="1" applyFont="1" applyFill="1" applyBorder="1" applyAlignment="1">
      <alignment horizontal="right" vertical="center"/>
    </xf>
    <xf numFmtId="0" fontId="8" fillId="0" borderId="36" xfId="0" applyFont="1" applyFill="1" applyBorder="1"/>
    <xf numFmtId="0" fontId="6" fillId="0" borderId="37" xfId="0" applyFont="1" applyFill="1" applyBorder="1" applyAlignment="1">
      <alignment horizontal="left" vertical="center"/>
    </xf>
    <xf numFmtId="0" fontId="6" fillId="0" borderId="38" xfId="0" applyFont="1" applyFill="1" applyBorder="1" applyAlignment="1">
      <alignment horizontal="left" vertical="center"/>
    </xf>
    <xf numFmtId="0" fontId="6" fillId="0" borderId="38" xfId="0" applyFont="1" applyFill="1" applyBorder="1" applyAlignment="1">
      <alignment horizontal="left" vertical="center" wrapText="1"/>
    </xf>
    <xf numFmtId="0" fontId="6" fillId="0" borderId="38" xfId="0" applyFont="1" applyFill="1" applyBorder="1" applyAlignment="1">
      <alignment horizontal="left" vertical="center"/>
    </xf>
    <xf numFmtId="4" fontId="6" fillId="0" borderId="38" xfId="0" applyNumberFormat="1" applyFont="1" applyFill="1" applyBorder="1" applyAlignment="1">
      <alignment horizontal="right" vertical="center"/>
    </xf>
    <xf numFmtId="0" fontId="6" fillId="0" borderId="39" xfId="0" applyFont="1" applyFill="1" applyBorder="1" applyAlignment="1">
      <alignment horizontal="right" vertical="center"/>
    </xf>
    <xf numFmtId="0" fontId="3" fillId="0" borderId="37" xfId="0" applyFont="1" applyFill="1" applyBorder="1" applyAlignment="1">
      <alignment horizontal="left" vertical="center"/>
    </xf>
    <xf numFmtId="0" fontId="3" fillId="0" borderId="38" xfId="0" applyFont="1" applyFill="1" applyBorder="1" applyAlignment="1">
      <alignment horizontal="left" vertical="center"/>
    </xf>
    <xf numFmtId="0" fontId="3" fillId="0" borderId="38" xfId="0" applyFont="1" applyFill="1" applyBorder="1" applyAlignment="1">
      <alignment horizontal="left" vertical="center" wrapText="1"/>
    </xf>
    <xf numFmtId="0" fontId="3" fillId="0" borderId="38" xfId="0" applyFont="1" applyFill="1" applyBorder="1" applyAlignment="1">
      <alignment horizontal="left" vertical="center"/>
    </xf>
    <xf numFmtId="4" fontId="3" fillId="0" borderId="38" xfId="0" applyNumberFormat="1" applyFont="1" applyFill="1" applyBorder="1" applyAlignment="1">
      <alignment horizontal="right" vertical="center"/>
    </xf>
    <xf numFmtId="0" fontId="3" fillId="0" borderId="39" xfId="0" applyFont="1" applyFill="1" applyBorder="1" applyAlignment="1">
      <alignment horizontal="right" vertical="center"/>
    </xf>
    <xf numFmtId="0" fontId="3" fillId="0" borderId="43" xfId="0" applyFont="1" applyFill="1" applyBorder="1" applyAlignment="1">
      <alignment horizontal="left" vertical="center"/>
    </xf>
    <xf numFmtId="0" fontId="3" fillId="0" borderId="44" xfId="0" applyFont="1" applyFill="1" applyBorder="1" applyAlignment="1">
      <alignment horizontal="left" vertical="center"/>
    </xf>
    <xf numFmtId="0" fontId="3" fillId="0" borderId="44" xfId="0" applyFont="1" applyFill="1" applyBorder="1" applyAlignment="1">
      <alignment horizontal="left" vertical="center" wrapText="1"/>
    </xf>
    <xf numFmtId="0" fontId="3" fillId="0" borderId="44" xfId="0" applyFont="1" applyFill="1" applyBorder="1" applyAlignment="1">
      <alignment horizontal="left" vertical="center"/>
    </xf>
    <xf numFmtId="4" fontId="3" fillId="0" borderId="44" xfId="0" applyNumberFormat="1" applyFont="1" applyFill="1" applyBorder="1" applyAlignment="1">
      <alignment horizontal="right" vertical="center"/>
    </xf>
    <xf numFmtId="0" fontId="3" fillId="0" borderId="45" xfId="0" applyFont="1" applyFill="1" applyBorder="1" applyAlignment="1">
      <alignment horizontal="right" vertical="center"/>
    </xf>
    <xf numFmtId="0" fontId="3" fillId="0" borderId="31" xfId="0" applyFont="1" applyFill="1" applyBorder="1" applyAlignment="1">
      <alignment horizontal="left" vertical="center"/>
    </xf>
    <xf numFmtId="0" fontId="2" fillId="0" borderId="32" xfId="0" applyFont="1" applyFill="1" applyBorder="1" applyAlignment="1">
      <alignment horizontal="left" vertical="center"/>
    </xf>
    <xf numFmtId="0" fontId="2" fillId="0" borderId="32" xfId="0" applyFont="1" applyFill="1" applyBorder="1" applyAlignment="1">
      <alignment horizontal="left" vertical="center" wrapText="1"/>
    </xf>
    <xf numFmtId="0" fontId="2" fillId="0" borderId="32" xfId="0" applyFont="1" applyFill="1" applyBorder="1" applyAlignment="1">
      <alignment horizontal="left" vertical="center"/>
    </xf>
    <xf numFmtId="0" fontId="3" fillId="0" borderId="32" xfId="0" applyFont="1" applyFill="1" applyBorder="1" applyAlignment="1">
      <alignment horizontal="left" vertical="center"/>
    </xf>
    <xf numFmtId="4" fontId="2" fillId="0" borderId="32" xfId="0" applyNumberFormat="1" applyFont="1" applyFill="1" applyBorder="1" applyAlignment="1">
      <alignment horizontal="right" vertical="center"/>
    </xf>
    <xf numFmtId="0" fontId="2" fillId="0" borderId="33" xfId="0" applyFont="1" applyFill="1" applyBorder="1" applyAlignment="1">
      <alignment horizontal="right" vertical="center"/>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xf>
    <xf numFmtId="0" fontId="6" fillId="0" borderId="35" xfId="0" applyFont="1" applyFill="1" applyBorder="1" applyAlignment="1">
      <alignment horizontal="left" vertical="center" wrapText="1"/>
    </xf>
    <xf numFmtId="0" fontId="6" fillId="0" borderId="35" xfId="0" applyFont="1" applyFill="1" applyBorder="1" applyAlignment="1">
      <alignment horizontal="left" vertical="center"/>
    </xf>
    <xf numFmtId="4" fontId="6" fillId="0" borderId="35" xfId="0" applyNumberFormat="1" applyFont="1" applyFill="1" applyBorder="1" applyAlignment="1">
      <alignment horizontal="right" vertical="center"/>
    </xf>
    <xf numFmtId="0" fontId="6" fillId="0" borderId="36" xfId="0" applyFont="1" applyFill="1" applyBorder="1" applyAlignment="1">
      <alignment horizontal="right" vertical="center"/>
    </xf>
    <xf numFmtId="0" fontId="2" fillId="0" borderId="44" xfId="0" applyFont="1" applyFill="1" applyBorder="1" applyAlignment="1">
      <alignment horizontal="left" vertical="center"/>
    </xf>
    <xf numFmtId="0" fontId="2" fillId="0" borderId="44" xfId="0" applyFont="1" applyFill="1" applyBorder="1" applyAlignment="1">
      <alignment horizontal="left" vertical="center" wrapText="1"/>
    </xf>
    <xf numFmtId="0" fontId="2" fillId="0" borderId="44" xfId="0" applyFont="1" applyFill="1" applyBorder="1" applyAlignment="1">
      <alignment horizontal="left" vertical="center"/>
    </xf>
    <xf numFmtId="4" fontId="2" fillId="0" borderId="44" xfId="0" applyNumberFormat="1" applyFont="1" applyFill="1" applyBorder="1" applyAlignment="1">
      <alignment horizontal="right" vertical="center"/>
    </xf>
    <xf numFmtId="0" fontId="2" fillId="0" borderId="45" xfId="0" applyFont="1" applyFill="1" applyBorder="1" applyAlignment="1">
      <alignment horizontal="right" vertical="center"/>
    </xf>
    <xf numFmtId="0" fontId="6" fillId="0" borderId="46" xfId="0" applyFont="1" applyFill="1" applyBorder="1" applyAlignment="1">
      <alignment horizontal="left" vertical="center"/>
    </xf>
    <xf numFmtId="0" fontId="6" fillId="0" borderId="47" xfId="0" applyFont="1" applyFill="1" applyBorder="1" applyAlignment="1">
      <alignment horizontal="left" vertical="center"/>
    </xf>
    <xf numFmtId="0" fontId="6" fillId="0" borderId="47" xfId="0" applyFont="1" applyFill="1" applyBorder="1" applyAlignment="1">
      <alignment horizontal="left" vertical="center" wrapText="1"/>
    </xf>
    <xf numFmtId="0" fontId="6" fillId="0" borderId="47" xfId="0" applyFont="1" applyFill="1" applyBorder="1" applyAlignment="1">
      <alignment horizontal="left" vertical="center"/>
    </xf>
    <xf numFmtId="4" fontId="6" fillId="0" borderId="47" xfId="0" applyNumberFormat="1" applyFont="1" applyFill="1" applyBorder="1" applyAlignment="1">
      <alignment horizontal="right" vertical="center"/>
    </xf>
    <xf numFmtId="0" fontId="6" fillId="0" borderId="48" xfId="0" applyFont="1" applyFill="1" applyBorder="1" applyAlignment="1">
      <alignment horizontal="right" vertical="center"/>
    </xf>
    <xf numFmtId="0" fontId="2" fillId="0" borderId="49" xfId="0" applyFont="1" applyFill="1" applyBorder="1" applyAlignment="1">
      <alignment horizontal="left" vertical="center"/>
    </xf>
    <xf numFmtId="4" fontId="2" fillId="0" borderId="49" xfId="0" applyNumberFormat="1" applyFont="1" applyFill="1" applyBorder="1" applyAlignment="1">
      <alignment horizontal="right" vertical="center"/>
    </xf>
    <xf numFmtId="0" fontId="9" fillId="0" borderId="0" xfId="0" applyFont="1" applyFill="1" applyAlignment="1">
      <alignment horizontal="lef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7"/>
  <sheetViews>
    <sheetView tabSelected="1" workbookViewId="0">
      <selection activeCell="N18" sqref="N18"/>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46" t="s">
        <v>1159</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c r="D8" s="37"/>
      <c r="E8" s="40" t="s">
        <v>15</v>
      </c>
      <c r="F8" s="40"/>
      <c r="G8" s="37"/>
      <c r="H8" s="37" t="s">
        <v>1163</v>
      </c>
      <c r="I8" s="49">
        <v>217</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row>
    <row r="11" spans="1:9" x14ac:dyDescent="0.25">
      <c r="A11" s="47"/>
      <c r="B11" s="48"/>
      <c r="C11" s="48"/>
      <c r="D11" s="48"/>
      <c r="E11" s="48"/>
      <c r="F11" s="48"/>
      <c r="G11" s="48"/>
      <c r="H11" s="48"/>
      <c r="I11" s="51"/>
    </row>
    <row r="12" spans="1:9" ht="23.25" x14ac:dyDescent="0.25">
      <c r="A12" s="52" t="s">
        <v>1165</v>
      </c>
      <c r="B12" s="52"/>
      <c r="C12" s="52"/>
      <c r="D12" s="52"/>
      <c r="E12" s="52"/>
      <c r="F12" s="52"/>
      <c r="G12" s="52"/>
      <c r="H12" s="52"/>
      <c r="I12" s="52"/>
    </row>
    <row r="13" spans="1:9" ht="26.25" customHeight="1" x14ac:dyDescent="0.25">
      <c r="A13" s="12" t="s">
        <v>1166</v>
      </c>
      <c r="B13" s="53" t="s">
        <v>1167</v>
      </c>
      <c r="C13" s="54"/>
      <c r="D13" s="13" t="s">
        <v>1168</v>
      </c>
      <c r="E13" s="53" t="s">
        <v>1169</v>
      </c>
      <c r="F13" s="54"/>
      <c r="G13" s="13" t="s">
        <v>1170</v>
      </c>
      <c r="H13" s="53" t="s">
        <v>1171</v>
      </c>
      <c r="I13" s="54"/>
    </row>
    <row r="14" spans="1:9" ht="15.75" x14ac:dyDescent="0.25">
      <c r="A14" s="14" t="s">
        <v>1172</v>
      </c>
      <c r="B14" s="15" t="s">
        <v>1173</v>
      </c>
      <c r="C14" s="16">
        <f>SUM('Stavební rozpočet'!AB12:AB744)</f>
        <v>0</v>
      </c>
      <c r="D14" s="61" t="s">
        <v>1174</v>
      </c>
      <c r="E14" s="62"/>
      <c r="F14" s="16">
        <f>VORN!I15</f>
        <v>0</v>
      </c>
      <c r="G14" s="61" t="s">
        <v>1175</v>
      </c>
      <c r="H14" s="62"/>
      <c r="I14" s="17">
        <f>VORN!I21</f>
        <v>0</v>
      </c>
    </row>
    <row r="15" spans="1:9" ht="15.75" x14ac:dyDescent="0.25">
      <c r="A15" s="18" t="s">
        <v>52</v>
      </c>
      <c r="B15" s="15" t="s">
        <v>37</v>
      </c>
      <c r="C15" s="16">
        <f>SUM('Stavební rozpočet'!AC12:AC744)</f>
        <v>0</v>
      </c>
      <c r="D15" s="61" t="s">
        <v>1176</v>
      </c>
      <c r="E15" s="62"/>
      <c r="F15" s="16">
        <f>VORN!I16</f>
        <v>0</v>
      </c>
      <c r="G15" s="61" t="s">
        <v>1177</v>
      </c>
      <c r="H15" s="62"/>
      <c r="I15" s="17">
        <f>VORN!I22</f>
        <v>0</v>
      </c>
    </row>
    <row r="16" spans="1:9" ht="15.75" x14ac:dyDescent="0.25">
      <c r="A16" s="14" t="s">
        <v>1178</v>
      </c>
      <c r="B16" s="15" t="s">
        <v>1173</v>
      </c>
      <c r="C16" s="16">
        <f>SUM('Stavební rozpočet'!AD12:AD744)</f>
        <v>0</v>
      </c>
      <c r="D16" s="61" t="s">
        <v>1179</v>
      </c>
      <c r="E16" s="62"/>
      <c r="F16" s="16">
        <f>VORN!I17</f>
        <v>0</v>
      </c>
      <c r="G16" s="61" t="s">
        <v>1180</v>
      </c>
      <c r="H16" s="62"/>
      <c r="I16" s="17">
        <f>VORN!I23</f>
        <v>0</v>
      </c>
    </row>
    <row r="17" spans="1:9" ht="15.75" x14ac:dyDescent="0.25">
      <c r="A17" s="18" t="s">
        <v>52</v>
      </c>
      <c r="B17" s="15" t="s">
        <v>37</v>
      </c>
      <c r="C17" s="16">
        <f>SUM('Stavební rozpočet'!AE12:AE744)</f>
        <v>0</v>
      </c>
      <c r="D17" s="61" t="s">
        <v>52</v>
      </c>
      <c r="E17" s="62"/>
      <c r="F17" s="17" t="s">
        <v>52</v>
      </c>
      <c r="G17" s="61" t="s">
        <v>1181</v>
      </c>
      <c r="H17" s="62"/>
      <c r="I17" s="17">
        <f>VORN!I24</f>
        <v>0</v>
      </c>
    </row>
    <row r="18" spans="1:9" ht="15.75" x14ac:dyDescent="0.25">
      <c r="A18" s="14" t="s">
        <v>1182</v>
      </c>
      <c r="B18" s="15" t="s">
        <v>1173</v>
      </c>
      <c r="C18" s="16">
        <f>SUM('Stavební rozpočet'!AF12:AF744)</f>
        <v>0</v>
      </c>
      <c r="D18" s="61" t="s">
        <v>52</v>
      </c>
      <c r="E18" s="62"/>
      <c r="F18" s="17" t="s">
        <v>52</v>
      </c>
      <c r="G18" s="61" t="s">
        <v>1183</v>
      </c>
      <c r="H18" s="62"/>
      <c r="I18" s="17">
        <f>VORN!I25</f>
        <v>0</v>
      </c>
    </row>
    <row r="19" spans="1:9" ht="15.75" x14ac:dyDescent="0.25">
      <c r="A19" s="18" t="s">
        <v>52</v>
      </c>
      <c r="B19" s="15" t="s">
        <v>37</v>
      </c>
      <c r="C19" s="16">
        <f>SUM('Stavební rozpočet'!AG12:AG744)</f>
        <v>0</v>
      </c>
      <c r="D19" s="61" t="s">
        <v>52</v>
      </c>
      <c r="E19" s="62"/>
      <c r="F19" s="17" t="s">
        <v>52</v>
      </c>
      <c r="G19" s="61" t="s">
        <v>1184</v>
      </c>
      <c r="H19" s="62"/>
      <c r="I19" s="17">
        <f>VORN!I26</f>
        <v>0</v>
      </c>
    </row>
    <row r="20" spans="1:9" ht="15.75" x14ac:dyDescent="0.25">
      <c r="A20" s="55" t="s">
        <v>1185</v>
      </c>
      <c r="B20" s="56"/>
      <c r="C20" s="16">
        <f>SUM('Stavební rozpočet'!AH12:AH744)</f>
        <v>0</v>
      </c>
      <c r="D20" s="61" t="s">
        <v>52</v>
      </c>
      <c r="E20" s="62"/>
      <c r="F20" s="17" t="s">
        <v>52</v>
      </c>
      <c r="G20" s="61" t="s">
        <v>52</v>
      </c>
      <c r="H20" s="62"/>
      <c r="I20" s="17" t="s">
        <v>52</v>
      </c>
    </row>
    <row r="21" spans="1:9" ht="15.75" x14ac:dyDescent="0.25">
      <c r="A21" s="57" t="s">
        <v>1186</v>
      </c>
      <c r="B21" s="58"/>
      <c r="C21" s="19">
        <f>SUM('Stavební rozpočet'!Z12:Z744)</f>
        <v>0</v>
      </c>
      <c r="D21" s="63" t="s">
        <v>52</v>
      </c>
      <c r="E21" s="64"/>
      <c r="F21" s="20" t="s">
        <v>52</v>
      </c>
      <c r="G21" s="63" t="s">
        <v>52</v>
      </c>
      <c r="H21" s="64"/>
      <c r="I21" s="20" t="s">
        <v>52</v>
      </c>
    </row>
    <row r="22" spans="1:9" ht="16.5" customHeight="1" x14ac:dyDescent="0.25">
      <c r="A22" s="59" t="s">
        <v>1187</v>
      </c>
      <c r="B22" s="60"/>
      <c r="C22" s="21">
        <f>SUM(C14:C21)</f>
        <v>0</v>
      </c>
      <c r="D22" s="65" t="s">
        <v>1188</v>
      </c>
      <c r="E22" s="60"/>
      <c r="F22" s="21">
        <f>SUM(F14:F21)</f>
        <v>0</v>
      </c>
      <c r="G22" s="65" t="s">
        <v>1189</v>
      </c>
      <c r="H22" s="60"/>
      <c r="I22" s="21">
        <f>SUM(I14:I21)</f>
        <v>0</v>
      </c>
    </row>
    <row r="23" spans="1:9" ht="15.75" x14ac:dyDescent="0.25">
      <c r="D23" s="55" t="s">
        <v>1190</v>
      </c>
      <c r="E23" s="56"/>
      <c r="F23" s="16">
        <f>'Krycí list rozpočtu (00)'!F22+'Krycí list rozpočtu (01)'!F22+'Krycí list rozpočtu (02)'!F22+'Krycí list rozpočtu (03)'!F22+'Krycí list rozpočtu (04)'!F22+'Krycí list rozpočtu (05)'!F22+'Krycí list rozpočtu (06)'!F22</f>
        <v>0</v>
      </c>
      <c r="G23" s="66" t="s">
        <v>1191</v>
      </c>
      <c r="H23" s="56"/>
      <c r="I23" s="16">
        <f>'Krycí list rozpočtu (00)'!I22+'Krycí list rozpočtu (01)'!I22+'Krycí list rozpočtu (02)'!I22+'Krycí list rozpočtu (03)'!I22+'Krycí list rozpočtu (04)'!I22+'Krycí list rozpočtu (05)'!I22+'Krycí list rozpočtu (06)'!I22</f>
        <v>0</v>
      </c>
    </row>
    <row r="24" spans="1:9" ht="15.75" x14ac:dyDescent="0.25">
      <c r="G24" s="55" t="s">
        <v>1192</v>
      </c>
      <c r="H24" s="56"/>
      <c r="I24" s="19">
        <f>vorn_sum</f>
        <v>0</v>
      </c>
    </row>
    <row r="25" spans="1:9" ht="15.75" x14ac:dyDescent="0.25">
      <c r="G25" s="55" t="s">
        <v>1193</v>
      </c>
      <c r="H25" s="56"/>
      <c r="I25" s="21">
        <f>'Krycí list rozpočtu (00)'!I23+'Krycí list rozpočtu (01)'!I23+'Krycí list rozpočtu (02)'!I23+'Krycí list rozpočtu (03)'!I23+'Krycí list rozpočtu (04)'!I23+'Krycí list rozpočtu (05)'!I23+'Krycí list rozpočtu (06)'!I23</f>
        <v>0</v>
      </c>
    </row>
    <row r="27" spans="1:9" ht="15.75" x14ac:dyDescent="0.25">
      <c r="A27" s="67" t="s">
        <v>1194</v>
      </c>
      <c r="B27" s="68"/>
      <c r="C27" s="22">
        <f>SUM('Stavební rozpočet'!AJ12:AJ744)</f>
        <v>0</v>
      </c>
    </row>
    <row r="28" spans="1:9" ht="15.75" x14ac:dyDescent="0.25">
      <c r="A28" s="69" t="s">
        <v>1195</v>
      </c>
      <c r="B28" s="70"/>
      <c r="C28" s="23">
        <f>SUM('Stavební rozpočet'!AK12:AK744)</f>
        <v>0</v>
      </c>
      <c r="D28" s="71" t="s">
        <v>1196</v>
      </c>
      <c r="E28" s="68"/>
      <c r="F28" s="22">
        <f>ROUND(C28*(12/100),2)</f>
        <v>0</v>
      </c>
      <c r="G28" s="71" t="s">
        <v>1197</v>
      </c>
      <c r="H28" s="68"/>
      <c r="I28" s="22">
        <f>SUM(C27:C29)</f>
        <v>0</v>
      </c>
    </row>
    <row r="29" spans="1:9" ht="15.75" x14ac:dyDescent="0.25">
      <c r="A29" s="69" t="s">
        <v>1198</v>
      </c>
      <c r="B29" s="70"/>
      <c r="C29" s="23">
        <f>SUM('Stavební rozpočet'!AL12:AL744)+(F22+I22+F23+I23+I24+I25)</f>
        <v>0</v>
      </c>
      <c r="D29" s="72" t="s">
        <v>1199</v>
      </c>
      <c r="E29" s="70"/>
      <c r="F29" s="23">
        <f>ROUND(C29*(21/100),2)</f>
        <v>0</v>
      </c>
      <c r="G29" s="72" t="s">
        <v>1200</v>
      </c>
      <c r="H29" s="70"/>
      <c r="I29" s="23">
        <f>SUM(F28:F29)+I28</f>
        <v>0</v>
      </c>
    </row>
    <row r="31" spans="1:9" x14ac:dyDescent="0.25">
      <c r="A31" s="73" t="s">
        <v>1201</v>
      </c>
      <c r="B31" s="74"/>
      <c r="C31" s="75"/>
      <c r="D31" s="82" t="s">
        <v>1202</v>
      </c>
      <c r="E31" s="74"/>
      <c r="F31" s="75"/>
      <c r="G31" s="82" t="s">
        <v>1203</v>
      </c>
      <c r="H31" s="74"/>
      <c r="I31" s="75"/>
    </row>
    <row r="32" spans="1:9" x14ac:dyDescent="0.25">
      <c r="A32" s="76" t="s">
        <v>52</v>
      </c>
      <c r="B32" s="77"/>
      <c r="C32" s="78"/>
      <c r="D32" s="83" t="s">
        <v>52</v>
      </c>
      <c r="E32" s="77"/>
      <c r="F32" s="78"/>
      <c r="G32" s="83" t="s">
        <v>52</v>
      </c>
      <c r="H32" s="77"/>
      <c r="I32" s="78"/>
    </row>
    <row r="33" spans="1:9" x14ac:dyDescent="0.25">
      <c r="A33" s="76" t="s">
        <v>52</v>
      </c>
      <c r="B33" s="77"/>
      <c r="C33" s="78"/>
      <c r="D33" s="83" t="s">
        <v>52</v>
      </c>
      <c r="E33" s="77"/>
      <c r="F33" s="78"/>
      <c r="G33" s="83" t="s">
        <v>52</v>
      </c>
      <c r="H33" s="77"/>
      <c r="I33" s="78"/>
    </row>
    <row r="34" spans="1:9" x14ac:dyDescent="0.25">
      <c r="A34" s="76" t="s">
        <v>52</v>
      </c>
      <c r="B34" s="77"/>
      <c r="C34" s="78"/>
      <c r="D34" s="83" t="s">
        <v>52</v>
      </c>
      <c r="E34" s="77"/>
      <c r="F34" s="78"/>
      <c r="G34" s="83" t="s">
        <v>52</v>
      </c>
      <c r="H34" s="77"/>
      <c r="I34" s="78"/>
    </row>
    <row r="35" spans="1:9" x14ac:dyDescent="0.25">
      <c r="A35" s="79" t="s">
        <v>1204</v>
      </c>
      <c r="B35" s="80"/>
      <c r="C35" s="81"/>
      <c r="D35" s="84" t="s">
        <v>1204</v>
      </c>
      <c r="E35" s="80"/>
      <c r="F35" s="81"/>
      <c r="G35" s="84" t="s">
        <v>1204</v>
      </c>
      <c r="H35" s="80"/>
      <c r="I35" s="81"/>
    </row>
    <row r="36" spans="1:9" x14ac:dyDescent="0.25">
      <c r="A36" s="24" t="s">
        <v>140</v>
      </c>
    </row>
    <row r="37" spans="1:9" ht="12.75" customHeight="1" x14ac:dyDescent="0.25">
      <c r="A37" s="40" t="s">
        <v>52</v>
      </c>
      <c r="B37" s="37"/>
      <c r="C37" s="37"/>
      <c r="D37" s="37"/>
      <c r="E37" s="37"/>
      <c r="F37" s="37"/>
      <c r="G37" s="37"/>
      <c r="H37" s="37"/>
      <c r="I37" s="37"/>
    </row>
  </sheetData>
  <mergeCells count="83">
    <mergeCell ref="A37:I37"/>
    <mergeCell ref="G31:I31"/>
    <mergeCell ref="G32:I32"/>
    <mergeCell ref="G33:I33"/>
    <mergeCell ref="G34:I34"/>
    <mergeCell ref="G35:I35"/>
    <mergeCell ref="D31:F31"/>
    <mergeCell ref="D32:F32"/>
    <mergeCell ref="D33:F33"/>
    <mergeCell ref="D34:F34"/>
    <mergeCell ref="D35:F35"/>
    <mergeCell ref="A31:C31"/>
    <mergeCell ref="A32:C32"/>
    <mergeCell ref="A33:C33"/>
    <mergeCell ref="A34:C34"/>
    <mergeCell ref="A35:C35"/>
    <mergeCell ref="G24:H24"/>
    <mergeCell ref="G25:H25"/>
    <mergeCell ref="A27:B27"/>
    <mergeCell ref="A28:B28"/>
    <mergeCell ref="A29:B29"/>
    <mergeCell ref="D28:E28"/>
    <mergeCell ref="D29:E29"/>
    <mergeCell ref="G28:H28"/>
    <mergeCell ref="G29:H29"/>
    <mergeCell ref="D23:E23"/>
    <mergeCell ref="G14:H14"/>
    <mergeCell ref="G15:H15"/>
    <mergeCell ref="G16:H16"/>
    <mergeCell ref="G17:H17"/>
    <mergeCell ref="G18:H18"/>
    <mergeCell ref="G19:H19"/>
    <mergeCell ref="G20:H20"/>
    <mergeCell ref="G21:H21"/>
    <mergeCell ref="G22:H22"/>
    <mergeCell ref="G23:H23"/>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46" t="s">
        <v>1223</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20</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3" spans="1:9" ht="15.75" x14ac:dyDescent="0.25">
      <c r="A13" s="85" t="s">
        <v>1206</v>
      </c>
      <c r="B13" s="85"/>
      <c r="C13" s="85"/>
      <c r="D13" s="85"/>
      <c r="E13" s="85"/>
    </row>
    <row r="14" spans="1:9" x14ac:dyDescent="0.25">
      <c r="A14" s="86" t="s">
        <v>1207</v>
      </c>
      <c r="B14" s="87"/>
      <c r="C14" s="87"/>
      <c r="D14" s="87"/>
      <c r="E14" s="88"/>
      <c r="F14" s="25" t="s">
        <v>1208</v>
      </c>
      <c r="G14" s="25" t="s">
        <v>372</v>
      </c>
      <c r="H14" s="25" t="s">
        <v>1209</v>
      </c>
      <c r="I14" s="25" t="s">
        <v>1208</v>
      </c>
    </row>
    <row r="15" spans="1:9" x14ac:dyDescent="0.25">
      <c r="A15" s="89" t="s">
        <v>1174</v>
      </c>
      <c r="B15" s="90"/>
      <c r="C15" s="90"/>
      <c r="D15" s="90"/>
      <c r="E15" s="91"/>
      <c r="F15" s="26">
        <v>0</v>
      </c>
      <c r="G15" s="27" t="s">
        <v>52</v>
      </c>
      <c r="H15" s="27" t="s">
        <v>52</v>
      </c>
      <c r="I15" s="26">
        <f>F15</f>
        <v>0</v>
      </c>
    </row>
    <row r="16" spans="1:9" x14ac:dyDescent="0.25">
      <c r="A16" s="89" t="s">
        <v>1176</v>
      </c>
      <c r="B16" s="90"/>
      <c r="C16" s="90"/>
      <c r="D16" s="90"/>
      <c r="E16" s="91"/>
      <c r="F16" s="26">
        <v>0</v>
      </c>
      <c r="G16" s="27" t="s">
        <v>52</v>
      </c>
      <c r="H16" s="27" t="s">
        <v>52</v>
      </c>
      <c r="I16" s="26">
        <f>F16</f>
        <v>0</v>
      </c>
    </row>
    <row r="17" spans="1:9" x14ac:dyDescent="0.25">
      <c r="A17" s="92" t="s">
        <v>1179</v>
      </c>
      <c r="B17" s="93"/>
      <c r="C17" s="93"/>
      <c r="D17" s="93"/>
      <c r="E17" s="94"/>
      <c r="F17" s="28">
        <v>0</v>
      </c>
      <c r="G17" s="29" t="s">
        <v>52</v>
      </c>
      <c r="H17" s="29" t="s">
        <v>52</v>
      </c>
      <c r="I17" s="28">
        <f>F17</f>
        <v>0</v>
      </c>
    </row>
    <row r="18" spans="1:9" x14ac:dyDescent="0.25">
      <c r="A18" s="95" t="s">
        <v>1210</v>
      </c>
      <c r="B18" s="96"/>
      <c r="C18" s="96"/>
      <c r="D18" s="96"/>
      <c r="E18" s="97"/>
      <c r="F18" s="30" t="s">
        <v>52</v>
      </c>
      <c r="G18" s="31" t="s">
        <v>52</v>
      </c>
      <c r="H18" s="31" t="s">
        <v>52</v>
      </c>
      <c r="I18" s="32">
        <f>SUM(I15:I17)</f>
        <v>0</v>
      </c>
    </row>
    <row r="20" spans="1:9" x14ac:dyDescent="0.25">
      <c r="A20" s="86" t="s">
        <v>1171</v>
      </c>
      <c r="B20" s="87"/>
      <c r="C20" s="87"/>
      <c r="D20" s="87"/>
      <c r="E20" s="88"/>
      <c r="F20" s="25" t="s">
        <v>1208</v>
      </c>
      <c r="G20" s="25" t="s">
        <v>372</v>
      </c>
      <c r="H20" s="25" t="s">
        <v>1209</v>
      </c>
      <c r="I20" s="25" t="s">
        <v>1208</v>
      </c>
    </row>
    <row r="21" spans="1:9" x14ac:dyDescent="0.25">
      <c r="A21" s="89" t="s">
        <v>1175</v>
      </c>
      <c r="B21" s="90"/>
      <c r="C21" s="90"/>
      <c r="D21" s="90"/>
      <c r="E21" s="91"/>
      <c r="F21" s="26">
        <v>0</v>
      </c>
      <c r="G21" s="27" t="s">
        <v>52</v>
      </c>
      <c r="H21" s="27" t="s">
        <v>52</v>
      </c>
      <c r="I21" s="26">
        <f t="shared" ref="I21:I26" si="0">F21</f>
        <v>0</v>
      </c>
    </row>
    <row r="22" spans="1:9" x14ac:dyDescent="0.25">
      <c r="A22" s="89" t="s">
        <v>1177</v>
      </c>
      <c r="B22" s="90"/>
      <c r="C22" s="90"/>
      <c r="D22" s="90"/>
      <c r="E22" s="91"/>
      <c r="F22" s="26">
        <v>0</v>
      </c>
      <c r="G22" s="27" t="s">
        <v>52</v>
      </c>
      <c r="H22" s="27" t="s">
        <v>52</v>
      </c>
      <c r="I22" s="26">
        <f t="shared" si="0"/>
        <v>0</v>
      </c>
    </row>
    <row r="23" spans="1:9" x14ac:dyDescent="0.25">
      <c r="A23" s="89" t="s">
        <v>1180</v>
      </c>
      <c r="B23" s="90"/>
      <c r="C23" s="90"/>
      <c r="D23" s="90"/>
      <c r="E23" s="91"/>
      <c r="F23" s="26">
        <v>0</v>
      </c>
      <c r="G23" s="27" t="s">
        <v>52</v>
      </c>
      <c r="H23" s="27" t="s">
        <v>52</v>
      </c>
      <c r="I23" s="26">
        <f t="shared" si="0"/>
        <v>0</v>
      </c>
    </row>
    <row r="24" spans="1:9" x14ac:dyDescent="0.25">
      <c r="A24" s="89" t="s">
        <v>1181</v>
      </c>
      <c r="B24" s="90"/>
      <c r="C24" s="90"/>
      <c r="D24" s="90"/>
      <c r="E24" s="91"/>
      <c r="F24" s="26">
        <v>0</v>
      </c>
      <c r="G24" s="27" t="s">
        <v>52</v>
      </c>
      <c r="H24" s="27" t="s">
        <v>52</v>
      </c>
      <c r="I24" s="26">
        <f t="shared" si="0"/>
        <v>0</v>
      </c>
    </row>
    <row r="25" spans="1:9" x14ac:dyDescent="0.25">
      <c r="A25" s="89" t="s">
        <v>1183</v>
      </c>
      <c r="B25" s="90"/>
      <c r="C25" s="90"/>
      <c r="D25" s="90"/>
      <c r="E25" s="91"/>
      <c r="F25" s="26">
        <v>0</v>
      </c>
      <c r="G25" s="27" t="s">
        <v>52</v>
      </c>
      <c r="H25" s="27" t="s">
        <v>52</v>
      </c>
      <c r="I25" s="26">
        <f t="shared" si="0"/>
        <v>0</v>
      </c>
    </row>
    <row r="26" spans="1:9" x14ac:dyDescent="0.25">
      <c r="A26" s="92" t="s">
        <v>1184</v>
      </c>
      <c r="B26" s="93"/>
      <c r="C26" s="93"/>
      <c r="D26" s="93"/>
      <c r="E26" s="94"/>
      <c r="F26" s="28">
        <v>0</v>
      </c>
      <c r="G26" s="29" t="s">
        <v>52</v>
      </c>
      <c r="H26" s="29" t="s">
        <v>52</v>
      </c>
      <c r="I26" s="28">
        <f t="shared" si="0"/>
        <v>0</v>
      </c>
    </row>
    <row r="27" spans="1:9" x14ac:dyDescent="0.25">
      <c r="A27" s="95" t="s">
        <v>1211</v>
      </c>
      <c r="B27" s="96"/>
      <c r="C27" s="96"/>
      <c r="D27" s="96"/>
      <c r="E27" s="97"/>
      <c r="F27" s="30" t="s">
        <v>52</v>
      </c>
      <c r="G27" s="31" t="s">
        <v>52</v>
      </c>
      <c r="H27" s="31" t="s">
        <v>52</v>
      </c>
      <c r="I27" s="32">
        <f>SUM(I21:I26)</f>
        <v>0</v>
      </c>
    </row>
    <row r="29" spans="1:9" ht="15.75" x14ac:dyDescent="0.25">
      <c r="A29" s="98" t="s">
        <v>1212</v>
      </c>
      <c r="B29" s="99"/>
      <c r="C29" s="99"/>
      <c r="D29" s="99"/>
      <c r="E29" s="100"/>
      <c r="F29" s="101">
        <f>I18+I27</f>
        <v>0</v>
      </c>
      <c r="G29" s="102"/>
      <c r="H29" s="102"/>
      <c r="I29" s="103"/>
    </row>
    <row r="33" spans="1:9" ht="15.75" x14ac:dyDescent="0.25">
      <c r="A33" s="85" t="s">
        <v>1213</v>
      </c>
      <c r="B33" s="85"/>
      <c r="C33" s="85"/>
      <c r="D33" s="85"/>
      <c r="E33" s="85"/>
    </row>
    <row r="34" spans="1:9" x14ac:dyDescent="0.25">
      <c r="A34" s="86" t="s">
        <v>1214</v>
      </c>
      <c r="B34" s="87"/>
      <c r="C34" s="87"/>
      <c r="D34" s="87"/>
      <c r="E34" s="88"/>
      <c r="F34" s="25" t="s">
        <v>1208</v>
      </c>
      <c r="G34" s="25" t="s">
        <v>372</v>
      </c>
      <c r="H34" s="25" t="s">
        <v>1209</v>
      </c>
      <c r="I34" s="25" t="s">
        <v>1208</v>
      </c>
    </row>
    <row r="35" spans="1:9" x14ac:dyDescent="0.25">
      <c r="A35" s="92" t="s">
        <v>52</v>
      </c>
      <c r="B35" s="93"/>
      <c r="C35" s="93"/>
      <c r="D35" s="93"/>
      <c r="E35" s="94"/>
      <c r="F35" s="28">
        <v>0</v>
      </c>
      <c r="G35" s="29" t="s">
        <v>52</v>
      </c>
      <c r="H35" s="29" t="s">
        <v>52</v>
      </c>
      <c r="I35" s="28">
        <f>F35</f>
        <v>0</v>
      </c>
    </row>
    <row r="36" spans="1:9" x14ac:dyDescent="0.25">
      <c r="A36" s="95" t="s">
        <v>1215</v>
      </c>
      <c r="B36" s="96"/>
      <c r="C36" s="96"/>
      <c r="D36" s="96"/>
      <c r="E36" s="97"/>
      <c r="F36" s="30" t="s">
        <v>52</v>
      </c>
      <c r="G36" s="31" t="s">
        <v>52</v>
      </c>
      <c r="H36" s="31" t="s">
        <v>52</v>
      </c>
      <c r="I36" s="32">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46" t="s">
        <v>1224</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12</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2" spans="1:9" ht="23.25" x14ac:dyDescent="0.25">
      <c r="A12" s="52" t="s">
        <v>1165</v>
      </c>
      <c r="B12" s="52"/>
      <c r="C12" s="52"/>
      <c r="D12" s="52"/>
      <c r="E12" s="52"/>
      <c r="F12" s="52"/>
      <c r="G12" s="52"/>
      <c r="H12" s="52"/>
      <c r="I12" s="52"/>
    </row>
    <row r="13" spans="1:9" ht="26.25" customHeight="1" x14ac:dyDescent="0.25">
      <c r="A13" s="12" t="s">
        <v>1166</v>
      </c>
      <c r="B13" s="53" t="s">
        <v>1167</v>
      </c>
      <c r="C13" s="54"/>
      <c r="D13" s="13" t="s">
        <v>1168</v>
      </c>
      <c r="E13" s="53" t="s">
        <v>1169</v>
      </c>
      <c r="F13" s="54"/>
      <c r="G13" s="13" t="s">
        <v>1170</v>
      </c>
      <c r="H13" s="53" t="s">
        <v>1171</v>
      </c>
      <c r="I13" s="54"/>
    </row>
    <row r="14" spans="1:9" ht="15.75" x14ac:dyDescent="0.25">
      <c r="A14" s="14" t="s">
        <v>1172</v>
      </c>
      <c r="B14" s="15" t="s">
        <v>1173</v>
      </c>
      <c r="C14" s="16">
        <f>SUMIF('Stavební rozpočet'!AI12:AI744,"04",'Stavební rozpočet'!AB12:AB744)</f>
        <v>0</v>
      </c>
      <c r="D14" s="61" t="s">
        <v>1174</v>
      </c>
      <c r="E14" s="62"/>
      <c r="F14" s="16">
        <f>'VORN objektu (04)'!I15</f>
        <v>0</v>
      </c>
      <c r="G14" s="61" t="s">
        <v>1175</v>
      </c>
      <c r="H14" s="62"/>
      <c r="I14" s="17">
        <f>'VORN objektu (04)'!I21</f>
        <v>0</v>
      </c>
    </row>
    <row r="15" spans="1:9" ht="15.75" x14ac:dyDescent="0.25">
      <c r="A15" s="18" t="s">
        <v>52</v>
      </c>
      <c r="B15" s="15" t="s">
        <v>37</v>
      </c>
      <c r="C15" s="16">
        <f>SUMIF('Stavební rozpočet'!AI12:AI744,"04",'Stavební rozpočet'!AC12:AC744)</f>
        <v>0</v>
      </c>
      <c r="D15" s="61" t="s">
        <v>1176</v>
      </c>
      <c r="E15" s="62"/>
      <c r="F15" s="16">
        <f>'VORN objektu (04)'!I16</f>
        <v>0</v>
      </c>
      <c r="G15" s="61" t="s">
        <v>1177</v>
      </c>
      <c r="H15" s="62"/>
      <c r="I15" s="17">
        <f>'VORN objektu (04)'!I22</f>
        <v>0</v>
      </c>
    </row>
    <row r="16" spans="1:9" ht="15.75" x14ac:dyDescent="0.25">
      <c r="A16" s="14" t="s">
        <v>1178</v>
      </c>
      <c r="B16" s="15" t="s">
        <v>1173</v>
      </c>
      <c r="C16" s="16">
        <f>SUMIF('Stavební rozpočet'!AI12:AI744,"04",'Stavební rozpočet'!AD12:AD744)</f>
        <v>0</v>
      </c>
      <c r="D16" s="61" t="s">
        <v>1179</v>
      </c>
      <c r="E16" s="62"/>
      <c r="F16" s="16">
        <f>'VORN objektu (04)'!I17</f>
        <v>0</v>
      </c>
      <c r="G16" s="61" t="s">
        <v>1180</v>
      </c>
      <c r="H16" s="62"/>
      <c r="I16" s="17">
        <f>'VORN objektu (04)'!I23</f>
        <v>0</v>
      </c>
    </row>
    <row r="17" spans="1:9" ht="15.75" x14ac:dyDescent="0.25">
      <c r="A17" s="18" t="s">
        <v>52</v>
      </c>
      <c r="B17" s="15" t="s">
        <v>37</v>
      </c>
      <c r="C17" s="16">
        <f>SUMIF('Stavební rozpočet'!AI12:AI744,"04",'Stavební rozpočet'!AE12:AE744)</f>
        <v>0</v>
      </c>
      <c r="D17" s="61" t="s">
        <v>52</v>
      </c>
      <c r="E17" s="62"/>
      <c r="F17" s="17" t="s">
        <v>52</v>
      </c>
      <c r="G17" s="61" t="s">
        <v>1181</v>
      </c>
      <c r="H17" s="62"/>
      <c r="I17" s="17">
        <f>'VORN objektu (04)'!I24</f>
        <v>0</v>
      </c>
    </row>
    <row r="18" spans="1:9" ht="15.75" x14ac:dyDescent="0.25">
      <c r="A18" s="14" t="s">
        <v>1182</v>
      </c>
      <c r="B18" s="15" t="s">
        <v>1173</v>
      </c>
      <c r="C18" s="16">
        <f>SUMIF('Stavební rozpočet'!AI12:AI744,"04",'Stavební rozpočet'!AF12:AF744)</f>
        <v>0</v>
      </c>
      <c r="D18" s="61" t="s">
        <v>52</v>
      </c>
      <c r="E18" s="62"/>
      <c r="F18" s="17" t="s">
        <v>52</v>
      </c>
      <c r="G18" s="61" t="s">
        <v>1183</v>
      </c>
      <c r="H18" s="62"/>
      <c r="I18" s="17">
        <f>'VORN objektu (04)'!I25</f>
        <v>0</v>
      </c>
    </row>
    <row r="19" spans="1:9" ht="15.75" x14ac:dyDescent="0.25">
      <c r="A19" s="18" t="s">
        <v>52</v>
      </c>
      <c r="B19" s="15" t="s">
        <v>37</v>
      </c>
      <c r="C19" s="16">
        <f>SUMIF('Stavební rozpočet'!AI12:AI744,"04",'Stavební rozpočet'!AG12:AG744)</f>
        <v>0</v>
      </c>
      <c r="D19" s="61" t="s">
        <v>52</v>
      </c>
      <c r="E19" s="62"/>
      <c r="F19" s="17" t="s">
        <v>52</v>
      </c>
      <c r="G19" s="61" t="s">
        <v>1184</v>
      </c>
      <c r="H19" s="62"/>
      <c r="I19" s="17">
        <f>'VORN objektu (04)'!I26</f>
        <v>0</v>
      </c>
    </row>
    <row r="20" spans="1:9" ht="15.75" x14ac:dyDescent="0.25">
      <c r="A20" s="55" t="s">
        <v>1185</v>
      </c>
      <c r="B20" s="56"/>
      <c r="C20" s="16">
        <f>SUMIF('Stavební rozpočet'!AI12:AI744,"04",'Stavební rozpočet'!AH12:AH744)</f>
        <v>0</v>
      </c>
      <c r="D20" s="61" t="s">
        <v>52</v>
      </c>
      <c r="E20" s="62"/>
      <c r="F20" s="17" t="s">
        <v>52</v>
      </c>
      <c r="G20" s="61" t="s">
        <v>52</v>
      </c>
      <c r="H20" s="62"/>
      <c r="I20" s="17" t="s">
        <v>52</v>
      </c>
    </row>
    <row r="21" spans="1:9" ht="15.75" x14ac:dyDescent="0.25">
      <c r="A21" s="57" t="s">
        <v>1186</v>
      </c>
      <c r="B21" s="58"/>
      <c r="C21" s="16">
        <f>SUMIF('Stavební rozpočet'!AI12:AI744,"04",'Stavební rozpočet'!Z12:Z744)</f>
        <v>0</v>
      </c>
      <c r="D21" s="63" t="s">
        <v>52</v>
      </c>
      <c r="E21" s="64"/>
      <c r="F21" s="20" t="s">
        <v>52</v>
      </c>
      <c r="G21" s="63" t="s">
        <v>52</v>
      </c>
      <c r="H21" s="64"/>
      <c r="I21" s="20" t="s">
        <v>52</v>
      </c>
    </row>
    <row r="22" spans="1:9" ht="16.5" customHeight="1" x14ac:dyDescent="0.25">
      <c r="A22" s="59" t="s">
        <v>1187</v>
      </c>
      <c r="B22" s="60"/>
      <c r="C22" s="16">
        <f>SUM(C14:C21)</f>
        <v>0</v>
      </c>
      <c r="D22" s="65" t="s">
        <v>1188</v>
      </c>
      <c r="E22" s="60"/>
      <c r="F22" s="21">
        <f>SUM(F14:F21)</f>
        <v>0</v>
      </c>
      <c r="G22" s="65" t="s">
        <v>1189</v>
      </c>
      <c r="H22" s="60"/>
      <c r="I22" s="21">
        <f>SUM(I14:I21)</f>
        <v>0</v>
      </c>
    </row>
    <row r="23" spans="1:9" ht="15.75" x14ac:dyDescent="0.25">
      <c r="G23" s="55" t="s">
        <v>1192</v>
      </c>
      <c r="H23" s="56"/>
      <c r="I23" s="16">
        <f>'VORN objektu (04)'!I36</f>
        <v>0</v>
      </c>
    </row>
    <row r="25" spans="1:9" ht="15.75" x14ac:dyDescent="0.25">
      <c r="A25" s="67" t="s">
        <v>1194</v>
      </c>
      <c r="B25" s="68"/>
      <c r="C25" s="22">
        <f>('Stavební rozpočet'!AS507+'Stavební rozpočet'!AS522+'Stavební rozpočet'!AS533+'Stavební rozpočet'!AS543)</f>
        <v>0</v>
      </c>
    </row>
    <row r="26" spans="1:9" ht="15.75" x14ac:dyDescent="0.25">
      <c r="A26" s="69" t="s">
        <v>1195</v>
      </c>
      <c r="B26" s="70"/>
      <c r="C26" s="23">
        <f>('Stavební rozpočet'!AT507+'Stavební rozpočet'!AT522+'Stavební rozpočet'!AT533+'Stavební rozpočet'!AT543)</f>
        <v>0</v>
      </c>
      <c r="D26" s="71" t="s">
        <v>1196</v>
      </c>
      <c r="E26" s="68"/>
      <c r="F26" s="22">
        <f>ROUND(C26*(12/100),2)</f>
        <v>0</v>
      </c>
      <c r="G26" s="71" t="s">
        <v>1197</v>
      </c>
      <c r="H26" s="68"/>
      <c r="I26" s="22">
        <f>SUM(C25:C27)</f>
        <v>0</v>
      </c>
    </row>
    <row r="27" spans="1:9" ht="15.75" x14ac:dyDescent="0.25">
      <c r="A27" s="69" t="s">
        <v>1198</v>
      </c>
      <c r="B27" s="70"/>
      <c r="C27" s="23">
        <f>('Stavební rozpočet'!AU507+'Stavební rozpočet'!AU522+'Stavební rozpočet'!AU533+'Stavební rozpočet'!AU543)+(F22+I22+F23+I23+I24)</f>
        <v>0</v>
      </c>
      <c r="D27" s="72" t="s">
        <v>1199</v>
      </c>
      <c r="E27" s="70"/>
      <c r="F27" s="23">
        <f>ROUND(C27*(21/100),2)</f>
        <v>0</v>
      </c>
      <c r="G27" s="72" t="s">
        <v>1200</v>
      </c>
      <c r="H27" s="70"/>
      <c r="I27" s="23">
        <f>SUM(F26:F27)+I26</f>
        <v>0</v>
      </c>
    </row>
    <row r="29" spans="1:9" x14ac:dyDescent="0.25">
      <c r="A29" s="73" t="s">
        <v>1201</v>
      </c>
      <c r="B29" s="74"/>
      <c r="C29" s="75"/>
      <c r="D29" s="82" t="s">
        <v>1202</v>
      </c>
      <c r="E29" s="74"/>
      <c r="F29" s="75"/>
      <c r="G29" s="82" t="s">
        <v>1203</v>
      </c>
      <c r="H29" s="74"/>
      <c r="I29" s="75"/>
    </row>
    <row r="30" spans="1:9" x14ac:dyDescent="0.25">
      <c r="A30" s="76" t="s">
        <v>52</v>
      </c>
      <c r="B30" s="77"/>
      <c r="C30" s="78"/>
      <c r="D30" s="83" t="s">
        <v>52</v>
      </c>
      <c r="E30" s="77"/>
      <c r="F30" s="78"/>
      <c r="G30" s="83" t="s">
        <v>52</v>
      </c>
      <c r="H30" s="77"/>
      <c r="I30" s="78"/>
    </row>
    <row r="31" spans="1:9" x14ac:dyDescent="0.25">
      <c r="A31" s="76" t="s">
        <v>52</v>
      </c>
      <c r="B31" s="77"/>
      <c r="C31" s="78"/>
      <c r="D31" s="83" t="s">
        <v>52</v>
      </c>
      <c r="E31" s="77"/>
      <c r="F31" s="78"/>
      <c r="G31" s="83" t="s">
        <v>52</v>
      </c>
      <c r="H31" s="77"/>
      <c r="I31" s="78"/>
    </row>
    <row r="32" spans="1:9" x14ac:dyDescent="0.25">
      <c r="A32" s="76" t="s">
        <v>52</v>
      </c>
      <c r="B32" s="77"/>
      <c r="C32" s="78"/>
      <c r="D32" s="83" t="s">
        <v>52</v>
      </c>
      <c r="E32" s="77"/>
      <c r="F32" s="78"/>
      <c r="G32" s="83" t="s">
        <v>52</v>
      </c>
      <c r="H32" s="77"/>
      <c r="I32" s="78"/>
    </row>
    <row r="33" spans="1:9" x14ac:dyDescent="0.25">
      <c r="A33" s="79" t="s">
        <v>1204</v>
      </c>
      <c r="B33" s="80"/>
      <c r="C33" s="81"/>
      <c r="D33" s="84" t="s">
        <v>1204</v>
      </c>
      <c r="E33" s="80"/>
      <c r="F33" s="81"/>
      <c r="G33" s="84" t="s">
        <v>1204</v>
      </c>
      <c r="H33" s="80"/>
      <c r="I33" s="81"/>
    </row>
    <row r="34" spans="1:9" x14ac:dyDescent="0.25">
      <c r="A34" s="24" t="s">
        <v>140</v>
      </c>
    </row>
    <row r="35" spans="1:9" ht="12.75" customHeight="1" x14ac:dyDescent="0.25">
      <c r="A35" s="40" t="s">
        <v>52</v>
      </c>
      <c r="B35" s="37"/>
      <c r="C35" s="37"/>
      <c r="D35" s="37"/>
      <c r="E35" s="37"/>
      <c r="F35" s="37"/>
      <c r="G35" s="37"/>
      <c r="H35" s="37"/>
      <c r="I35" s="37"/>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46" t="s">
        <v>1225</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12</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3" spans="1:9" ht="15.75" x14ac:dyDescent="0.25">
      <c r="A13" s="85" t="s">
        <v>1206</v>
      </c>
      <c r="B13" s="85"/>
      <c r="C13" s="85"/>
      <c r="D13" s="85"/>
      <c r="E13" s="85"/>
    </row>
    <row r="14" spans="1:9" x14ac:dyDescent="0.25">
      <c r="A14" s="86" t="s">
        <v>1207</v>
      </c>
      <c r="B14" s="87"/>
      <c r="C14" s="87"/>
      <c r="D14" s="87"/>
      <c r="E14" s="88"/>
      <c r="F14" s="25" t="s">
        <v>1208</v>
      </c>
      <c r="G14" s="25" t="s">
        <v>372</v>
      </c>
      <c r="H14" s="25" t="s">
        <v>1209</v>
      </c>
      <c r="I14" s="25" t="s">
        <v>1208</v>
      </c>
    </row>
    <row r="15" spans="1:9" x14ac:dyDescent="0.25">
      <c r="A15" s="89" t="s">
        <v>1174</v>
      </c>
      <c r="B15" s="90"/>
      <c r="C15" s="90"/>
      <c r="D15" s="90"/>
      <c r="E15" s="91"/>
      <c r="F15" s="26">
        <v>0</v>
      </c>
      <c r="G15" s="27" t="s">
        <v>52</v>
      </c>
      <c r="H15" s="27" t="s">
        <v>52</v>
      </c>
      <c r="I15" s="26">
        <f>F15</f>
        <v>0</v>
      </c>
    </row>
    <row r="16" spans="1:9" x14ac:dyDescent="0.25">
      <c r="A16" s="89" t="s">
        <v>1176</v>
      </c>
      <c r="B16" s="90"/>
      <c r="C16" s="90"/>
      <c r="D16" s="90"/>
      <c r="E16" s="91"/>
      <c r="F16" s="26">
        <v>0</v>
      </c>
      <c r="G16" s="27" t="s">
        <v>52</v>
      </c>
      <c r="H16" s="27" t="s">
        <v>52</v>
      </c>
      <c r="I16" s="26">
        <f>F16</f>
        <v>0</v>
      </c>
    </row>
    <row r="17" spans="1:9" x14ac:dyDescent="0.25">
      <c r="A17" s="92" t="s">
        <v>1179</v>
      </c>
      <c r="B17" s="93"/>
      <c r="C17" s="93"/>
      <c r="D17" s="93"/>
      <c r="E17" s="94"/>
      <c r="F17" s="28">
        <v>0</v>
      </c>
      <c r="G17" s="29" t="s">
        <v>52</v>
      </c>
      <c r="H17" s="29" t="s">
        <v>52</v>
      </c>
      <c r="I17" s="28">
        <f>F17</f>
        <v>0</v>
      </c>
    </row>
    <row r="18" spans="1:9" x14ac:dyDescent="0.25">
      <c r="A18" s="95" t="s">
        <v>1210</v>
      </c>
      <c r="B18" s="96"/>
      <c r="C18" s="96"/>
      <c r="D18" s="96"/>
      <c r="E18" s="97"/>
      <c r="F18" s="30" t="s">
        <v>52</v>
      </c>
      <c r="G18" s="31" t="s">
        <v>52</v>
      </c>
      <c r="H18" s="31" t="s">
        <v>52</v>
      </c>
      <c r="I18" s="32">
        <f>SUM(I15:I17)</f>
        <v>0</v>
      </c>
    </row>
    <row r="20" spans="1:9" x14ac:dyDescent="0.25">
      <c r="A20" s="86" t="s">
        <v>1171</v>
      </c>
      <c r="B20" s="87"/>
      <c r="C20" s="87"/>
      <c r="D20" s="87"/>
      <c r="E20" s="88"/>
      <c r="F20" s="25" t="s">
        <v>1208</v>
      </c>
      <c r="G20" s="25" t="s">
        <v>372</v>
      </c>
      <c r="H20" s="25" t="s">
        <v>1209</v>
      </c>
      <c r="I20" s="25" t="s">
        <v>1208</v>
      </c>
    </row>
    <row r="21" spans="1:9" x14ac:dyDescent="0.25">
      <c r="A21" s="89" t="s">
        <v>1175</v>
      </c>
      <c r="B21" s="90"/>
      <c r="C21" s="90"/>
      <c r="D21" s="90"/>
      <c r="E21" s="91"/>
      <c r="F21" s="26">
        <v>0</v>
      </c>
      <c r="G21" s="27" t="s">
        <v>52</v>
      </c>
      <c r="H21" s="27" t="s">
        <v>52</v>
      </c>
      <c r="I21" s="26">
        <f t="shared" ref="I21:I26" si="0">F21</f>
        <v>0</v>
      </c>
    </row>
    <row r="22" spans="1:9" x14ac:dyDescent="0.25">
      <c r="A22" s="89" t="s">
        <v>1177</v>
      </c>
      <c r="B22" s="90"/>
      <c r="C22" s="90"/>
      <c r="D22" s="90"/>
      <c r="E22" s="91"/>
      <c r="F22" s="26">
        <v>0</v>
      </c>
      <c r="G22" s="27" t="s">
        <v>52</v>
      </c>
      <c r="H22" s="27" t="s">
        <v>52</v>
      </c>
      <c r="I22" s="26">
        <f t="shared" si="0"/>
        <v>0</v>
      </c>
    </row>
    <row r="23" spans="1:9" x14ac:dyDescent="0.25">
      <c r="A23" s="89" t="s">
        <v>1180</v>
      </c>
      <c r="B23" s="90"/>
      <c r="C23" s="90"/>
      <c r="D23" s="90"/>
      <c r="E23" s="91"/>
      <c r="F23" s="26">
        <v>0</v>
      </c>
      <c r="G23" s="27" t="s">
        <v>52</v>
      </c>
      <c r="H23" s="27" t="s">
        <v>52</v>
      </c>
      <c r="I23" s="26">
        <f t="shared" si="0"/>
        <v>0</v>
      </c>
    </row>
    <row r="24" spans="1:9" x14ac:dyDescent="0.25">
      <c r="A24" s="89" t="s">
        <v>1181</v>
      </c>
      <c r="B24" s="90"/>
      <c r="C24" s="90"/>
      <c r="D24" s="90"/>
      <c r="E24" s="91"/>
      <c r="F24" s="26">
        <v>0</v>
      </c>
      <c r="G24" s="27" t="s">
        <v>52</v>
      </c>
      <c r="H24" s="27" t="s">
        <v>52</v>
      </c>
      <c r="I24" s="26">
        <f t="shared" si="0"/>
        <v>0</v>
      </c>
    </row>
    <row r="25" spans="1:9" x14ac:dyDescent="0.25">
      <c r="A25" s="89" t="s">
        <v>1183</v>
      </c>
      <c r="B25" s="90"/>
      <c r="C25" s="90"/>
      <c r="D25" s="90"/>
      <c r="E25" s="91"/>
      <c r="F25" s="26">
        <v>0</v>
      </c>
      <c r="G25" s="27" t="s">
        <v>52</v>
      </c>
      <c r="H25" s="27" t="s">
        <v>52</v>
      </c>
      <c r="I25" s="26">
        <f t="shared" si="0"/>
        <v>0</v>
      </c>
    </row>
    <row r="26" spans="1:9" x14ac:dyDescent="0.25">
      <c r="A26" s="92" t="s">
        <v>1184</v>
      </c>
      <c r="B26" s="93"/>
      <c r="C26" s="93"/>
      <c r="D26" s="93"/>
      <c r="E26" s="94"/>
      <c r="F26" s="28">
        <v>0</v>
      </c>
      <c r="G26" s="29" t="s">
        <v>52</v>
      </c>
      <c r="H26" s="29" t="s">
        <v>52</v>
      </c>
      <c r="I26" s="28">
        <f t="shared" si="0"/>
        <v>0</v>
      </c>
    </row>
    <row r="27" spans="1:9" x14ac:dyDescent="0.25">
      <c r="A27" s="95" t="s">
        <v>1211</v>
      </c>
      <c r="B27" s="96"/>
      <c r="C27" s="96"/>
      <c r="D27" s="96"/>
      <c r="E27" s="97"/>
      <c r="F27" s="30" t="s">
        <v>52</v>
      </c>
      <c r="G27" s="31" t="s">
        <v>52</v>
      </c>
      <c r="H27" s="31" t="s">
        <v>52</v>
      </c>
      <c r="I27" s="32">
        <f>SUM(I21:I26)</f>
        <v>0</v>
      </c>
    </row>
    <row r="29" spans="1:9" ht="15.75" x14ac:dyDescent="0.25">
      <c r="A29" s="98" t="s">
        <v>1212</v>
      </c>
      <c r="B29" s="99"/>
      <c r="C29" s="99"/>
      <c r="D29" s="99"/>
      <c r="E29" s="100"/>
      <c r="F29" s="101">
        <f>I18+I27</f>
        <v>0</v>
      </c>
      <c r="G29" s="102"/>
      <c r="H29" s="102"/>
      <c r="I29" s="103"/>
    </row>
    <row r="33" spans="1:9" ht="15.75" x14ac:dyDescent="0.25">
      <c r="A33" s="85" t="s">
        <v>1213</v>
      </c>
      <c r="B33" s="85"/>
      <c r="C33" s="85"/>
      <c r="D33" s="85"/>
      <c r="E33" s="85"/>
    </row>
    <row r="34" spans="1:9" x14ac:dyDescent="0.25">
      <c r="A34" s="86" t="s">
        <v>1214</v>
      </c>
      <c r="B34" s="87"/>
      <c r="C34" s="87"/>
      <c r="D34" s="87"/>
      <c r="E34" s="88"/>
      <c r="F34" s="25" t="s">
        <v>1208</v>
      </c>
      <c r="G34" s="25" t="s">
        <v>372</v>
      </c>
      <c r="H34" s="25" t="s">
        <v>1209</v>
      </c>
      <c r="I34" s="25" t="s">
        <v>1208</v>
      </c>
    </row>
    <row r="35" spans="1:9" x14ac:dyDescent="0.25">
      <c r="A35" s="92" t="s">
        <v>52</v>
      </c>
      <c r="B35" s="93"/>
      <c r="C35" s="93"/>
      <c r="D35" s="93"/>
      <c r="E35" s="94"/>
      <c r="F35" s="28">
        <v>0</v>
      </c>
      <c r="G35" s="29" t="s">
        <v>52</v>
      </c>
      <c r="H35" s="29" t="s">
        <v>52</v>
      </c>
      <c r="I35" s="28">
        <f>F35</f>
        <v>0</v>
      </c>
    </row>
    <row r="36" spans="1:9" x14ac:dyDescent="0.25">
      <c r="A36" s="95" t="s">
        <v>1215</v>
      </c>
      <c r="B36" s="96"/>
      <c r="C36" s="96"/>
      <c r="D36" s="96"/>
      <c r="E36" s="97"/>
      <c r="F36" s="30" t="s">
        <v>52</v>
      </c>
      <c r="G36" s="31" t="s">
        <v>52</v>
      </c>
      <c r="H36" s="31" t="s">
        <v>52</v>
      </c>
      <c r="I36" s="32">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46" t="s">
        <v>1226</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47</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2" spans="1:9" ht="23.25" x14ac:dyDescent="0.25">
      <c r="A12" s="52" t="s">
        <v>1165</v>
      </c>
      <c r="B12" s="52"/>
      <c r="C12" s="52"/>
      <c r="D12" s="52"/>
      <c r="E12" s="52"/>
      <c r="F12" s="52"/>
      <c r="G12" s="52"/>
      <c r="H12" s="52"/>
      <c r="I12" s="52"/>
    </row>
    <row r="13" spans="1:9" ht="26.25" customHeight="1" x14ac:dyDescent="0.25">
      <c r="A13" s="12" t="s">
        <v>1166</v>
      </c>
      <c r="B13" s="53" t="s">
        <v>1167</v>
      </c>
      <c r="C13" s="54"/>
      <c r="D13" s="13" t="s">
        <v>1168</v>
      </c>
      <c r="E13" s="53" t="s">
        <v>1169</v>
      </c>
      <c r="F13" s="54"/>
      <c r="G13" s="13" t="s">
        <v>1170</v>
      </c>
      <c r="H13" s="53" t="s">
        <v>1171</v>
      </c>
      <c r="I13" s="54"/>
    </row>
    <row r="14" spans="1:9" ht="15.75" x14ac:dyDescent="0.25">
      <c r="A14" s="14" t="s">
        <v>1172</v>
      </c>
      <c r="B14" s="15" t="s">
        <v>1173</v>
      </c>
      <c r="C14" s="16">
        <f>SUMIF('Stavební rozpočet'!AI12:AI744,"05",'Stavební rozpočet'!AB12:AB744)</f>
        <v>0</v>
      </c>
      <c r="D14" s="61" t="s">
        <v>1174</v>
      </c>
      <c r="E14" s="62"/>
      <c r="F14" s="16">
        <f>'VORN objektu (05)'!I15</f>
        <v>0</v>
      </c>
      <c r="G14" s="61" t="s">
        <v>1175</v>
      </c>
      <c r="H14" s="62"/>
      <c r="I14" s="17">
        <f>'VORN objektu (05)'!I21</f>
        <v>0</v>
      </c>
    </row>
    <row r="15" spans="1:9" ht="15.75" x14ac:dyDescent="0.25">
      <c r="A15" s="18" t="s">
        <v>52</v>
      </c>
      <c r="B15" s="15" t="s">
        <v>37</v>
      </c>
      <c r="C15" s="16">
        <f>SUMIF('Stavební rozpočet'!AI12:AI744,"05",'Stavební rozpočet'!AC12:AC744)</f>
        <v>0</v>
      </c>
      <c r="D15" s="61" t="s">
        <v>1176</v>
      </c>
      <c r="E15" s="62"/>
      <c r="F15" s="16">
        <f>'VORN objektu (05)'!I16</f>
        <v>0</v>
      </c>
      <c r="G15" s="61" t="s">
        <v>1177</v>
      </c>
      <c r="H15" s="62"/>
      <c r="I15" s="17">
        <f>'VORN objektu (05)'!I22</f>
        <v>0</v>
      </c>
    </row>
    <row r="16" spans="1:9" ht="15.75" x14ac:dyDescent="0.25">
      <c r="A16" s="14" t="s">
        <v>1178</v>
      </c>
      <c r="B16" s="15" t="s">
        <v>1173</v>
      </c>
      <c r="C16" s="16">
        <f>SUMIF('Stavební rozpočet'!AI12:AI744,"05",'Stavební rozpočet'!AD12:AD744)</f>
        <v>0</v>
      </c>
      <c r="D16" s="61" t="s">
        <v>1179</v>
      </c>
      <c r="E16" s="62"/>
      <c r="F16" s="16">
        <f>'VORN objektu (05)'!I17</f>
        <v>0</v>
      </c>
      <c r="G16" s="61" t="s">
        <v>1180</v>
      </c>
      <c r="H16" s="62"/>
      <c r="I16" s="17">
        <f>'VORN objektu (05)'!I23</f>
        <v>0</v>
      </c>
    </row>
    <row r="17" spans="1:9" ht="15.75" x14ac:dyDescent="0.25">
      <c r="A17" s="18" t="s">
        <v>52</v>
      </c>
      <c r="B17" s="15" t="s">
        <v>37</v>
      </c>
      <c r="C17" s="16">
        <f>SUMIF('Stavební rozpočet'!AI12:AI744,"05",'Stavební rozpočet'!AE12:AE744)</f>
        <v>0</v>
      </c>
      <c r="D17" s="61" t="s">
        <v>52</v>
      </c>
      <c r="E17" s="62"/>
      <c r="F17" s="17" t="s">
        <v>52</v>
      </c>
      <c r="G17" s="61" t="s">
        <v>1181</v>
      </c>
      <c r="H17" s="62"/>
      <c r="I17" s="17">
        <f>'VORN objektu (05)'!I24</f>
        <v>0</v>
      </c>
    </row>
    <row r="18" spans="1:9" ht="15.75" x14ac:dyDescent="0.25">
      <c r="A18" s="14" t="s">
        <v>1182</v>
      </c>
      <c r="B18" s="15" t="s">
        <v>1173</v>
      </c>
      <c r="C18" s="16">
        <f>SUMIF('Stavební rozpočet'!AI12:AI744,"05",'Stavební rozpočet'!AF12:AF744)</f>
        <v>0</v>
      </c>
      <c r="D18" s="61" t="s">
        <v>52</v>
      </c>
      <c r="E18" s="62"/>
      <c r="F18" s="17" t="s">
        <v>52</v>
      </c>
      <c r="G18" s="61" t="s">
        <v>1183</v>
      </c>
      <c r="H18" s="62"/>
      <c r="I18" s="17">
        <f>'VORN objektu (05)'!I25</f>
        <v>0</v>
      </c>
    </row>
    <row r="19" spans="1:9" ht="15.75" x14ac:dyDescent="0.25">
      <c r="A19" s="18" t="s">
        <v>52</v>
      </c>
      <c r="B19" s="15" t="s">
        <v>37</v>
      </c>
      <c r="C19" s="16">
        <f>SUMIF('Stavební rozpočet'!AI12:AI744,"05",'Stavební rozpočet'!AG12:AG744)</f>
        <v>0</v>
      </c>
      <c r="D19" s="61" t="s">
        <v>52</v>
      </c>
      <c r="E19" s="62"/>
      <c r="F19" s="17" t="s">
        <v>52</v>
      </c>
      <c r="G19" s="61" t="s">
        <v>1184</v>
      </c>
      <c r="H19" s="62"/>
      <c r="I19" s="17">
        <f>'VORN objektu (05)'!I26</f>
        <v>0</v>
      </c>
    </row>
    <row r="20" spans="1:9" ht="15.75" x14ac:dyDescent="0.25">
      <c r="A20" s="55" t="s">
        <v>1185</v>
      </c>
      <c r="B20" s="56"/>
      <c r="C20" s="16">
        <f>SUMIF('Stavební rozpočet'!AI12:AI744,"05",'Stavební rozpočet'!AH12:AH744)</f>
        <v>0</v>
      </c>
      <c r="D20" s="61" t="s">
        <v>52</v>
      </c>
      <c r="E20" s="62"/>
      <c r="F20" s="17" t="s">
        <v>52</v>
      </c>
      <c r="G20" s="61" t="s">
        <v>52</v>
      </c>
      <c r="H20" s="62"/>
      <c r="I20" s="17" t="s">
        <v>52</v>
      </c>
    </row>
    <row r="21" spans="1:9" ht="15.75" x14ac:dyDescent="0.25">
      <c r="A21" s="57" t="s">
        <v>1186</v>
      </c>
      <c r="B21" s="58"/>
      <c r="C21" s="16">
        <f>SUMIF('Stavební rozpočet'!AI12:AI744,"05",'Stavební rozpočet'!Z12:Z744)</f>
        <v>0</v>
      </c>
      <c r="D21" s="63" t="s">
        <v>52</v>
      </c>
      <c r="E21" s="64"/>
      <c r="F21" s="20" t="s">
        <v>52</v>
      </c>
      <c r="G21" s="63" t="s">
        <v>52</v>
      </c>
      <c r="H21" s="64"/>
      <c r="I21" s="20" t="s">
        <v>52</v>
      </c>
    </row>
    <row r="22" spans="1:9" ht="16.5" customHeight="1" x14ac:dyDescent="0.25">
      <c r="A22" s="59" t="s">
        <v>1187</v>
      </c>
      <c r="B22" s="60"/>
      <c r="C22" s="16">
        <f>SUM(C14:C21)</f>
        <v>0</v>
      </c>
      <c r="D22" s="65" t="s">
        <v>1188</v>
      </c>
      <c r="E22" s="60"/>
      <c r="F22" s="21">
        <f>SUM(F14:F21)</f>
        <v>0</v>
      </c>
      <c r="G22" s="65" t="s">
        <v>1189</v>
      </c>
      <c r="H22" s="60"/>
      <c r="I22" s="21">
        <f>SUM(I14:I21)</f>
        <v>0</v>
      </c>
    </row>
    <row r="23" spans="1:9" ht="15.75" x14ac:dyDescent="0.25">
      <c r="G23" s="55" t="s">
        <v>1192</v>
      </c>
      <c r="H23" s="56"/>
      <c r="I23" s="16">
        <f>'VORN objektu (05)'!I36</f>
        <v>0</v>
      </c>
    </row>
    <row r="25" spans="1:9" ht="15.75" x14ac:dyDescent="0.25">
      <c r="A25" s="67" t="s">
        <v>1194</v>
      </c>
      <c r="B25" s="68"/>
      <c r="C25" s="22">
        <f>('Stavební rozpočet'!AS550+'Stavební rozpočet'!AS555+'Stavební rozpočet'!AS595)</f>
        <v>0</v>
      </c>
    </row>
    <row r="26" spans="1:9" ht="15.75" x14ac:dyDescent="0.25">
      <c r="A26" s="69" t="s">
        <v>1195</v>
      </c>
      <c r="B26" s="70"/>
      <c r="C26" s="23">
        <f>('Stavební rozpočet'!AT550+'Stavební rozpočet'!AT555+'Stavební rozpočet'!AT595)</f>
        <v>0</v>
      </c>
      <c r="D26" s="71" t="s">
        <v>1196</v>
      </c>
      <c r="E26" s="68"/>
      <c r="F26" s="22">
        <f>ROUND(C26*(12/100),2)</f>
        <v>0</v>
      </c>
      <c r="G26" s="71" t="s">
        <v>1197</v>
      </c>
      <c r="H26" s="68"/>
      <c r="I26" s="22">
        <f>SUM(C25:C27)</f>
        <v>0</v>
      </c>
    </row>
    <row r="27" spans="1:9" ht="15.75" x14ac:dyDescent="0.25">
      <c r="A27" s="69" t="s">
        <v>1198</v>
      </c>
      <c r="B27" s="70"/>
      <c r="C27" s="23">
        <f>('Stavební rozpočet'!AU550+'Stavební rozpočet'!AU555+'Stavební rozpočet'!AU595)+(F22+I22+F23+I23+I24)</f>
        <v>0</v>
      </c>
      <c r="D27" s="72" t="s">
        <v>1199</v>
      </c>
      <c r="E27" s="70"/>
      <c r="F27" s="23">
        <f>ROUND(C27*(21/100),2)</f>
        <v>0</v>
      </c>
      <c r="G27" s="72" t="s">
        <v>1200</v>
      </c>
      <c r="H27" s="70"/>
      <c r="I27" s="23">
        <f>SUM(F26:F27)+I26</f>
        <v>0</v>
      </c>
    </row>
    <row r="29" spans="1:9" x14ac:dyDescent="0.25">
      <c r="A29" s="73" t="s">
        <v>1201</v>
      </c>
      <c r="B29" s="74"/>
      <c r="C29" s="75"/>
      <c r="D29" s="82" t="s">
        <v>1202</v>
      </c>
      <c r="E29" s="74"/>
      <c r="F29" s="75"/>
      <c r="G29" s="82" t="s">
        <v>1203</v>
      </c>
      <c r="H29" s="74"/>
      <c r="I29" s="75"/>
    </row>
    <row r="30" spans="1:9" x14ac:dyDescent="0.25">
      <c r="A30" s="76" t="s">
        <v>52</v>
      </c>
      <c r="B30" s="77"/>
      <c r="C30" s="78"/>
      <c r="D30" s="83" t="s">
        <v>52</v>
      </c>
      <c r="E30" s="77"/>
      <c r="F30" s="78"/>
      <c r="G30" s="83" t="s">
        <v>52</v>
      </c>
      <c r="H30" s="77"/>
      <c r="I30" s="78"/>
    </row>
    <row r="31" spans="1:9" x14ac:dyDescent="0.25">
      <c r="A31" s="76" t="s">
        <v>52</v>
      </c>
      <c r="B31" s="77"/>
      <c r="C31" s="78"/>
      <c r="D31" s="83" t="s">
        <v>52</v>
      </c>
      <c r="E31" s="77"/>
      <c r="F31" s="78"/>
      <c r="G31" s="83" t="s">
        <v>52</v>
      </c>
      <c r="H31" s="77"/>
      <c r="I31" s="78"/>
    </row>
    <row r="32" spans="1:9" x14ac:dyDescent="0.25">
      <c r="A32" s="76" t="s">
        <v>52</v>
      </c>
      <c r="B32" s="77"/>
      <c r="C32" s="78"/>
      <c r="D32" s="83" t="s">
        <v>52</v>
      </c>
      <c r="E32" s="77"/>
      <c r="F32" s="78"/>
      <c r="G32" s="83" t="s">
        <v>52</v>
      </c>
      <c r="H32" s="77"/>
      <c r="I32" s="78"/>
    </row>
    <row r="33" spans="1:9" x14ac:dyDescent="0.25">
      <c r="A33" s="79" t="s">
        <v>1204</v>
      </c>
      <c r="B33" s="80"/>
      <c r="C33" s="81"/>
      <c r="D33" s="84" t="s">
        <v>1204</v>
      </c>
      <c r="E33" s="80"/>
      <c r="F33" s="81"/>
      <c r="G33" s="84" t="s">
        <v>1204</v>
      </c>
      <c r="H33" s="80"/>
      <c r="I33" s="81"/>
    </row>
    <row r="34" spans="1:9" x14ac:dyDescent="0.25">
      <c r="A34" s="24" t="s">
        <v>140</v>
      </c>
    </row>
    <row r="35" spans="1:9" ht="12.75" customHeight="1" x14ac:dyDescent="0.25">
      <c r="A35" s="40" t="s">
        <v>52</v>
      </c>
      <c r="B35" s="37"/>
      <c r="C35" s="37"/>
      <c r="D35" s="37"/>
      <c r="E35" s="37"/>
      <c r="F35" s="37"/>
      <c r="G35" s="37"/>
      <c r="H35" s="37"/>
      <c r="I35" s="37"/>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46" t="s">
        <v>1227</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47</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3" spans="1:9" ht="15.75" x14ac:dyDescent="0.25">
      <c r="A13" s="85" t="s">
        <v>1206</v>
      </c>
      <c r="B13" s="85"/>
      <c r="C13" s="85"/>
      <c r="D13" s="85"/>
      <c r="E13" s="85"/>
    </row>
    <row r="14" spans="1:9" x14ac:dyDescent="0.25">
      <c r="A14" s="86" t="s">
        <v>1207</v>
      </c>
      <c r="B14" s="87"/>
      <c r="C14" s="87"/>
      <c r="D14" s="87"/>
      <c r="E14" s="88"/>
      <c r="F14" s="25" t="s">
        <v>1208</v>
      </c>
      <c r="G14" s="25" t="s">
        <v>372</v>
      </c>
      <c r="H14" s="25" t="s">
        <v>1209</v>
      </c>
      <c r="I14" s="25" t="s">
        <v>1208</v>
      </c>
    </row>
    <row r="15" spans="1:9" x14ac:dyDescent="0.25">
      <c r="A15" s="89" t="s">
        <v>1174</v>
      </c>
      <c r="B15" s="90"/>
      <c r="C15" s="90"/>
      <c r="D15" s="90"/>
      <c r="E15" s="91"/>
      <c r="F15" s="26">
        <v>0</v>
      </c>
      <c r="G15" s="27" t="s">
        <v>52</v>
      </c>
      <c r="H15" s="27" t="s">
        <v>52</v>
      </c>
      <c r="I15" s="26">
        <f>F15</f>
        <v>0</v>
      </c>
    </row>
    <row r="16" spans="1:9" x14ac:dyDescent="0.25">
      <c r="A16" s="89" t="s">
        <v>1176</v>
      </c>
      <c r="B16" s="90"/>
      <c r="C16" s="90"/>
      <c r="D16" s="90"/>
      <c r="E16" s="91"/>
      <c r="F16" s="26">
        <v>0</v>
      </c>
      <c r="G16" s="27" t="s">
        <v>52</v>
      </c>
      <c r="H16" s="27" t="s">
        <v>52</v>
      </c>
      <c r="I16" s="26">
        <f>F16</f>
        <v>0</v>
      </c>
    </row>
    <row r="17" spans="1:9" x14ac:dyDescent="0.25">
      <c r="A17" s="92" t="s">
        <v>1179</v>
      </c>
      <c r="B17" s="93"/>
      <c r="C17" s="93"/>
      <c r="D17" s="93"/>
      <c r="E17" s="94"/>
      <c r="F17" s="28">
        <v>0</v>
      </c>
      <c r="G17" s="29" t="s">
        <v>52</v>
      </c>
      <c r="H17" s="29" t="s">
        <v>52</v>
      </c>
      <c r="I17" s="28">
        <f>F17</f>
        <v>0</v>
      </c>
    </row>
    <row r="18" spans="1:9" x14ac:dyDescent="0.25">
      <c r="A18" s="95" t="s">
        <v>1210</v>
      </c>
      <c r="B18" s="96"/>
      <c r="C18" s="96"/>
      <c r="D18" s="96"/>
      <c r="E18" s="97"/>
      <c r="F18" s="30" t="s">
        <v>52</v>
      </c>
      <c r="G18" s="31" t="s">
        <v>52</v>
      </c>
      <c r="H18" s="31" t="s">
        <v>52</v>
      </c>
      <c r="I18" s="32">
        <f>SUM(I15:I17)</f>
        <v>0</v>
      </c>
    </row>
    <row r="20" spans="1:9" x14ac:dyDescent="0.25">
      <c r="A20" s="86" t="s">
        <v>1171</v>
      </c>
      <c r="B20" s="87"/>
      <c r="C20" s="87"/>
      <c r="D20" s="87"/>
      <c r="E20" s="88"/>
      <c r="F20" s="25" t="s">
        <v>1208</v>
      </c>
      <c r="G20" s="25" t="s">
        <v>372</v>
      </c>
      <c r="H20" s="25" t="s">
        <v>1209</v>
      </c>
      <c r="I20" s="25" t="s">
        <v>1208</v>
      </c>
    </row>
    <row r="21" spans="1:9" x14ac:dyDescent="0.25">
      <c r="A21" s="89" t="s">
        <v>1175</v>
      </c>
      <c r="B21" s="90"/>
      <c r="C21" s="90"/>
      <c r="D21" s="90"/>
      <c r="E21" s="91"/>
      <c r="F21" s="26">
        <v>0</v>
      </c>
      <c r="G21" s="27" t="s">
        <v>52</v>
      </c>
      <c r="H21" s="27" t="s">
        <v>52</v>
      </c>
      <c r="I21" s="26">
        <f t="shared" ref="I21:I26" si="0">F21</f>
        <v>0</v>
      </c>
    </row>
    <row r="22" spans="1:9" x14ac:dyDescent="0.25">
      <c r="A22" s="89" t="s">
        <v>1177</v>
      </c>
      <c r="B22" s="90"/>
      <c r="C22" s="90"/>
      <c r="D22" s="90"/>
      <c r="E22" s="91"/>
      <c r="F22" s="26">
        <v>0</v>
      </c>
      <c r="G22" s="27" t="s">
        <v>52</v>
      </c>
      <c r="H22" s="27" t="s">
        <v>52</v>
      </c>
      <c r="I22" s="26">
        <f t="shared" si="0"/>
        <v>0</v>
      </c>
    </row>
    <row r="23" spans="1:9" x14ac:dyDescent="0.25">
      <c r="A23" s="89" t="s">
        <v>1180</v>
      </c>
      <c r="B23" s="90"/>
      <c r="C23" s="90"/>
      <c r="D23" s="90"/>
      <c r="E23" s="91"/>
      <c r="F23" s="26">
        <v>0</v>
      </c>
      <c r="G23" s="27" t="s">
        <v>52</v>
      </c>
      <c r="H23" s="27" t="s">
        <v>52</v>
      </c>
      <c r="I23" s="26">
        <f t="shared" si="0"/>
        <v>0</v>
      </c>
    </row>
    <row r="24" spans="1:9" x14ac:dyDescent="0.25">
      <c r="A24" s="89" t="s">
        <v>1181</v>
      </c>
      <c r="B24" s="90"/>
      <c r="C24" s="90"/>
      <c r="D24" s="90"/>
      <c r="E24" s="91"/>
      <c r="F24" s="26">
        <v>0</v>
      </c>
      <c r="G24" s="27" t="s">
        <v>52</v>
      </c>
      <c r="H24" s="27" t="s">
        <v>52</v>
      </c>
      <c r="I24" s="26">
        <f t="shared" si="0"/>
        <v>0</v>
      </c>
    </row>
    <row r="25" spans="1:9" x14ac:dyDescent="0.25">
      <c r="A25" s="89" t="s">
        <v>1183</v>
      </c>
      <c r="B25" s="90"/>
      <c r="C25" s="90"/>
      <c r="D25" s="90"/>
      <c r="E25" s="91"/>
      <c r="F25" s="26">
        <v>0</v>
      </c>
      <c r="G25" s="27" t="s">
        <v>52</v>
      </c>
      <c r="H25" s="27" t="s">
        <v>52</v>
      </c>
      <c r="I25" s="26">
        <f t="shared" si="0"/>
        <v>0</v>
      </c>
    </row>
    <row r="26" spans="1:9" x14ac:dyDescent="0.25">
      <c r="A26" s="92" t="s">
        <v>1184</v>
      </c>
      <c r="B26" s="93"/>
      <c r="C26" s="93"/>
      <c r="D26" s="93"/>
      <c r="E26" s="94"/>
      <c r="F26" s="28">
        <v>0</v>
      </c>
      <c r="G26" s="29" t="s">
        <v>52</v>
      </c>
      <c r="H26" s="29" t="s">
        <v>52</v>
      </c>
      <c r="I26" s="28">
        <f t="shared" si="0"/>
        <v>0</v>
      </c>
    </row>
    <row r="27" spans="1:9" x14ac:dyDescent="0.25">
      <c r="A27" s="95" t="s">
        <v>1211</v>
      </c>
      <c r="B27" s="96"/>
      <c r="C27" s="96"/>
      <c r="D27" s="96"/>
      <c r="E27" s="97"/>
      <c r="F27" s="30" t="s">
        <v>52</v>
      </c>
      <c r="G27" s="31" t="s">
        <v>52</v>
      </c>
      <c r="H27" s="31" t="s">
        <v>52</v>
      </c>
      <c r="I27" s="32">
        <f>SUM(I21:I26)</f>
        <v>0</v>
      </c>
    </row>
    <row r="29" spans="1:9" ht="15.75" x14ac:dyDescent="0.25">
      <c r="A29" s="98" t="s">
        <v>1212</v>
      </c>
      <c r="B29" s="99"/>
      <c r="C29" s="99"/>
      <c r="D29" s="99"/>
      <c r="E29" s="100"/>
      <c r="F29" s="101">
        <f>I18+I27</f>
        <v>0</v>
      </c>
      <c r="G29" s="102"/>
      <c r="H29" s="102"/>
      <c r="I29" s="103"/>
    </row>
    <row r="33" spans="1:9" ht="15.75" x14ac:dyDescent="0.25">
      <c r="A33" s="85" t="s">
        <v>1213</v>
      </c>
      <c r="B33" s="85"/>
      <c r="C33" s="85"/>
      <c r="D33" s="85"/>
      <c r="E33" s="85"/>
    </row>
    <row r="34" spans="1:9" x14ac:dyDescent="0.25">
      <c r="A34" s="86" t="s">
        <v>1214</v>
      </c>
      <c r="B34" s="87"/>
      <c r="C34" s="87"/>
      <c r="D34" s="87"/>
      <c r="E34" s="88"/>
      <c r="F34" s="25" t="s">
        <v>1208</v>
      </c>
      <c r="G34" s="25" t="s">
        <v>372</v>
      </c>
      <c r="H34" s="25" t="s">
        <v>1209</v>
      </c>
      <c r="I34" s="25" t="s">
        <v>1208</v>
      </c>
    </row>
    <row r="35" spans="1:9" x14ac:dyDescent="0.25">
      <c r="A35" s="92" t="s">
        <v>52</v>
      </c>
      <c r="B35" s="93"/>
      <c r="C35" s="93"/>
      <c r="D35" s="93"/>
      <c r="E35" s="94"/>
      <c r="F35" s="28">
        <v>0</v>
      </c>
      <c r="G35" s="29" t="s">
        <v>52</v>
      </c>
      <c r="H35" s="29" t="s">
        <v>52</v>
      </c>
      <c r="I35" s="28">
        <f>F35</f>
        <v>0</v>
      </c>
    </row>
    <row r="36" spans="1:9" x14ac:dyDescent="0.25">
      <c r="A36" s="95" t="s">
        <v>1215</v>
      </c>
      <c r="B36" s="96"/>
      <c r="C36" s="96"/>
      <c r="D36" s="96"/>
      <c r="E36" s="97"/>
      <c r="F36" s="30" t="s">
        <v>52</v>
      </c>
      <c r="G36" s="31" t="s">
        <v>52</v>
      </c>
      <c r="H36" s="31" t="s">
        <v>52</v>
      </c>
      <c r="I36" s="32">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46" t="s">
        <v>1228</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15</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2" spans="1:9" ht="23.25" x14ac:dyDescent="0.25">
      <c r="A12" s="52" t="s">
        <v>1165</v>
      </c>
      <c r="B12" s="52"/>
      <c r="C12" s="52"/>
      <c r="D12" s="52"/>
      <c r="E12" s="52"/>
      <c r="F12" s="52"/>
      <c r="G12" s="52"/>
      <c r="H12" s="52"/>
      <c r="I12" s="52"/>
    </row>
    <row r="13" spans="1:9" ht="26.25" customHeight="1" x14ac:dyDescent="0.25">
      <c r="A13" s="12" t="s">
        <v>1166</v>
      </c>
      <c r="B13" s="53" t="s">
        <v>1167</v>
      </c>
      <c r="C13" s="54"/>
      <c r="D13" s="13" t="s">
        <v>1168</v>
      </c>
      <c r="E13" s="53" t="s">
        <v>1169</v>
      </c>
      <c r="F13" s="54"/>
      <c r="G13" s="13" t="s">
        <v>1170</v>
      </c>
      <c r="H13" s="53" t="s">
        <v>1171</v>
      </c>
      <c r="I13" s="54"/>
    </row>
    <row r="14" spans="1:9" ht="15.75" x14ac:dyDescent="0.25">
      <c r="A14" s="14" t="s">
        <v>1172</v>
      </c>
      <c r="B14" s="15" t="s">
        <v>1173</v>
      </c>
      <c r="C14" s="16">
        <f>SUMIF('Stavební rozpočet'!AI12:AI744,"06",'Stavební rozpočet'!AB12:AB744)</f>
        <v>0</v>
      </c>
      <c r="D14" s="61" t="s">
        <v>1174</v>
      </c>
      <c r="E14" s="62"/>
      <c r="F14" s="16">
        <f>'VORN objektu (06)'!I15</f>
        <v>0</v>
      </c>
      <c r="G14" s="61" t="s">
        <v>1175</v>
      </c>
      <c r="H14" s="62"/>
      <c r="I14" s="17">
        <f>'VORN objektu (06)'!I21</f>
        <v>0</v>
      </c>
    </row>
    <row r="15" spans="1:9" ht="15.75" x14ac:dyDescent="0.25">
      <c r="A15" s="18" t="s">
        <v>52</v>
      </c>
      <c r="B15" s="15" t="s">
        <v>37</v>
      </c>
      <c r="C15" s="16">
        <f>SUMIF('Stavební rozpočet'!AI12:AI744,"06",'Stavební rozpočet'!AC12:AC744)</f>
        <v>0</v>
      </c>
      <c r="D15" s="61" t="s">
        <v>1176</v>
      </c>
      <c r="E15" s="62"/>
      <c r="F15" s="16">
        <f>'VORN objektu (06)'!I16</f>
        <v>0</v>
      </c>
      <c r="G15" s="61" t="s">
        <v>1177</v>
      </c>
      <c r="H15" s="62"/>
      <c r="I15" s="17">
        <f>'VORN objektu (06)'!I22</f>
        <v>0</v>
      </c>
    </row>
    <row r="16" spans="1:9" ht="15.75" x14ac:dyDescent="0.25">
      <c r="A16" s="14" t="s">
        <v>1178</v>
      </c>
      <c r="B16" s="15" t="s">
        <v>1173</v>
      </c>
      <c r="C16" s="16">
        <f>SUMIF('Stavební rozpočet'!AI12:AI744,"06",'Stavební rozpočet'!AD12:AD744)</f>
        <v>0</v>
      </c>
      <c r="D16" s="61" t="s">
        <v>1179</v>
      </c>
      <c r="E16" s="62"/>
      <c r="F16" s="16">
        <f>'VORN objektu (06)'!I17</f>
        <v>0</v>
      </c>
      <c r="G16" s="61" t="s">
        <v>1180</v>
      </c>
      <c r="H16" s="62"/>
      <c r="I16" s="17">
        <f>'VORN objektu (06)'!I23</f>
        <v>0</v>
      </c>
    </row>
    <row r="17" spans="1:9" ht="15.75" x14ac:dyDescent="0.25">
      <c r="A17" s="18" t="s">
        <v>52</v>
      </c>
      <c r="B17" s="15" t="s">
        <v>37</v>
      </c>
      <c r="C17" s="16">
        <f>SUMIF('Stavební rozpočet'!AI12:AI744,"06",'Stavební rozpočet'!AE12:AE744)</f>
        <v>0</v>
      </c>
      <c r="D17" s="61" t="s">
        <v>52</v>
      </c>
      <c r="E17" s="62"/>
      <c r="F17" s="17" t="s">
        <v>52</v>
      </c>
      <c r="G17" s="61" t="s">
        <v>1181</v>
      </c>
      <c r="H17" s="62"/>
      <c r="I17" s="17">
        <f>'VORN objektu (06)'!I24</f>
        <v>0</v>
      </c>
    </row>
    <row r="18" spans="1:9" ht="15.75" x14ac:dyDescent="0.25">
      <c r="A18" s="14" t="s">
        <v>1182</v>
      </c>
      <c r="B18" s="15" t="s">
        <v>1173</v>
      </c>
      <c r="C18" s="16">
        <f>SUMIF('Stavební rozpočet'!AI12:AI744,"06",'Stavební rozpočet'!AF12:AF744)</f>
        <v>0</v>
      </c>
      <c r="D18" s="61" t="s">
        <v>52</v>
      </c>
      <c r="E18" s="62"/>
      <c r="F18" s="17" t="s">
        <v>52</v>
      </c>
      <c r="G18" s="61" t="s">
        <v>1183</v>
      </c>
      <c r="H18" s="62"/>
      <c r="I18" s="17">
        <f>'VORN objektu (06)'!I25</f>
        <v>0</v>
      </c>
    </row>
    <row r="19" spans="1:9" ht="15.75" x14ac:dyDescent="0.25">
      <c r="A19" s="18" t="s">
        <v>52</v>
      </c>
      <c r="B19" s="15" t="s">
        <v>37</v>
      </c>
      <c r="C19" s="16">
        <f>SUMIF('Stavební rozpočet'!AI12:AI744,"06",'Stavební rozpočet'!AG12:AG744)</f>
        <v>0</v>
      </c>
      <c r="D19" s="61" t="s">
        <v>52</v>
      </c>
      <c r="E19" s="62"/>
      <c r="F19" s="17" t="s">
        <v>52</v>
      </c>
      <c r="G19" s="61" t="s">
        <v>1184</v>
      </c>
      <c r="H19" s="62"/>
      <c r="I19" s="17">
        <f>'VORN objektu (06)'!I26</f>
        <v>0</v>
      </c>
    </row>
    <row r="20" spans="1:9" ht="15.75" x14ac:dyDescent="0.25">
      <c r="A20" s="55" t="s">
        <v>1185</v>
      </c>
      <c r="B20" s="56"/>
      <c r="C20" s="16">
        <f>SUMIF('Stavební rozpočet'!AI12:AI744,"06",'Stavební rozpočet'!AH12:AH744)</f>
        <v>0</v>
      </c>
      <c r="D20" s="61" t="s">
        <v>52</v>
      </c>
      <c r="E20" s="62"/>
      <c r="F20" s="17" t="s">
        <v>52</v>
      </c>
      <c r="G20" s="61" t="s">
        <v>52</v>
      </c>
      <c r="H20" s="62"/>
      <c r="I20" s="17" t="s">
        <v>52</v>
      </c>
    </row>
    <row r="21" spans="1:9" ht="15.75" x14ac:dyDescent="0.25">
      <c r="A21" s="57" t="s">
        <v>1186</v>
      </c>
      <c r="B21" s="58"/>
      <c r="C21" s="16">
        <f>SUMIF('Stavební rozpočet'!AI12:AI744,"06",'Stavební rozpočet'!Z12:Z744)</f>
        <v>0</v>
      </c>
      <c r="D21" s="63" t="s">
        <v>52</v>
      </c>
      <c r="E21" s="64"/>
      <c r="F21" s="20" t="s">
        <v>52</v>
      </c>
      <c r="G21" s="63" t="s">
        <v>52</v>
      </c>
      <c r="H21" s="64"/>
      <c r="I21" s="20" t="s">
        <v>52</v>
      </c>
    </row>
    <row r="22" spans="1:9" ht="16.5" customHeight="1" x14ac:dyDescent="0.25">
      <c r="A22" s="59" t="s">
        <v>1187</v>
      </c>
      <c r="B22" s="60"/>
      <c r="C22" s="16">
        <f>SUM(C14:C21)</f>
        <v>0</v>
      </c>
      <c r="D22" s="65" t="s">
        <v>1188</v>
      </c>
      <c r="E22" s="60"/>
      <c r="F22" s="21">
        <f>SUM(F14:F21)</f>
        <v>0</v>
      </c>
      <c r="G22" s="65" t="s">
        <v>1189</v>
      </c>
      <c r="H22" s="60"/>
      <c r="I22" s="21">
        <f>SUM(I14:I21)</f>
        <v>0</v>
      </c>
    </row>
    <row r="23" spans="1:9" ht="15.75" x14ac:dyDescent="0.25">
      <c r="G23" s="55" t="s">
        <v>1192</v>
      </c>
      <c r="H23" s="56"/>
      <c r="I23" s="16">
        <f>'VORN objektu (06)'!I36</f>
        <v>0</v>
      </c>
    </row>
    <row r="25" spans="1:9" ht="15.75" x14ac:dyDescent="0.25">
      <c r="A25" s="67" t="s">
        <v>1194</v>
      </c>
      <c r="B25" s="68"/>
      <c r="C25" s="22">
        <f>('Stavební rozpočet'!AS697+'Stavební rozpočet'!AS702+'Stavební rozpočet'!AS710+'Stavební rozpočet'!AS714+'Stavební rozpočet'!AS720+'Stavební rozpočet'!AS733)</f>
        <v>0</v>
      </c>
    </row>
    <row r="26" spans="1:9" ht="15.75" x14ac:dyDescent="0.25">
      <c r="A26" s="69" t="s">
        <v>1195</v>
      </c>
      <c r="B26" s="70"/>
      <c r="C26" s="23">
        <f>('Stavební rozpočet'!AT697+'Stavební rozpočet'!AT702+'Stavební rozpočet'!AT710+'Stavební rozpočet'!AT714+'Stavební rozpočet'!AT720+'Stavební rozpočet'!AT733)</f>
        <v>0</v>
      </c>
      <c r="D26" s="71" t="s">
        <v>1196</v>
      </c>
      <c r="E26" s="68"/>
      <c r="F26" s="22">
        <f>ROUND(C26*(12/100),2)</f>
        <v>0</v>
      </c>
      <c r="G26" s="71" t="s">
        <v>1197</v>
      </c>
      <c r="H26" s="68"/>
      <c r="I26" s="22">
        <f>SUM(C25:C27)</f>
        <v>0</v>
      </c>
    </row>
    <row r="27" spans="1:9" ht="15.75" x14ac:dyDescent="0.25">
      <c r="A27" s="69" t="s">
        <v>1198</v>
      </c>
      <c r="B27" s="70"/>
      <c r="C27" s="23">
        <f>('Stavební rozpočet'!AU697+'Stavební rozpočet'!AU702+'Stavební rozpočet'!AU710+'Stavební rozpočet'!AU714+'Stavební rozpočet'!AU720+'Stavební rozpočet'!AU733)+(F22+I22+F23+I23+I24)</f>
        <v>0</v>
      </c>
      <c r="D27" s="72" t="s">
        <v>1199</v>
      </c>
      <c r="E27" s="70"/>
      <c r="F27" s="23">
        <f>ROUND(C27*(21/100),2)</f>
        <v>0</v>
      </c>
      <c r="G27" s="72" t="s">
        <v>1200</v>
      </c>
      <c r="H27" s="70"/>
      <c r="I27" s="23">
        <f>SUM(F26:F27)+I26</f>
        <v>0</v>
      </c>
    </row>
    <row r="29" spans="1:9" x14ac:dyDescent="0.25">
      <c r="A29" s="73" t="s">
        <v>1201</v>
      </c>
      <c r="B29" s="74"/>
      <c r="C29" s="75"/>
      <c r="D29" s="82" t="s">
        <v>1202</v>
      </c>
      <c r="E29" s="74"/>
      <c r="F29" s="75"/>
      <c r="G29" s="82" t="s">
        <v>1203</v>
      </c>
      <c r="H29" s="74"/>
      <c r="I29" s="75"/>
    </row>
    <row r="30" spans="1:9" x14ac:dyDescent="0.25">
      <c r="A30" s="76" t="s">
        <v>52</v>
      </c>
      <c r="B30" s="77"/>
      <c r="C30" s="78"/>
      <c r="D30" s="83" t="s">
        <v>52</v>
      </c>
      <c r="E30" s="77"/>
      <c r="F30" s="78"/>
      <c r="G30" s="83" t="s">
        <v>52</v>
      </c>
      <c r="H30" s="77"/>
      <c r="I30" s="78"/>
    </row>
    <row r="31" spans="1:9" x14ac:dyDescent="0.25">
      <c r="A31" s="76" t="s">
        <v>52</v>
      </c>
      <c r="B31" s="77"/>
      <c r="C31" s="78"/>
      <c r="D31" s="83" t="s">
        <v>52</v>
      </c>
      <c r="E31" s="77"/>
      <c r="F31" s="78"/>
      <c r="G31" s="83" t="s">
        <v>52</v>
      </c>
      <c r="H31" s="77"/>
      <c r="I31" s="78"/>
    </row>
    <row r="32" spans="1:9" x14ac:dyDescent="0.25">
      <c r="A32" s="76" t="s">
        <v>52</v>
      </c>
      <c r="B32" s="77"/>
      <c r="C32" s="78"/>
      <c r="D32" s="83" t="s">
        <v>52</v>
      </c>
      <c r="E32" s="77"/>
      <c r="F32" s="78"/>
      <c r="G32" s="83" t="s">
        <v>52</v>
      </c>
      <c r="H32" s="77"/>
      <c r="I32" s="78"/>
    </row>
    <row r="33" spans="1:9" x14ac:dyDescent="0.25">
      <c r="A33" s="79" t="s">
        <v>1204</v>
      </c>
      <c r="B33" s="80"/>
      <c r="C33" s="81"/>
      <c r="D33" s="84" t="s">
        <v>1204</v>
      </c>
      <c r="E33" s="80"/>
      <c r="F33" s="81"/>
      <c r="G33" s="84" t="s">
        <v>1204</v>
      </c>
      <c r="H33" s="80"/>
      <c r="I33" s="81"/>
    </row>
    <row r="34" spans="1:9" x14ac:dyDescent="0.25">
      <c r="A34" s="24" t="s">
        <v>140</v>
      </c>
    </row>
    <row r="35" spans="1:9" ht="12.75" customHeight="1" x14ac:dyDescent="0.25">
      <c r="A35" s="40" t="s">
        <v>52</v>
      </c>
      <c r="B35" s="37"/>
      <c r="C35" s="37"/>
      <c r="D35" s="37"/>
      <c r="E35" s="37"/>
      <c r="F35" s="37"/>
      <c r="G35" s="37"/>
      <c r="H35" s="37"/>
      <c r="I35" s="37"/>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747"/>
  <sheetViews>
    <sheetView workbookViewId="0">
      <pane ySplit="11" topLeftCell="A228" activePane="bottomLeft" state="frozen"/>
      <selection pane="bottomLeft" activeCell="F238" sqref="F238"/>
    </sheetView>
  </sheetViews>
  <sheetFormatPr defaultColWidth="12.140625" defaultRowHeight="15" customHeight="1" x14ac:dyDescent="0.25"/>
  <cols>
    <col min="1" max="1" width="4" customWidth="1"/>
    <col min="2" max="2" width="17.85546875" customWidth="1"/>
    <col min="3" max="3" width="42.85546875" customWidth="1"/>
    <col min="4" max="4" width="35.7109375" customWidth="1"/>
    <col min="5" max="5" width="6.7109375" customWidth="1"/>
    <col min="6" max="6" width="12.85546875" customWidth="1"/>
    <col min="7" max="7" width="12" customWidth="1"/>
    <col min="8" max="10" width="15.7109375" customWidth="1"/>
    <col min="11" max="11" width="13.42578125" customWidth="1"/>
    <col min="25" max="75" width="12.140625" hidden="1"/>
    <col min="76" max="76" width="78.5703125" hidden="1" customWidth="1"/>
    <col min="77" max="78" width="12.140625" hidden="1"/>
  </cols>
  <sheetData>
    <row r="1" spans="1:76" ht="54.75" customHeight="1" x14ac:dyDescent="0.25">
      <c r="A1" s="104" t="s">
        <v>0</v>
      </c>
      <c r="B1" s="104"/>
      <c r="C1" s="104"/>
      <c r="D1" s="104"/>
      <c r="E1" s="104"/>
      <c r="F1" s="104"/>
      <c r="G1" s="104"/>
      <c r="H1" s="104"/>
      <c r="I1" s="104"/>
      <c r="J1" s="104"/>
      <c r="K1" s="104"/>
      <c r="AS1" s="1">
        <f>SUM(AJ1:AJ2)</f>
        <v>0</v>
      </c>
      <c r="AT1" s="1">
        <f>SUM(AK1:AK2)</f>
        <v>0</v>
      </c>
      <c r="AU1" s="1">
        <f>SUM(AL1:AL2)</f>
        <v>0</v>
      </c>
    </row>
    <row r="2" spans="1:76" x14ac:dyDescent="0.25">
      <c r="A2" s="105" t="s">
        <v>1</v>
      </c>
      <c r="B2" s="106"/>
      <c r="C2" s="107" t="s">
        <v>2</v>
      </c>
      <c r="D2" s="108"/>
      <c r="E2" s="106" t="s">
        <v>3</v>
      </c>
      <c r="F2" s="106"/>
      <c r="G2" s="106" t="s">
        <v>4</v>
      </c>
      <c r="H2" s="109" t="s">
        <v>5</v>
      </c>
      <c r="I2" s="109" t="s">
        <v>6</v>
      </c>
      <c r="J2" s="106"/>
      <c r="K2" s="110"/>
    </row>
    <row r="3" spans="1:76" x14ac:dyDescent="0.25">
      <c r="A3" s="111"/>
      <c r="B3" s="112"/>
      <c r="C3" s="113"/>
      <c r="D3" s="113"/>
      <c r="E3" s="112"/>
      <c r="F3" s="112"/>
      <c r="G3" s="112"/>
      <c r="H3" s="112"/>
      <c r="I3" s="112"/>
      <c r="J3" s="112"/>
      <c r="K3" s="114"/>
    </row>
    <row r="4" spans="1:76" x14ac:dyDescent="0.25">
      <c r="A4" s="115" t="s">
        <v>7</v>
      </c>
      <c r="B4" s="112"/>
      <c r="C4" s="116" t="s">
        <v>8</v>
      </c>
      <c r="D4" s="112"/>
      <c r="E4" s="112" t="s">
        <v>9</v>
      </c>
      <c r="F4" s="112"/>
      <c r="G4" s="112" t="s">
        <v>10</v>
      </c>
      <c r="H4" s="116" t="s">
        <v>11</v>
      </c>
      <c r="I4" s="116" t="s">
        <v>12</v>
      </c>
      <c r="J4" s="112"/>
      <c r="K4" s="114"/>
    </row>
    <row r="5" spans="1:76" x14ac:dyDescent="0.25">
      <c r="A5" s="111"/>
      <c r="B5" s="112"/>
      <c r="C5" s="112"/>
      <c r="D5" s="112"/>
      <c r="E5" s="112"/>
      <c r="F5" s="112"/>
      <c r="G5" s="112"/>
      <c r="H5" s="112"/>
      <c r="I5" s="112"/>
      <c r="J5" s="112"/>
      <c r="K5" s="114"/>
    </row>
    <row r="6" spans="1:76" x14ac:dyDescent="0.25">
      <c r="A6" s="115" t="s">
        <v>13</v>
      </c>
      <c r="B6" s="112"/>
      <c r="C6" s="116" t="s">
        <v>14</v>
      </c>
      <c r="D6" s="112"/>
      <c r="E6" s="112" t="s">
        <v>15</v>
      </c>
      <c r="F6" s="112"/>
      <c r="G6" s="112" t="s">
        <v>10</v>
      </c>
      <c r="H6" s="116" t="s">
        <v>16</v>
      </c>
      <c r="I6" s="112" t="s">
        <v>17</v>
      </c>
      <c r="J6" s="112"/>
      <c r="K6" s="114"/>
    </row>
    <row r="7" spans="1:76" x14ac:dyDescent="0.25">
      <c r="A7" s="111"/>
      <c r="B7" s="112"/>
      <c r="C7" s="112"/>
      <c r="D7" s="112"/>
      <c r="E7" s="112"/>
      <c r="F7" s="112"/>
      <c r="G7" s="112"/>
      <c r="H7" s="112"/>
      <c r="I7" s="112"/>
      <c r="J7" s="112"/>
      <c r="K7" s="114"/>
    </row>
    <row r="8" spans="1:76" x14ac:dyDescent="0.25">
      <c r="A8" s="115" t="s">
        <v>18</v>
      </c>
      <c r="B8" s="112"/>
      <c r="C8" s="116" t="s">
        <v>19</v>
      </c>
      <c r="D8" s="112"/>
      <c r="E8" s="112" t="s">
        <v>20</v>
      </c>
      <c r="F8" s="112"/>
      <c r="G8" s="112" t="s">
        <v>10</v>
      </c>
      <c r="H8" s="116" t="s">
        <v>21</v>
      </c>
      <c r="I8" s="116" t="s">
        <v>12</v>
      </c>
      <c r="J8" s="112"/>
      <c r="K8" s="114"/>
    </row>
    <row r="9" spans="1:76" x14ac:dyDescent="0.25">
      <c r="A9" s="117"/>
      <c r="B9" s="118"/>
      <c r="C9" s="118"/>
      <c r="D9" s="118"/>
      <c r="E9" s="118"/>
      <c r="F9" s="118"/>
      <c r="G9" s="118"/>
      <c r="H9" s="118"/>
      <c r="I9" s="118"/>
      <c r="J9" s="118"/>
      <c r="K9" s="119"/>
    </row>
    <row r="10" spans="1:76" x14ac:dyDescent="0.25">
      <c r="A10" s="120" t="s">
        <v>22</v>
      </c>
      <c r="B10" s="121" t="s">
        <v>23</v>
      </c>
      <c r="C10" s="122" t="s">
        <v>24</v>
      </c>
      <c r="D10" s="123"/>
      <c r="E10" s="121" t="s">
        <v>25</v>
      </c>
      <c r="F10" s="124" t="s">
        <v>26</v>
      </c>
      <c r="G10" s="125" t="s">
        <v>27</v>
      </c>
      <c r="H10" s="126" t="s">
        <v>28</v>
      </c>
      <c r="I10" s="127"/>
      <c r="J10" s="128"/>
      <c r="K10" s="129" t="s">
        <v>29</v>
      </c>
      <c r="BK10" s="3" t="s">
        <v>30</v>
      </c>
      <c r="BL10" s="4" t="s">
        <v>31</v>
      </c>
      <c r="BW10" s="4" t="s">
        <v>32</v>
      </c>
    </row>
    <row r="11" spans="1:76" x14ac:dyDescent="0.25">
      <c r="A11" s="130" t="s">
        <v>33</v>
      </c>
      <c r="B11" s="131" t="s">
        <v>33</v>
      </c>
      <c r="C11" s="132" t="s">
        <v>34</v>
      </c>
      <c r="D11" s="133"/>
      <c r="E11" s="131" t="s">
        <v>33</v>
      </c>
      <c r="F11" s="131" t="s">
        <v>33</v>
      </c>
      <c r="G11" s="134" t="s">
        <v>35</v>
      </c>
      <c r="H11" s="135" t="s">
        <v>36</v>
      </c>
      <c r="I11" s="136" t="s">
        <v>37</v>
      </c>
      <c r="J11" s="137" t="s">
        <v>38</v>
      </c>
      <c r="K11" s="138" t="s">
        <v>39</v>
      </c>
      <c r="Z11" s="3" t="s">
        <v>40</v>
      </c>
      <c r="AA11" s="3" t="s">
        <v>41</v>
      </c>
      <c r="AB11" s="3" t="s">
        <v>42</v>
      </c>
      <c r="AC11" s="3" t="s">
        <v>43</v>
      </c>
      <c r="AD11" s="3" t="s">
        <v>44</v>
      </c>
      <c r="AE11" s="3" t="s">
        <v>45</v>
      </c>
      <c r="AF11" s="3" t="s">
        <v>46</v>
      </c>
      <c r="AG11" s="3" t="s">
        <v>47</v>
      </c>
      <c r="AH11" s="3" t="s">
        <v>48</v>
      </c>
      <c r="BH11" s="3" t="s">
        <v>49</v>
      </c>
      <c r="BI11" s="3" t="s">
        <v>50</v>
      </c>
      <c r="BJ11" s="3" t="s">
        <v>51</v>
      </c>
    </row>
    <row r="12" spans="1:76" x14ac:dyDescent="0.25">
      <c r="A12" s="139" t="s">
        <v>52</v>
      </c>
      <c r="B12" s="140" t="s">
        <v>52</v>
      </c>
      <c r="C12" s="141" t="s">
        <v>53</v>
      </c>
      <c r="D12" s="142"/>
      <c r="E12" s="143" t="s">
        <v>33</v>
      </c>
      <c r="F12" s="143" t="s">
        <v>33</v>
      </c>
      <c r="G12" s="143" t="s">
        <v>33</v>
      </c>
      <c r="H12" s="144">
        <f>H13+H16+H35+H44</f>
        <v>0</v>
      </c>
      <c r="I12" s="144">
        <f>I13+I16+I35+I44</f>
        <v>0</v>
      </c>
      <c r="J12" s="144">
        <f>J13+J16+J35+J44</f>
        <v>0</v>
      </c>
      <c r="K12" s="145" t="s">
        <v>52</v>
      </c>
    </row>
    <row r="13" spans="1:76" x14ac:dyDescent="0.25">
      <c r="A13" s="146" t="s">
        <v>52</v>
      </c>
      <c r="B13" s="147" t="s">
        <v>54</v>
      </c>
      <c r="C13" s="148" t="s">
        <v>55</v>
      </c>
      <c r="D13" s="113"/>
      <c r="E13" s="149" t="s">
        <v>33</v>
      </c>
      <c r="F13" s="149" t="s">
        <v>33</v>
      </c>
      <c r="G13" s="149" t="s">
        <v>33</v>
      </c>
      <c r="H13" s="150">
        <f>SUM(H14:H14)</f>
        <v>0</v>
      </c>
      <c r="I13" s="150">
        <f>SUM(I14:I14)</f>
        <v>0</v>
      </c>
      <c r="J13" s="150">
        <f>SUM(J14:J14)</f>
        <v>0</v>
      </c>
      <c r="K13" s="151" t="s">
        <v>52</v>
      </c>
      <c r="AI13" s="3" t="s">
        <v>56</v>
      </c>
      <c r="AS13" s="1">
        <f>SUM(AJ14:AJ14)</f>
        <v>0</v>
      </c>
      <c r="AT13" s="1">
        <f>SUM(AK14:AK14)</f>
        <v>0</v>
      </c>
      <c r="AU13" s="1">
        <f>SUM(AL14:AL14)</f>
        <v>0</v>
      </c>
    </row>
    <row r="14" spans="1:76" x14ac:dyDescent="0.25">
      <c r="A14" s="146" t="s">
        <v>57</v>
      </c>
      <c r="B14" s="149" t="s">
        <v>58</v>
      </c>
      <c r="C14" s="116" t="s">
        <v>59</v>
      </c>
      <c r="D14" s="112"/>
      <c r="E14" s="149" t="s">
        <v>52</v>
      </c>
      <c r="F14" s="152">
        <v>0</v>
      </c>
      <c r="G14" s="152">
        <v>0</v>
      </c>
      <c r="H14" s="152">
        <f>F14*AO14</f>
        <v>0</v>
      </c>
      <c r="I14" s="152">
        <f>F14*AP14</f>
        <v>0</v>
      </c>
      <c r="J14" s="152">
        <f>F14*G14</f>
        <v>0</v>
      </c>
      <c r="K14" s="153" t="s">
        <v>52</v>
      </c>
      <c r="Z14" s="5">
        <f>IF(AQ14="5",BJ14,0)</f>
        <v>0</v>
      </c>
      <c r="AB14" s="5">
        <f>IF(AQ14="1",BH14,0)</f>
        <v>0</v>
      </c>
      <c r="AC14" s="5">
        <f>IF(AQ14="1",BI14,0)</f>
        <v>0</v>
      </c>
      <c r="AD14" s="5">
        <f>IF(AQ14="7",BH14,0)</f>
        <v>0</v>
      </c>
      <c r="AE14" s="5">
        <f>IF(AQ14="7",BI14,0)</f>
        <v>0</v>
      </c>
      <c r="AF14" s="5">
        <f>IF(AQ14="2",BH14,0)</f>
        <v>0</v>
      </c>
      <c r="AG14" s="5">
        <f>IF(AQ14="2",BI14,0)</f>
        <v>0</v>
      </c>
      <c r="AH14" s="5">
        <f>IF(AQ14="0",BJ14,0)</f>
        <v>0</v>
      </c>
      <c r="AI14" s="3" t="s">
        <v>56</v>
      </c>
      <c r="AJ14" s="5">
        <f>IF(AN14=0,J14,0)</f>
        <v>0</v>
      </c>
      <c r="AK14" s="5">
        <f>IF(AN14=12,J14,0)</f>
        <v>0</v>
      </c>
      <c r="AL14" s="5">
        <f>IF(AN14=21,J14,0)</f>
        <v>0</v>
      </c>
      <c r="AN14" s="5">
        <v>21</v>
      </c>
      <c r="AO14" s="5">
        <f>G14*0</f>
        <v>0</v>
      </c>
      <c r="AP14" s="5">
        <f>G14*(1-0)</f>
        <v>0</v>
      </c>
      <c r="AQ14" s="6" t="s">
        <v>60</v>
      </c>
      <c r="AV14" s="5">
        <f>AW14+AX14</f>
        <v>0</v>
      </c>
      <c r="AW14" s="5">
        <f>F14*AO14</f>
        <v>0</v>
      </c>
      <c r="AX14" s="5">
        <f>F14*AP14</f>
        <v>0</v>
      </c>
      <c r="AY14" s="6" t="s">
        <v>61</v>
      </c>
      <c r="AZ14" s="6" t="s">
        <v>62</v>
      </c>
      <c r="BA14" s="3" t="s">
        <v>63</v>
      </c>
      <c r="BC14" s="5">
        <f>AW14+AX14</f>
        <v>0</v>
      </c>
      <c r="BD14" s="5">
        <f>G14/(100-BE14)*100</f>
        <v>0</v>
      </c>
      <c r="BE14" s="5">
        <v>0</v>
      </c>
      <c r="BF14" s="5">
        <f>14</f>
        <v>14</v>
      </c>
      <c r="BH14" s="5">
        <f>F14*AO14</f>
        <v>0</v>
      </c>
      <c r="BI14" s="5">
        <f>F14*AP14</f>
        <v>0</v>
      </c>
      <c r="BJ14" s="5">
        <f>F14*G14</f>
        <v>0</v>
      </c>
      <c r="BK14" s="5"/>
      <c r="BL14" s="5"/>
      <c r="BW14" s="5">
        <v>21</v>
      </c>
      <c r="BX14" s="2" t="s">
        <v>59</v>
      </c>
    </row>
    <row r="15" spans="1:76" ht="81" customHeight="1" x14ac:dyDescent="0.25">
      <c r="A15" s="154"/>
      <c r="B15" s="155"/>
      <c r="C15" s="156" t="s">
        <v>64</v>
      </c>
      <c r="D15" s="157"/>
      <c r="E15" s="157"/>
      <c r="F15" s="157"/>
      <c r="G15" s="157"/>
      <c r="H15" s="157"/>
      <c r="I15" s="157"/>
      <c r="J15" s="157"/>
      <c r="K15" s="158"/>
    </row>
    <row r="16" spans="1:76" x14ac:dyDescent="0.25">
      <c r="A16" s="146" t="s">
        <v>52</v>
      </c>
      <c r="B16" s="147" t="s">
        <v>65</v>
      </c>
      <c r="C16" s="148" t="s">
        <v>66</v>
      </c>
      <c r="D16" s="113"/>
      <c r="E16" s="149" t="s">
        <v>33</v>
      </c>
      <c r="F16" s="149" t="s">
        <v>33</v>
      </c>
      <c r="G16" s="149" t="s">
        <v>33</v>
      </c>
      <c r="H16" s="150">
        <f>SUM(H17:H28)</f>
        <v>0</v>
      </c>
      <c r="I16" s="150">
        <f>SUM(I17:I28)</f>
        <v>0</v>
      </c>
      <c r="J16" s="150">
        <f>SUM(J17:J28)</f>
        <v>0</v>
      </c>
      <c r="K16" s="151" t="s">
        <v>52</v>
      </c>
      <c r="AI16" s="3" t="s">
        <v>56</v>
      </c>
      <c r="AS16" s="1">
        <f>SUM(AJ17:AJ28)</f>
        <v>0</v>
      </c>
      <c r="AT16" s="1">
        <f>SUM(AK17:AK28)</f>
        <v>0</v>
      </c>
      <c r="AU16" s="1">
        <f>SUM(AL17:AL28)</f>
        <v>0</v>
      </c>
    </row>
    <row r="17" spans="1:76" x14ac:dyDescent="0.25">
      <c r="A17" s="146" t="s">
        <v>60</v>
      </c>
      <c r="B17" s="149" t="s">
        <v>67</v>
      </c>
      <c r="C17" s="116" t="s">
        <v>68</v>
      </c>
      <c r="D17" s="112"/>
      <c r="E17" s="149" t="s">
        <v>69</v>
      </c>
      <c r="F17" s="152">
        <v>4016.2746000000002</v>
      </c>
      <c r="G17" s="152">
        <v>0</v>
      </c>
      <c r="H17" s="152">
        <f>F17*AO17</f>
        <v>0</v>
      </c>
      <c r="I17" s="152">
        <f>F17*AP17</f>
        <v>0</v>
      </c>
      <c r="J17" s="152">
        <f>F17*G17</f>
        <v>0</v>
      </c>
      <c r="K17" s="153" t="s">
        <v>70</v>
      </c>
      <c r="Z17" s="5">
        <f>IF(AQ17="5",BJ17,0)</f>
        <v>0</v>
      </c>
      <c r="AB17" s="5">
        <f>IF(AQ17="1",BH17,0)</f>
        <v>0</v>
      </c>
      <c r="AC17" s="5">
        <f>IF(AQ17="1",BI17,0)</f>
        <v>0</v>
      </c>
      <c r="AD17" s="5">
        <f>IF(AQ17="7",BH17,0)</f>
        <v>0</v>
      </c>
      <c r="AE17" s="5">
        <f>IF(AQ17="7",BI17,0)</f>
        <v>0</v>
      </c>
      <c r="AF17" s="5">
        <f>IF(AQ17="2",BH17,0)</f>
        <v>0</v>
      </c>
      <c r="AG17" s="5">
        <f>IF(AQ17="2",BI17,0)</f>
        <v>0</v>
      </c>
      <c r="AH17" s="5">
        <f>IF(AQ17="0",BJ17,0)</f>
        <v>0</v>
      </c>
      <c r="AI17" s="3" t="s">
        <v>56</v>
      </c>
      <c r="AJ17" s="5">
        <f>IF(AN17=0,J17,0)</f>
        <v>0</v>
      </c>
      <c r="AK17" s="5">
        <f>IF(AN17=12,J17,0)</f>
        <v>0</v>
      </c>
      <c r="AL17" s="5">
        <f>IF(AN17=21,J17,0)</f>
        <v>0</v>
      </c>
      <c r="AN17" s="5">
        <v>21</v>
      </c>
      <c r="AO17" s="5">
        <f>G17*0</f>
        <v>0</v>
      </c>
      <c r="AP17" s="5">
        <f>G17*(1-0)</f>
        <v>0</v>
      </c>
      <c r="AQ17" s="6" t="s">
        <v>57</v>
      </c>
      <c r="AV17" s="5">
        <f>AW17+AX17</f>
        <v>0</v>
      </c>
      <c r="AW17" s="5">
        <f>F17*AO17</f>
        <v>0</v>
      </c>
      <c r="AX17" s="5">
        <f>F17*AP17</f>
        <v>0</v>
      </c>
      <c r="AY17" s="6" t="s">
        <v>71</v>
      </c>
      <c r="AZ17" s="6" t="s">
        <v>62</v>
      </c>
      <c r="BA17" s="3" t="s">
        <v>63</v>
      </c>
      <c r="BC17" s="5">
        <f>AW17+AX17</f>
        <v>0</v>
      </c>
      <c r="BD17" s="5">
        <f>G17/(100-BE17)*100</f>
        <v>0</v>
      </c>
      <c r="BE17" s="5">
        <v>0</v>
      </c>
      <c r="BF17" s="5">
        <f>17</f>
        <v>17</v>
      </c>
      <c r="BH17" s="5">
        <f>F17*AO17</f>
        <v>0</v>
      </c>
      <c r="BI17" s="5">
        <f>F17*AP17</f>
        <v>0</v>
      </c>
      <c r="BJ17" s="5">
        <f>F17*G17</f>
        <v>0</v>
      </c>
      <c r="BK17" s="5"/>
      <c r="BL17" s="5">
        <v>94</v>
      </c>
      <c r="BW17" s="5">
        <v>21</v>
      </c>
      <c r="BX17" s="2" t="s">
        <v>68</v>
      </c>
    </row>
    <row r="18" spans="1:76" ht="13.5" customHeight="1" x14ac:dyDescent="0.25">
      <c r="A18" s="154"/>
      <c r="B18" s="155"/>
      <c r="C18" s="156" t="s">
        <v>72</v>
      </c>
      <c r="D18" s="157"/>
      <c r="E18" s="157"/>
      <c r="F18" s="157"/>
      <c r="G18" s="157"/>
      <c r="H18" s="157"/>
      <c r="I18" s="157"/>
      <c r="J18" s="157"/>
      <c r="K18" s="158"/>
    </row>
    <row r="19" spans="1:76" x14ac:dyDescent="0.25">
      <c r="A19" s="154"/>
      <c r="B19" s="155"/>
      <c r="C19" s="159" t="s">
        <v>73</v>
      </c>
      <c r="D19" s="160" t="s">
        <v>74</v>
      </c>
      <c r="E19" s="155"/>
      <c r="F19" s="161">
        <v>1163.4276</v>
      </c>
      <c r="G19" s="155"/>
      <c r="H19" s="155"/>
      <c r="I19" s="155"/>
      <c r="J19" s="155"/>
      <c r="K19" s="162"/>
    </row>
    <row r="20" spans="1:76" x14ac:dyDescent="0.25">
      <c r="A20" s="154"/>
      <c r="B20" s="155"/>
      <c r="C20" s="159" t="s">
        <v>75</v>
      </c>
      <c r="D20" s="160" t="s">
        <v>76</v>
      </c>
      <c r="E20" s="155"/>
      <c r="F20" s="161">
        <v>980.17399999999998</v>
      </c>
      <c r="G20" s="155"/>
      <c r="H20" s="155"/>
      <c r="I20" s="155"/>
      <c r="J20" s="155"/>
      <c r="K20" s="162"/>
    </row>
    <row r="21" spans="1:76" x14ac:dyDescent="0.25">
      <c r="A21" s="154"/>
      <c r="B21" s="155"/>
      <c r="C21" s="159" t="s">
        <v>77</v>
      </c>
      <c r="D21" s="160" t="s">
        <v>78</v>
      </c>
      <c r="E21" s="155"/>
      <c r="F21" s="161">
        <v>206.655</v>
      </c>
      <c r="G21" s="155"/>
      <c r="H21" s="155"/>
      <c r="I21" s="155"/>
      <c r="J21" s="155"/>
      <c r="K21" s="162"/>
    </row>
    <row r="22" spans="1:76" x14ac:dyDescent="0.25">
      <c r="A22" s="154"/>
      <c r="B22" s="155"/>
      <c r="C22" s="159" t="s">
        <v>79</v>
      </c>
      <c r="D22" s="160" t="s">
        <v>80</v>
      </c>
      <c r="E22" s="155"/>
      <c r="F22" s="161">
        <v>864.80499999999995</v>
      </c>
      <c r="G22" s="155"/>
      <c r="H22" s="155"/>
      <c r="I22" s="155"/>
      <c r="J22" s="155"/>
      <c r="K22" s="162"/>
    </row>
    <row r="23" spans="1:76" x14ac:dyDescent="0.25">
      <c r="A23" s="154"/>
      <c r="B23" s="155"/>
      <c r="C23" s="159" t="s">
        <v>81</v>
      </c>
      <c r="D23" s="160" t="s">
        <v>82</v>
      </c>
      <c r="E23" s="155"/>
      <c r="F23" s="161">
        <v>846.71299999999997</v>
      </c>
      <c r="G23" s="155"/>
      <c r="H23" s="155"/>
      <c r="I23" s="155"/>
      <c r="J23" s="155"/>
      <c r="K23" s="162"/>
    </row>
    <row r="24" spans="1:76" x14ac:dyDescent="0.25">
      <c r="A24" s="154"/>
      <c r="B24" s="155"/>
      <c r="C24" s="159" t="s">
        <v>83</v>
      </c>
      <c r="D24" s="160" t="s">
        <v>84</v>
      </c>
      <c r="E24" s="155"/>
      <c r="F24" s="161">
        <v>-45.5</v>
      </c>
      <c r="G24" s="155"/>
      <c r="H24" s="155"/>
      <c r="I24" s="155"/>
      <c r="J24" s="155"/>
      <c r="K24" s="162"/>
    </row>
    <row r="25" spans="1:76" ht="25.5" x14ac:dyDescent="0.25">
      <c r="A25" s="154"/>
      <c r="B25" s="163" t="s">
        <v>85</v>
      </c>
      <c r="C25" s="156" t="s">
        <v>86</v>
      </c>
      <c r="D25" s="157"/>
      <c r="E25" s="157"/>
      <c r="F25" s="157"/>
      <c r="G25" s="157"/>
      <c r="H25" s="157"/>
      <c r="I25" s="157"/>
      <c r="J25" s="157"/>
      <c r="K25" s="158"/>
      <c r="BX25" s="7" t="s">
        <v>86</v>
      </c>
    </row>
    <row r="26" spans="1:76" x14ac:dyDescent="0.25">
      <c r="A26" s="146" t="s">
        <v>87</v>
      </c>
      <c r="B26" s="149" t="s">
        <v>88</v>
      </c>
      <c r="C26" s="116" t="s">
        <v>89</v>
      </c>
      <c r="D26" s="112"/>
      <c r="E26" s="149" t="s">
        <v>69</v>
      </c>
      <c r="F26" s="152">
        <v>12048.8238</v>
      </c>
      <c r="G26" s="152">
        <v>0</v>
      </c>
      <c r="H26" s="152">
        <f>F26*AO26</f>
        <v>0</v>
      </c>
      <c r="I26" s="152">
        <f>F26*AP26</f>
        <v>0</v>
      </c>
      <c r="J26" s="152">
        <f>F26*G26</f>
        <v>0</v>
      </c>
      <c r="K26" s="153" t="s">
        <v>70</v>
      </c>
      <c r="Z26" s="5">
        <f>IF(AQ26="5",BJ26,0)</f>
        <v>0</v>
      </c>
      <c r="AB26" s="5">
        <f>IF(AQ26="1",BH26,0)</f>
        <v>0</v>
      </c>
      <c r="AC26" s="5">
        <f>IF(AQ26="1",BI26,0)</f>
        <v>0</v>
      </c>
      <c r="AD26" s="5">
        <f>IF(AQ26="7",BH26,0)</f>
        <v>0</v>
      </c>
      <c r="AE26" s="5">
        <f>IF(AQ26="7",BI26,0)</f>
        <v>0</v>
      </c>
      <c r="AF26" s="5">
        <f>IF(AQ26="2",BH26,0)</f>
        <v>0</v>
      </c>
      <c r="AG26" s="5">
        <f>IF(AQ26="2",BI26,0)</f>
        <v>0</v>
      </c>
      <c r="AH26" s="5">
        <f>IF(AQ26="0",BJ26,0)</f>
        <v>0</v>
      </c>
      <c r="AI26" s="3" t="s">
        <v>56</v>
      </c>
      <c r="AJ26" s="5">
        <f>IF(AN26=0,J26,0)</f>
        <v>0</v>
      </c>
      <c r="AK26" s="5">
        <f>IF(AN26=12,J26,0)</f>
        <v>0</v>
      </c>
      <c r="AL26" s="5">
        <f>IF(AN26=21,J26,0)</f>
        <v>0</v>
      </c>
      <c r="AN26" s="5">
        <v>21</v>
      </c>
      <c r="AO26" s="5">
        <f>G26*0.848148129</f>
        <v>0</v>
      </c>
      <c r="AP26" s="5">
        <f>G26*(1-0.848148129)</f>
        <v>0</v>
      </c>
      <c r="AQ26" s="6" t="s">
        <v>57</v>
      </c>
      <c r="AV26" s="5">
        <f>AW26+AX26</f>
        <v>0</v>
      </c>
      <c r="AW26" s="5">
        <f>F26*AO26</f>
        <v>0</v>
      </c>
      <c r="AX26" s="5">
        <f>F26*AP26</f>
        <v>0</v>
      </c>
      <c r="AY26" s="6" t="s">
        <v>71</v>
      </c>
      <c r="AZ26" s="6" t="s">
        <v>62</v>
      </c>
      <c r="BA26" s="3" t="s">
        <v>63</v>
      </c>
      <c r="BC26" s="5">
        <f>AW26+AX26</f>
        <v>0</v>
      </c>
      <c r="BD26" s="5">
        <f>G26/(100-BE26)*100</f>
        <v>0</v>
      </c>
      <c r="BE26" s="5">
        <v>0</v>
      </c>
      <c r="BF26" s="5">
        <f>26</f>
        <v>26</v>
      </c>
      <c r="BH26" s="5">
        <f>F26*AO26</f>
        <v>0</v>
      </c>
      <c r="BI26" s="5">
        <f>F26*AP26</f>
        <v>0</v>
      </c>
      <c r="BJ26" s="5">
        <f>F26*G26</f>
        <v>0</v>
      </c>
      <c r="BK26" s="5"/>
      <c r="BL26" s="5">
        <v>94</v>
      </c>
      <c r="BW26" s="5">
        <v>21</v>
      </c>
      <c r="BX26" s="2" t="s">
        <v>89</v>
      </c>
    </row>
    <row r="27" spans="1:76" x14ac:dyDescent="0.25">
      <c r="A27" s="154"/>
      <c r="B27" s="155"/>
      <c r="C27" s="159" t="s">
        <v>90</v>
      </c>
      <c r="D27" s="160" t="s">
        <v>52</v>
      </c>
      <c r="E27" s="155"/>
      <c r="F27" s="161">
        <v>12048.8238</v>
      </c>
      <c r="G27" s="155"/>
      <c r="H27" s="155"/>
      <c r="I27" s="155"/>
      <c r="J27" s="155"/>
      <c r="K27" s="162"/>
    </row>
    <row r="28" spans="1:76" x14ac:dyDescent="0.25">
      <c r="A28" s="146" t="s">
        <v>91</v>
      </c>
      <c r="B28" s="149" t="s">
        <v>92</v>
      </c>
      <c r="C28" s="116" t="s">
        <v>93</v>
      </c>
      <c r="D28" s="112"/>
      <c r="E28" s="149" t="s">
        <v>69</v>
      </c>
      <c r="F28" s="152">
        <v>4016.2746000000002</v>
      </c>
      <c r="G28" s="152">
        <v>0</v>
      </c>
      <c r="H28" s="152">
        <f>F28*AO28</f>
        <v>0</v>
      </c>
      <c r="I28" s="152">
        <f>F28*AP28</f>
        <v>0</v>
      </c>
      <c r="J28" s="152">
        <f>F28*G28</f>
        <v>0</v>
      </c>
      <c r="K28" s="153" t="s">
        <v>70</v>
      </c>
      <c r="Z28" s="5">
        <f>IF(AQ28="5",BJ28,0)</f>
        <v>0</v>
      </c>
      <c r="AB28" s="5">
        <f>IF(AQ28="1",BH28,0)</f>
        <v>0</v>
      </c>
      <c r="AC28" s="5">
        <f>IF(AQ28="1",BI28,0)</f>
        <v>0</v>
      </c>
      <c r="AD28" s="5">
        <f>IF(AQ28="7",BH28,0)</f>
        <v>0</v>
      </c>
      <c r="AE28" s="5">
        <f>IF(AQ28="7",BI28,0)</f>
        <v>0</v>
      </c>
      <c r="AF28" s="5">
        <f>IF(AQ28="2",BH28,0)</f>
        <v>0</v>
      </c>
      <c r="AG28" s="5">
        <f>IF(AQ28="2",BI28,0)</f>
        <v>0</v>
      </c>
      <c r="AH28" s="5">
        <f>IF(AQ28="0",BJ28,0)</f>
        <v>0</v>
      </c>
      <c r="AI28" s="3" t="s">
        <v>56</v>
      </c>
      <c r="AJ28" s="5">
        <f>IF(AN28=0,J28,0)</f>
        <v>0</v>
      </c>
      <c r="AK28" s="5">
        <f>IF(AN28=12,J28,0)</f>
        <v>0</v>
      </c>
      <c r="AL28" s="5">
        <f>IF(AN28=21,J28,0)</f>
        <v>0</v>
      </c>
      <c r="AN28" s="5">
        <v>21</v>
      </c>
      <c r="AO28" s="5">
        <f>G28*0</f>
        <v>0</v>
      </c>
      <c r="AP28" s="5">
        <f>G28*(1-0)</f>
        <v>0</v>
      </c>
      <c r="AQ28" s="6" t="s">
        <v>57</v>
      </c>
      <c r="AV28" s="5">
        <f>AW28+AX28</f>
        <v>0</v>
      </c>
      <c r="AW28" s="5">
        <f>F28*AO28</f>
        <v>0</v>
      </c>
      <c r="AX28" s="5">
        <f>F28*AP28</f>
        <v>0</v>
      </c>
      <c r="AY28" s="6" t="s">
        <v>71</v>
      </c>
      <c r="AZ28" s="6" t="s">
        <v>62</v>
      </c>
      <c r="BA28" s="3" t="s">
        <v>63</v>
      </c>
      <c r="BC28" s="5">
        <f>AW28+AX28</f>
        <v>0</v>
      </c>
      <c r="BD28" s="5">
        <f>G28/(100-BE28)*100</f>
        <v>0</v>
      </c>
      <c r="BE28" s="5">
        <v>0</v>
      </c>
      <c r="BF28" s="5">
        <f>28</f>
        <v>28</v>
      </c>
      <c r="BH28" s="5">
        <f>F28*AO28</f>
        <v>0</v>
      </c>
      <c r="BI28" s="5">
        <f>F28*AP28</f>
        <v>0</v>
      </c>
      <c r="BJ28" s="5">
        <f>F28*G28</f>
        <v>0</v>
      </c>
      <c r="BK28" s="5"/>
      <c r="BL28" s="5">
        <v>94</v>
      </c>
      <c r="BW28" s="5">
        <v>21</v>
      </c>
      <c r="BX28" s="2" t="s">
        <v>93</v>
      </c>
    </row>
    <row r="29" spans="1:76" x14ac:dyDescent="0.25">
      <c r="A29" s="154"/>
      <c r="B29" s="155"/>
      <c r="C29" s="159" t="s">
        <v>73</v>
      </c>
      <c r="D29" s="160" t="s">
        <v>74</v>
      </c>
      <c r="E29" s="155"/>
      <c r="F29" s="161">
        <v>1163.4276</v>
      </c>
      <c r="G29" s="155"/>
      <c r="H29" s="155"/>
      <c r="I29" s="155"/>
      <c r="J29" s="155"/>
      <c r="K29" s="162"/>
    </row>
    <row r="30" spans="1:76" x14ac:dyDescent="0.25">
      <c r="A30" s="154"/>
      <c r="B30" s="155"/>
      <c r="C30" s="159" t="s">
        <v>75</v>
      </c>
      <c r="D30" s="160" t="s">
        <v>76</v>
      </c>
      <c r="E30" s="155"/>
      <c r="F30" s="161">
        <v>980.17399999999998</v>
      </c>
      <c r="G30" s="155"/>
      <c r="H30" s="155"/>
      <c r="I30" s="155"/>
      <c r="J30" s="155"/>
      <c r="K30" s="162"/>
    </row>
    <row r="31" spans="1:76" x14ac:dyDescent="0.25">
      <c r="A31" s="154"/>
      <c r="B31" s="155"/>
      <c r="C31" s="159" t="s">
        <v>77</v>
      </c>
      <c r="D31" s="160" t="s">
        <v>78</v>
      </c>
      <c r="E31" s="155"/>
      <c r="F31" s="161">
        <v>206.655</v>
      </c>
      <c r="G31" s="155"/>
      <c r="H31" s="155"/>
      <c r="I31" s="155"/>
      <c r="J31" s="155"/>
      <c r="K31" s="162"/>
    </row>
    <row r="32" spans="1:76" x14ac:dyDescent="0.25">
      <c r="A32" s="154"/>
      <c r="B32" s="155"/>
      <c r="C32" s="159" t="s">
        <v>79</v>
      </c>
      <c r="D32" s="160" t="s">
        <v>80</v>
      </c>
      <c r="E32" s="155"/>
      <c r="F32" s="161">
        <v>864.80499999999995</v>
      </c>
      <c r="G32" s="155"/>
      <c r="H32" s="155"/>
      <c r="I32" s="155"/>
      <c r="J32" s="155"/>
      <c r="K32" s="162"/>
    </row>
    <row r="33" spans="1:76" x14ac:dyDescent="0.25">
      <c r="A33" s="154"/>
      <c r="B33" s="155"/>
      <c r="C33" s="159" t="s">
        <v>81</v>
      </c>
      <c r="D33" s="160" t="s">
        <v>82</v>
      </c>
      <c r="E33" s="155"/>
      <c r="F33" s="161">
        <v>846.71299999999997</v>
      </c>
      <c r="G33" s="155"/>
      <c r="H33" s="155"/>
      <c r="I33" s="155"/>
      <c r="J33" s="155"/>
      <c r="K33" s="162"/>
    </row>
    <row r="34" spans="1:76" x14ac:dyDescent="0.25">
      <c r="A34" s="154"/>
      <c r="B34" s="155"/>
      <c r="C34" s="159" t="s">
        <v>83</v>
      </c>
      <c r="D34" s="160" t="s">
        <v>84</v>
      </c>
      <c r="E34" s="155"/>
      <c r="F34" s="161">
        <v>-45.5</v>
      </c>
      <c r="G34" s="155"/>
      <c r="H34" s="155"/>
      <c r="I34" s="155"/>
      <c r="J34" s="155"/>
      <c r="K34" s="162"/>
    </row>
    <row r="35" spans="1:76" x14ac:dyDescent="0.25">
      <c r="A35" s="146" t="s">
        <v>52</v>
      </c>
      <c r="B35" s="147" t="s">
        <v>94</v>
      </c>
      <c r="C35" s="148" t="s">
        <v>95</v>
      </c>
      <c r="D35" s="113"/>
      <c r="E35" s="149" t="s">
        <v>33</v>
      </c>
      <c r="F35" s="149" t="s">
        <v>33</v>
      </c>
      <c r="G35" s="149" t="s">
        <v>33</v>
      </c>
      <c r="H35" s="150">
        <f>SUM(H36:H43)</f>
        <v>0</v>
      </c>
      <c r="I35" s="150">
        <f>SUM(I36:I43)</f>
        <v>0</v>
      </c>
      <c r="J35" s="150">
        <f>SUM(J36:J43)</f>
        <v>0</v>
      </c>
      <c r="K35" s="151" t="s">
        <v>52</v>
      </c>
      <c r="AI35" s="3" t="s">
        <v>56</v>
      </c>
      <c r="AS35" s="1">
        <f>SUM(AJ36:AJ43)</f>
        <v>0</v>
      </c>
      <c r="AT35" s="1">
        <f>SUM(AK36:AK43)</f>
        <v>0</v>
      </c>
      <c r="AU35" s="1">
        <f>SUM(AL36:AL43)</f>
        <v>0</v>
      </c>
    </row>
    <row r="36" spans="1:76" x14ac:dyDescent="0.25">
      <c r="A36" s="146" t="s">
        <v>96</v>
      </c>
      <c r="B36" s="149" t="s">
        <v>97</v>
      </c>
      <c r="C36" s="116" t="s">
        <v>98</v>
      </c>
      <c r="D36" s="112"/>
      <c r="E36" s="149" t="s">
        <v>99</v>
      </c>
      <c r="F36" s="152">
        <v>1</v>
      </c>
      <c r="G36" s="152">
        <v>0</v>
      </c>
      <c r="H36" s="152">
        <f t="shared" ref="H36:H43" si="0">F36*AO36</f>
        <v>0</v>
      </c>
      <c r="I36" s="152">
        <f t="shared" ref="I36:I43" si="1">F36*AP36</f>
        <v>0</v>
      </c>
      <c r="J36" s="152">
        <f t="shared" ref="J36:J43" si="2">F36*G36</f>
        <v>0</v>
      </c>
      <c r="K36" s="153" t="s">
        <v>100</v>
      </c>
      <c r="Z36" s="5">
        <f t="shared" ref="Z36:Z43" si="3">IF(AQ36="5",BJ36,0)</f>
        <v>0</v>
      </c>
      <c r="AB36" s="5">
        <f t="shared" ref="AB36:AB43" si="4">IF(AQ36="1",BH36,0)</f>
        <v>0</v>
      </c>
      <c r="AC36" s="5">
        <f t="shared" ref="AC36:AC43" si="5">IF(AQ36="1",BI36,0)</f>
        <v>0</v>
      </c>
      <c r="AD36" s="5">
        <f t="shared" ref="AD36:AD43" si="6">IF(AQ36="7",BH36,0)</f>
        <v>0</v>
      </c>
      <c r="AE36" s="5">
        <f t="shared" ref="AE36:AE43" si="7">IF(AQ36="7",BI36,0)</f>
        <v>0</v>
      </c>
      <c r="AF36" s="5">
        <f t="shared" ref="AF36:AF43" si="8">IF(AQ36="2",BH36,0)</f>
        <v>0</v>
      </c>
      <c r="AG36" s="5">
        <f t="shared" ref="AG36:AG43" si="9">IF(AQ36="2",BI36,0)</f>
        <v>0</v>
      </c>
      <c r="AH36" s="5">
        <f t="shared" ref="AH36:AH43" si="10">IF(AQ36="0",BJ36,0)</f>
        <v>0</v>
      </c>
      <c r="AI36" s="3" t="s">
        <v>56</v>
      </c>
      <c r="AJ36" s="5">
        <f t="shared" ref="AJ36:AJ43" si="11">IF(AN36=0,J36,0)</f>
        <v>0</v>
      </c>
      <c r="AK36" s="5">
        <f t="shared" ref="AK36:AK43" si="12">IF(AN36=12,J36,0)</f>
        <v>0</v>
      </c>
      <c r="AL36" s="5">
        <f t="shared" ref="AL36:AL43" si="13">IF(AN36=21,J36,0)</f>
        <v>0</v>
      </c>
      <c r="AN36" s="5">
        <v>21</v>
      </c>
      <c r="AO36" s="5">
        <f t="shared" ref="AO36:AO43" si="14">G36*0</f>
        <v>0</v>
      </c>
      <c r="AP36" s="5">
        <f t="shared" ref="AP36:AP43" si="15">G36*(1-0)</f>
        <v>0</v>
      </c>
      <c r="AQ36" s="6" t="s">
        <v>60</v>
      </c>
      <c r="AV36" s="5">
        <f t="shared" ref="AV36:AV43" si="16">AW36+AX36</f>
        <v>0</v>
      </c>
      <c r="AW36" s="5">
        <f t="shared" ref="AW36:AW43" si="17">F36*AO36</f>
        <v>0</v>
      </c>
      <c r="AX36" s="5">
        <f t="shared" ref="AX36:AX43" si="18">F36*AP36</f>
        <v>0</v>
      </c>
      <c r="AY36" s="6" t="s">
        <v>101</v>
      </c>
      <c r="AZ36" s="6" t="s">
        <v>62</v>
      </c>
      <c r="BA36" s="3" t="s">
        <v>63</v>
      </c>
      <c r="BC36" s="5">
        <f t="shared" ref="BC36:BC43" si="19">AW36+AX36</f>
        <v>0</v>
      </c>
      <c r="BD36" s="5">
        <f t="shared" ref="BD36:BD43" si="20">G36/(100-BE36)*100</f>
        <v>0</v>
      </c>
      <c r="BE36" s="5">
        <v>0</v>
      </c>
      <c r="BF36" s="5">
        <f>36</f>
        <v>36</v>
      </c>
      <c r="BH36" s="5">
        <f t="shared" ref="BH36:BH43" si="21">F36*AO36</f>
        <v>0</v>
      </c>
      <c r="BI36" s="5">
        <f t="shared" ref="BI36:BI43" si="22">F36*AP36</f>
        <v>0</v>
      </c>
      <c r="BJ36" s="5">
        <f t="shared" ref="BJ36:BJ43" si="23">F36*G36</f>
        <v>0</v>
      </c>
      <c r="BK36" s="5"/>
      <c r="BL36" s="5"/>
      <c r="BW36" s="5">
        <v>21</v>
      </c>
      <c r="BX36" s="2" t="s">
        <v>98</v>
      </c>
    </row>
    <row r="37" spans="1:76" x14ac:dyDescent="0.25">
      <c r="A37" s="146" t="s">
        <v>102</v>
      </c>
      <c r="B37" s="149" t="s">
        <v>103</v>
      </c>
      <c r="C37" s="116" t="s">
        <v>104</v>
      </c>
      <c r="D37" s="112"/>
      <c r="E37" s="149" t="s">
        <v>99</v>
      </c>
      <c r="F37" s="152">
        <v>1</v>
      </c>
      <c r="G37" s="152">
        <v>0</v>
      </c>
      <c r="H37" s="152">
        <f t="shared" si="0"/>
        <v>0</v>
      </c>
      <c r="I37" s="152">
        <f t="shared" si="1"/>
        <v>0</v>
      </c>
      <c r="J37" s="152">
        <f t="shared" si="2"/>
        <v>0</v>
      </c>
      <c r="K37" s="153" t="s">
        <v>100</v>
      </c>
      <c r="Z37" s="5">
        <f t="shared" si="3"/>
        <v>0</v>
      </c>
      <c r="AB37" s="5">
        <f t="shared" si="4"/>
        <v>0</v>
      </c>
      <c r="AC37" s="5">
        <f t="shared" si="5"/>
        <v>0</v>
      </c>
      <c r="AD37" s="5">
        <f t="shared" si="6"/>
        <v>0</v>
      </c>
      <c r="AE37" s="5">
        <f t="shared" si="7"/>
        <v>0</v>
      </c>
      <c r="AF37" s="5">
        <f t="shared" si="8"/>
        <v>0</v>
      </c>
      <c r="AG37" s="5">
        <f t="shared" si="9"/>
        <v>0</v>
      </c>
      <c r="AH37" s="5">
        <f t="shared" si="10"/>
        <v>0</v>
      </c>
      <c r="AI37" s="3" t="s">
        <v>56</v>
      </c>
      <c r="AJ37" s="5">
        <f t="shared" si="11"/>
        <v>0</v>
      </c>
      <c r="AK37" s="5">
        <f t="shared" si="12"/>
        <v>0</v>
      </c>
      <c r="AL37" s="5">
        <f t="shared" si="13"/>
        <v>0</v>
      </c>
      <c r="AN37" s="5">
        <v>21</v>
      </c>
      <c r="AO37" s="5">
        <f t="shared" si="14"/>
        <v>0</v>
      </c>
      <c r="AP37" s="5">
        <f t="shared" si="15"/>
        <v>0</v>
      </c>
      <c r="AQ37" s="6" t="s">
        <v>60</v>
      </c>
      <c r="AV37" s="5">
        <f t="shared" si="16"/>
        <v>0</v>
      </c>
      <c r="AW37" s="5">
        <f t="shared" si="17"/>
        <v>0</v>
      </c>
      <c r="AX37" s="5">
        <f t="shared" si="18"/>
        <v>0</v>
      </c>
      <c r="AY37" s="6" t="s">
        <v>101</v>
      </c>
      <c r="AZ37" s="6" t="s">
        <v>62</v>
      </c>
      <c r="BA37" s="3" t="s">
        <v>63</v>
      </c>
      <c r="BC37" s="5">
        <f t="shared" si="19"/>
        <v>0</v>
      </c>
      <c r="BD37" s="5">
        <f t="shared" si="20"/>
        <v>0</v>
      </c>
      <c r="BE37" s="5">
        <v>0</v>
      </c>
      <c r="BF37" s="5">
        <f>37</f>
        <v>37</v>
      </c>
      <c r="BH37" s="5">
        <f t="shared" si="21"/>
        <v>0</v>
      </c>
      <c r="BI37" s="5">
        <f t="shared" si="22"/>
        <v>0</v>
      </c>
      <c r="BJ37" s="5">
        <f t="shared" si="23"/>
        <v>0</v>
      </c>
      <c r="BK37" s="5"/>
      <c r="BL37" s="5"/>
      <c r="BW37" s="5">
        <v>21</v>
      </c>
      <c r="BX37" s="2" t="s">
        <v>104</v>
      </c>
    </row>
    <row r="38" spans="1:76" x14ac:dyDescent="0.25">
      <c r="A38" s="146" t="s">
        <v>105</v>
      </c>
      <c r="B38" s="149" t="s">
        <v>106</v>
      </c>
      <c r="C38" s="116" t="s">
        <v>107</v>
      </c>
      <c r="D38" s="112"/>
      <c r="E38" s="149" t="s">
        <v>99</v>
      </c>
      <c r="F38" s="152">
        <v>1</v>
      </c>
      <c r="G38" s="152">
        <v>0</v>
      </c>
      <c r="H38" s="152">
        <f t="shared" si="0"/>
        <v>0</v>
      </c>
      <c r="I38" s="152">
        <f t="shared" si="1"/>
        <v>0</v>
      </c>
      <c r="J38" s="152">
        <f t="shared" si="2"/>
        <v>0</v>
      </c>
      <c r="K38" s="153" t="s">
        <v>100</v>
      </c>
      <c r="Z38" s="5">
        <f t="shared" si="3"/>
        <v>0</v>
      </c>
      <c r="AB38" s="5">
        <f t="shared" si="4"/>
        <v>0</v>
      </c>
      <c r="AC38" s="5">
        <f t="shared" si="5"/>
        <v>0</v>
      </c>
      <c r="AD38" s="5">
        <f t="shared" si="6"/>
        <v>0</v>
      </c>
      <c r="AE38" s="5">
        <f t="shared" si="7"/>
        <v>0</v>
      </c>
      <c r="AF38" s="5">
        <f t="shared" si="8"/>
        <v>0</v>
      </c>
      <c r="AG38" s="5">
        <f t="shared" si="9"/>
        <v>0</v>
      </c>
      <c r="AH38" s="5">
        <f t="shared" si="10"/>
        <v>0</v>
      </c>
      <c r="AI38" s="3" t="s">
        <v>56</v>
      </c>
      <c r="AJ38" s="5">
        <f t="shared" si="11"/>
        <v>0</v>
      </c>
      <c r="AK38" s="5">
        <f t="shared" si="12"/>
        <v>0</v>
      </c>
      <c r="AL38" s="5">
        <f t="shared" si="13"/>
        <v>0</v>
      </c>
      <c r="AN38" s="5">
        <v>21</v>
      </c>
      <c r="AO38" s="5">
        <f t="shared" si="14"/>
        <v>0</v>
      </c>
      <c r="AP38" s="5">
        <f t="shared" si="15"/>
        <v>0</v>
      </c>
      <c r="AQ38" s="6" t="s">
        <v>60</v>
      </c>
      <c r="AV38" s="5">
        <f t="shared" si="16"/>
        <v>0</v>
      </c>
      <c r="AW38" s="5">
        <f t="shared" si="17"/>
        <v>0</v>
      </c>
      <c r="AX38" s="5">
        <f t="shared" si="18"/>
        <v>0</v>
      </c>
      <c r="AY38" s="6" t="s">
        <v>101</v>
      </c>
      <c r="AZ38" s="6" t="s">
        <v>62</v>
      </c>
      <c r="BA38" s="3" t="s">
        <v>63</v>
      </c>
      <c r="BC38" s="5">
        <f t="shared" si="19"/>
        <v>0</v>
      </c>
      <c r="BD38" s="5">
        <f t="shared" si="20"/>
        <v>0</v>
      </c>
      <c r="BE38" s="5">
        <v>0</v>
      </c>
      <c r="BF38" s="5">
        <f>38</f>
        <v>38</v>
      </c>
      <c r="BH38" s="5">
        <f t="shared" si="21"/>
        <v>0</v>
      </c>
      <c r="BI38" s="5">
        <f t="shared" si="22"/>
        <v>0</v>
      </c>
      <c r="BJ38" s="5">
        <f t="shared" si="23"/>
        <v>0</v>
      </c>
      <c r="BK38" s="5"/>
      <c r="BL38" s="5"/>
      <c r="BW38" s="5">
        <v>21</v>
      </c>
      <c r="BX38" s="2" t="s">
        <v>107</v>
      </c>
    </row>
    <row r="39" spans="1:76" x14ac:dyDescent="0.25">
      <c r="A39" s="146" t="s">
        <v>108</v>
      </c>
      <c r="B39" s="149" t="s">
        <v>109</v>
      </c>
      <c r="C39" s="116" t="s">
        <v>110</v>
      </c>
      <c r="D39" s="112"/>
      <c r="E39" s="149" t="s">
        <v>99</v>
      </c>
      <c r="F39" s="152">
        <v>1</v>
      </c>
      <c r="G39" s="152">
        <v>0</v>
      </c>
      <c r="H39" s="152">
        <f t="shared" si="0"/>
        <v>0</v>
      </c>
      <c r="I39" s="152">
        <f t="shared" si="1"/>
        <v>0</v>
      </c>
      <c r="J39" s="152">
        <f t="shared" si="2"/>
        <v>0</v>
      </c>
      <c r="K39" s="153" t="s">
        <v>100</v>
      </c>
      <c r="Z39" s="5">
        <f t="shared" si="3"/>
        <v>0</v>
      </c>
      <c r="AB39" s="5">
        <f t="shared" si="4"/>
        <v>0</v>
      </c>
      <c r="AC39" s="5">
        <f t="shared" si="5"/>
        <v>0</v>
      </c>
      <c r="AD39" s="5">
        <f t="shared" si="6"/>
        <v>0</v>
      </c>
      <c r="AE39" s="5">
        <f t="shared" si="7"/>
        <v>0</v>
      </c>
      <c r="AF39" s="5">
        <f t="shared" si="8"/>
        <v>0</v>
      </c>
      <c r="AG39" s="5">
        <f t="shared" si="9"/>
        <v>0</v>
      </c>
      <c r="AH39" s="5">
        <f t="shared" si="10"/>
        <v>0</v>
      </c>
      <c r="AI39" s="3" t="s">
        <v>56</v>
      </c>
      <c r="AJ39" s="5">
        <f t="shared" si="11"/>
        <v>0</v>
      </c>
      <c r="AK39" s="5">
        <f t="shared" si="12"/>
        <v>0</v>
      </c>
      <c r="AL39" s="5">
        <f t="shared" si="13"/>
        <v>0</v>
      </c>
      <c r="AN39" s="5">
        <v>21</v>
      </c>
      <c r="AO39" s="5">
        <f t="shared" si="14"/>
        <v>0</v>
      </c>
      <c r="AP39" s="5">
        <f t="shared" si="15"/>
        <v>0</v>
      </c>
      <c r="AQ39" s="6" t="s">
        <v>60</v>
      </c>
      <c r="AV39" s="5">
        <f t="shared" si="16"/>
        <v>0</v>
      </c>
      <c r="AW39" s="5">
        <f t="shared" si="17"/>
        <v>0</v>
      </c>
      <c r="AX39" s="5">
        <f t="shared" si="18"/>
        <v>0</v>
      </c>
      <c r="AY39" s="6" t="s">
        <v>101</v>
      </c>
      <c r="AZ39" s="6" t="s">
        <v>62</v>
      </c>
      <c r="BA39" s="3" t="s">
        <v>63</v>
      </c>
      <c r="BC39" s="5">
        <f t="shared" si="19"/>
        <v>0</v>
      </c>
      <c r="BD39" s="5">
        <f t="shared" si="20"/>
        <v>0</v>
      </c>
      <c r="BE39" s="5">
        <v>0</v>
      </c>
      <c r="BF39" s="5">
        <f>39</f>
        <v>39</v>
      </c>
      <c r="BH39" s="5">
        <f t="shared" si="21"/>
        <v>0</v>
      </c>
      <c r="BI39" s="5">
        <f t="shared" si="22"/>
        <v>0</v>
      </c>
      <c r="BJ39" s="5">
        <f t="shared" si="23"/>
        <v>0</v>
      </c>
      <c r="BK39" s="5"/>
      <c r="BL39" s="5"/>
      <c r="BW39" s="5">
        <v>21</v>
      </c>
      <c r="BX39" s="2" t="s">
        <v>110</v>
      </c>
    </row>
    <row r="40" spans="1:76" x14ac:dyDescent="0.25">
      <c r="A40" s="146" t="s">
        <v>111</v>
      </c>
      <c r="B40" s="149" t="s">
        <v>112</v>
      </c>
      <c r="C40" s="116" t="s">
        <v>113</v>
      </c>
      <c r="D40" s="112"/>
      <c r="E40" s="149" t="s">
        <v>99</v>
      </c>
      <c r="F40" s="152">
        <v>1</v>
      </c>
      <c r="G40" s="152">
        <v>0</v>
      </c>
      <c r="H40" s="152">
        <f t="shared" si="0"/>
        <v>0</v>
      </c>
      <c r="I40" s="152">
        <f t="shared" si="1"/>
        <v>0</v>
      </c>
      <c r="J40" s="152">
        <f t="shared" si="2"/>
        <v>0</v>
      </c>
      <c r="K40" s="153" t="s">
        <v>100</v>
      </c>
      <c r="Z40" s="5">
        <f t="shared" si="3"/>
        <v>0</v>
      </c>
      <c r="AB40" s="5">
        <f t="shared" si="4"/>
        <v>0</v>
      </c>
      <c r="AC40" s="5">
        <f t="shared" si="5"/>
        <v>0</v>
      </c>
      <c r="AD40" s="5">
        <f t="shared" si="6"/>
        <v>0</v>
      </c>
      <c r="AE40" s="5">
        <f t="shared" si="7"/>
        <v>0</v>
      </c>
      <c r="AF40" s="5">
        <f t="shared" si="8"/>
        <v>0</v>
      </c>
      <c r="AG40" s="5">
        <f t="shared" si="9"/>
        <v>0</v>
      </c>
      <c r="AH40" s="5">
        <f t="shared" si="10"/>
        <v>0</v>
      </c>
      <c r="AI40" s="3" t="s">
        <v>56</v>
      </c>
      <c r="AJ40" s="5">
        <f t="shared" si="11"/>
        <v>0</v>
      </c>
      <c r="AK40" s="5">
        <f t="shared" si="12"/>
        <v>0</v>
      </c>
      <c r="AL40" s="5">
        <f t="shared" si="13"/>
        <v>0</v>
      </c>
      <c r="AN40" s="5">
        <v>21</v>
      </c>
      <c r="AO40" s="5">
        <f t="shared" si="14"/>
        <v>0</v>
      </c>
      <c r="AP40" s="5">
        <f t="shared" si="15"/>
        <v>0</v>
      </c>
      <c r="AQ40" s="6" t="s">
        <v>60</v>
      </c>
      <c r="AV40" s="5">
        <f t="shared" si="16"/>
        <v>0</v>
      </c>
      <c r="AW40" s="5">
        <f t="shared" si="17"/>
        <v>0</v>
      </c>
      <c r="AX40" s="5">
        <f t="shared" si="18"/>
        <v>0</v>
      </c>
      <c r="AY40" s="6" t="s">
        <v>101</v>
      </c>
      <c r="AZ40" s="6" t="s">
        <v>62</v>
      </c>
      <c r="BA40" s="3" t="s">
        <v>63</v>
      </c>
      <c r="BC40" s="5">
        <f t="shared" si="19"/>
        <v>0</v>
      </c>
      <c r="BD40" s="5">
        <f t="shared" si="20"/>
        <v>0</v>
      </c>
      <c r="BE40" s="5">
        <v>0</v>
      </c>
      <c r="BF40" s="5">
        <f>40</f>
        <v>40</v>
      </c>
      <c r="BH40" s="5">
        <f t="shared" si="21"/>
        <v>0</v>
      </c>
      <c r="BI40" s="5">
        <f t="shared" si="22"/>
        <v>0</v>
      </c>
      <c r="BJ40" s="5">
        <f t="shared" si="23"/>
        <v>0</v>
      </c>
      <c r="BK40" s="5"/>
      <c r="BL40" s="5"/>
      <c r="BW40" s="5">
        <v>21</v>
      </c>
      <c r="BX40" s="2" t="s">
        <v>113</v>
      </c>
    </row>
    <row r="41" spans="1:76" x14ac:dyDescent="0.25">
      <c r="A41" s="146" t="s">
        <v>114</v>
      </c>
      <c r="B41" s="149" t="s">
        <v>115</v>
      </c>
      <c r="C41" s="116" t="s">
        <v>116</v>
      </c>
      <c r="D41" s="112"/>
      <c r="E41" s="149" t="s">
        <v>99</v>
      </c>
      <c r="F41" s="152">
        <v>1</v>
      </c>
      <c r="G41" s="152">
        <v>0</v>
      </c>
      <c r="H41" s="152">
        <f t="shared" si="0"/>
        <v>0</v>
      </c>
      <c r="I41" s="152">
        <f t="shared" si="1"/>
        <v>0</v>
      </c>
      <c r="J41" s="152">
        <f t="shared" si="2"/>
        <v>0</v>
      </c>
      <c r="K41" s="153" t="s">
        <v>100</v>
      </c>
      <c r="Z41" s="5">
        <f t="shared" si="3"/>
        <v>0</v>
      </c>
      <c r="AB41" s="5">
        <f t="shared" si="4"/>
        <v>0</v>
      </c>
      <c r="AC41" s="5">
        <f t="shared" si="5"/>
        <v>0</v>
      </c>
      <c r="AD41" s="5">
        <f t="shared" si="6"/>
        <v>0</v>
      </c>
      <c r="AE41" s="5">
        <f t="shared" si="7"/>
        <v>0</v>
      </c>
      <c r="AF41" s="5">
        <f t="shared" si="8"/>
        <v>0</v>
      </c>
      <c r="AG41" s="5">
        <f t="shared" si="9"/>
        <v>0</v>
      </c>
      <c r="AH41" s="5">
        <f t="shared" si="10"/>
        <v>0</v>
      </c>
      <c r="AI41" s="3" t="s">
        <v>56</v>
      </c>
      <c r="AJ41" s="5">
        <f t="shared" si="11"/>
        <v>0</v>
      </c>
      <c r="AK41" s="5">
        <f t="shared" si="12"/>
        <v>0</v>
      </c>
      <c r="AL41" s="5">
        <f t="shared" si="13"/>
        <v>0</v>
      </c>
      <c r="AN41" s="5">
        <v>21</v>
      </c>
      <c r="AO41" s="5">
        <f t="shared" si="14"/>
        <v>0</v>
      </c>
      <c r="AP41" s="5">
        <f t="shared" si="15"/>
        <v>0</v>
      </c>
      <c r="AQ41" s="6" t="s">
        <v>60</v>
      </c>
      <c r="AV41" s="5">
        <f t="shared" si="16"/>
        <v>0</v>
      </c>
      <c r="AW41" s="5">
        <f t="shared" si="17"/>
        <v>0</v>
      </c>
      <c r="AX41" s="5">
        <f t="shared" si="18"/>
        <v>0</v>
      </c>
      <c r="AY41" s="6" t="s">
        <v>101</v>
      </c>
      <c r="AZ41" s="6" t="s">
        <v>62</v>
      </c>
      <c r="BA41" s="3" t="s">
        <v>63</v>
      </c>
      <c r="BC41" s="5">
        <f t="shared" si="19"/>
        <v>0</v>
      </c>
      <c r="BD41" s="5">
        <f t="shared" si="20"/>
        <v>0</v>
      </c>
      <c r="BE41" s="5">
        <v>0</v>
      </c>
      <c r="BF41" s="5">
        <f>41</f>
        <v>41</v>
      </c>
      <c r="BH41" s="5">
        <f t="shared" si="21"/>
        <v>0</v>
      </c>
      <c r="BI41" s="5">
        <f t="shared" si="22"/>
        <v>0</v>
      </c>
      <c r="BJ41" s="5">
        <f t="shared" si="23"/>
        <v>0</v>
      </c>
      <c r="BK41" s="5"/>
      <c r="BL41" s="5"/>
      <c r="BW41" s="5">
        <v>21</v>
      </c>
      <c r="BX41" s="2" t="s">
        <v>116</v>
      </c>
    </row>
    <row r="42" spans="1:76" x14ac:dyDescent="0.25">
      <c r="A42" s="146" t="s">
        <v>117</v>
      </c>
      <c r="B42" s="149" t="s">
        <v>118</v>
      </c>
      <c r="C42" s="116" t="s">
        <v>119</v>
      </c>
      <c r="D42" s="112"/>
      <c r="E42" s="149" t="s">
        <v>99</v>
      </c>
      <c r="F42" s="152">
        <v>1</v>
      </c>
      <c r="G42" s="152">
        <v>0</v>
      </c>
      <c r="H42" s="152">
        <f t="shared" si="0"/>
        <v>0</v>
      </c>
      <c r="I42" s="152">
        <f t="shared" si="1"/>
        <v>0</v>
      </c>
      <c r="J42" s="152">
        <f t="shared" si="2"/>
        <v>0</v>
      </c>
      <c r="K42" s="153" t="s">
        <v>100</v>
      </c>
      <c r="Z42" s="5">
        <f t="shared" si="3"/>
        <v>0</v>
      </c>
      <c r="AB42" s="5">
        <f t="shared" si="4"/>
        <v>0</v>
      </c>
      <c r="AC42" s="5">
        <f t="shared" si="5"/>
        <v>0</v>
      </c>
      <c r="AD42" s="5">
        <f t="shared" si="6"/>
        <v>0</v>
      </c>
      <c r="AE42" s="5">
        <f t="shared" si="7"/>
        <v>0</v>
      </c>
      <c r="AF42" s="5">
        <f t="shared" si="8"/>
        <v>0</v>
      </c>
      <c r="AG42" s="5">
        <f t="shared" si="9"/>
        <v>0</v>
      </c>
      <c r="AH42" s="5">
        <f t="shared" si="10"/>
        <v>0</v>
      </c>
      <c r="AI42" s="3" t="s">
        <v>56</v>
      </c>
      <c r="AJ42" s="5">
        <f t="shared" si="11"/>
        <v>0</v>
      </c>
      <c r="AK42" s="5">
        <f t="shared" si="12"/>
        <v>0</v>
      </c>
      <c r="AL42" s="5">
        <f t="shared" si="13"/>
        <v>0</v>
      </c>
      <c r="AN42" s="5">
        <v>21</v>
      </c>
      <c r="AO42" s="5">
        <f t="shared" si="14"/>
        <v>0</v>
      </c>
      <c r="AP42" s="5">
        <f t="shared" si="15"/>
        <v>0</v>
      </c>
      <c r="AQ42" s="6" t="s">
        <v>60</v>
      </c>
      <c r="AV42" s="5">
        <f t="shared" si="16"/>
        <v>0</v>
      </c>
      <c r="AW42" s="5">
        <f t="shared" si="17"/>
        <v>0</v>
      </c>
      <c r="AX42" s="5">
        <f t="shared" si="18"/>
        <v>0</v>
      </c>
      <c r="AY42" s="6" t="s">
        <v>101</v>
      </c>
      <c r="AZ42" s="6" t="s">
        <v>62</v>
      </c>
      <c r="BA42" s="3" t="s">
        <v>63</v>
      </c>
      <c r="BC42" s="5">
        <f t="shared" si="19"/>
        <v>0</v>
      </c>
      <c r="BD42" s="5">
        <f t="shared" si="20"/>
        <v>0</v>
      </c>
      <c r="BE42" s="5">
        <v>0</v>
      </c>
      <c r="BF42" s="5">
        <f>42</f>
        <v>42</v>
      </c>
      <c r="BH42" s="5">
        <f t="shared" si="21"/>
        <v>0</v>
      </c>
      <c r="BI42" s="5">
        <f t="shared" si="22"/>
        <v>0</v>
      </c>
      <c r="BJ42" s="5">
        <f t="shared" si="23"/>
        <v>0</v>
      </c>
      <c r="BK42" s="5"/>
      <c r="BL42" s="5"/>
      <c r="BW42" s="5">
        <v>21</v>
      </c>
      <c r="BX42" s="2" t="s">
        <v>119</v>
      </c>
    </row>
    <row r="43" spans="1:76" x14ac:dyDescent="0.25">
      <c r="A43" s="146" t="s">
        <v>120</v>
      </c>
      <c r="B43" s="149" t="s">
        <v>121</v>
      </c>
      <c r="C43" s="116" t="s">
        <v>122</v>
      </c>
      <c r="D43" s="112"/>
      <c r="E43" s="149" t="s">
        <v>99</v>
      </c>
      <c r="F43" s="152">
        <v>1</v>
      </c>
      <c r="G43" s="152">
        <v>0</v>
      </c>
      <c r="H43" s="152">
        <f t="shared" si="0"/>
        <v>0</v>
      </c>
      <c r="I43" s="152">
        <f t="shared" si="1"/>
        <v>0</v>
      </c>
      <c r="J43" s="152">
        <f t="shared" si="2"/>
        <v>0</v>
      </c>
      <c r="K43" s="153" t="s">
        <v>100</v>
      </c>
      <c r="Z43" s="5">
        <f t="shared" si="3"/>
        <v>0</v>
      </c>
      <c r="AB43" s="5">
        <f t="shared" si="4"/>
        <v>0</v>
      </c>
      <c r="AC43" s="5">
        <f t="shared" si="5"/>
        <v>0</v>
      </c>
      <c r="AD43" s="5">
        <f t="shared" si="6"/>
        <v>0</v>
      </c>
      <c r="AE43" s="5">
        <f t="shared" si="7"/>
        <v>0</v>
      </c>
      <c r="AF43" s="5">
        <f t="shared" si="8"/>
        <v>0</v>
      </c>
      <c r="AG43" s="5">
        <f t="shared" si="9"/>
        <v>0</v>
      </c>
      <c r="AH43" s="5">
        <f t="shared" si="10"/>
        <v>0</v>
      </c>
      <c r="AI43" s="3" t="s">
        <v>56</v>
      </c>
      <c r="AJ43" s="5">
        <f t="shared" si="11"/>
        <v>0</v>
      </c>
      <c r="AK43" s="5">
        <f t="shared" si="12"/>
        <v>0</v>
      </c>
      <c r="AL43" s="5">
        <f t="shared" si="13"/>
        <v>0</v>
      </c>
      <c r="AN43" s="5">
        <v>21</v>
      </c>
      <c r="AO43" s="5">
        <f t="shared" si="14"/>
        <v>0</v>
      </c>
      <c r="AP43" s="5">
        <f t="shared" si="15"/>
        <v>0</v>
      </c>
      <c r="AQ43" s="6" t="s">
        <v>60</v>
      </c>
      <c r="AV43" s="5">
        <f t="shared" si="16"/>
        <v>0</v>
      </c>
      <c r="AW43" s="5">
        <f t="shared" si="17"/>
        <v>0</v>
      </c>
      <c r="AX43" s="5">
        <f t="shared" si="18"/>
        <v>0</v>
      </c>
      <c r="AY43" s="6" t="s">
        <v>101</v>
      </c>
      <c r="AZ43" s="6" t="s">
        <v>62</v>
      </c>
      <c r="BA43" s="3" t="s">
        <v>63</v>
      </c>
      <c r="BC43" s="5">
        <f t="shared" si="19"/>
        <v>0</v>
      </c>
      <c r="BD43" s="5">
        <f t="shared" si="20"/>
        <v>0</v>
      </c>
      <c r="BE43" s="5">
        <v>0</v>
      </c>
      <c r="BF43" s="5">
        <f>43</f>
        <v>43</v>
      </c>
      <c r="BH43" s="5">
        <f t="shared" si="21"/>
        <v>0</v>
      </c>
      <c r="BI43" s="5">
        <f t="shared" si="22"/>
        <v>0</v>
      </c>
      <c r="BJ43" s="5">
        <f t="shared" si="23"/>
        <v>0</v>
      </c>
      <c r="BK43" s="5"/>
      <c r="BL43" s="5"/>
      <c r="BW43" s="5">
        <v>21</v>
      </c>
      <c r="BX43" s="2" t="s">
        <v>122</v>
      </c>
    </row>
    <row r="44" spans="1:76" x14ac:dyDescent="0.25">
      <c r="A44" s="146" t="s">
        <v>52</v>
      </c>
      <c r="B44" s="147" t="s">
        <v>123</v>
      </c>
      <c r="C44" s="148" t="s">
        <v>124</v>
      </c>
      <c r="D44" s="113"/>
      <c r="E44" s="149" t="s">
        <v>33</v>
      </c>
      <c r="F44" s="149" t="s">
        <v>33</v>
      </c>
      <c r="G44" s="149" t="s">
        <v>33</v>
      </c>
      <c r="H44" s="150">
        <f>SUM(H45:H71)</f>
        <v>0</v>
      </c>
      <c r="I44" s="150">
        <f>SUM(I45:I71)</f>
        <v>0</v>
      </c>
      <c r="J44" s="150">
        <f>SUM(J45:J71)</f>
        <v>0</v>
      </c>
      <c r="K44" s="151" t="s">
        <v>52</v>
      </c>
      <c r="AI44" s="3" t="s">
        <v>56</v>
      </c>
      <c r="AS44" s="1">
        <f>SUM(AJ45:AJ71)</f>
        <v>0</v>
      </c>
      <c r="AT44" s="1">
        <f>SUM(AK45:AK71)</f>
        <v>0</v>
      </c>
      <c r="AU44" s="1">
        <f>SUM(AL45:AL71)</f>
        <v>0</v>
      </c>
    </row>
    <row r="45" spans="1:76" x14ac:dyDescent="0.25">
      <c r="A45" s="146" t="s">
        <v>125</v>
      </c>
      <c r="B45" s="149" t="s">
        <v>126</v>
      </c>
      <c r="C45" s="116" t="s">
        <v>127</v>
      </c>
      <c r="D45" s="112"/>
      <c r="E45" s="149" t="s">
        <v>128</v>
      </c>
      <c r="F45" s="152">
        <v>76.344489999999993</v>
      </c>
      <c r="G45" s="152">
        <v>0</v>
      </c>
      <c r="H45" s="152">
        <f>F45*AO45</f>
        <v>0</v>
      </c>
      <c r="I45" s="152">
        <f>F45*AP45</f>
        <v>0</v>
      </c>
      <c r="J45" s="152">
        <f>F45*G45</f>
        <v>0</v>
      </c>
      <c r="K45" s="153" t="s">
        <v>70</v>
      </c>
      <c r="Z45" s="5">
        <f>IF(AQ45="5",BJ45,0)</f>
        <v>0</v>
      </c>
      <c r="AB45" s="5">
        <f>IF(AQ45="1",BH45,0)</f>
        <v>0</v>
      </c>
      <c r="AC45" s="5">
        <f>IF(AQ45="1",BI45,0)</f>
        <v>0</v>
      </c>
      <c r="AD45" s="5">
        <f>IF(AQ45="7",BH45,0)</f>
        <v>0</v>
      </c>
      <c r="AE45" s="5">
        <f>IF(AQ45="7",BI45,0)</f>
        <v>0</v>
      </c>
      <c r="AF45" s="5">
        <f>IF(AQ45="2",BH45,0)</f>
        <v>0</v>
      </c>
      <c r="AG45" s="5">
        <f>IF(AQ45="2",BI45,0)</f>
        <v>0</v>
      </c>
      <c r="AH45" s="5">
        <f>IF(AQ45="0",BJ45,0)</f>
        <v>0</v>
      </c>
      <c r="AI45" s="3" t="s">
        <v>56</v>
      </c>
      <c r="AJ45" s="5">
        <f>IF(AN45=0,J45,0)</f>
        <v>0</v>
      </c>
      <c r="AK45" s="5">
        <f>IF(AN45=12,J45,0)</f>
        <v>0</v>
      </c>
      <c r="AL45" s="5">
        <f>IF(AN45=21,J45,0)</f>
        <v>0</v>
      </c>
      <c r="AN45" s="5">
        <v>21</v>
      </c>
      <c r="AO45" s="5">
        <f>G45*0</f>
        <v>0</v>
      </c>
      <c r="AP45" s="5">
        <f>G45*(1-0)</f>
        <v>0</v>
      </c>
      <c r="AQ45" s="6" t="s">
        <v>96</v>
      </c>
      <c r="AV45" s="5">
        <f>AW45+AX45</f>
        <v>0</v>
      </c>
      <c r="AW45" s="5">
        <f>F45*AO45</f>
        <v>0</v>
      </c>
      <c r="AX45" s="5">
        <f>F45*AP45</f>
        <v>0</v>
      </c>
      <c r="AY45" s="6" t="s">
        <v>129</v>
      </c>
      <c r="AZ45" s="6" t="s">
        <v>62</v>
      </c>
      <c r="BA45" s="3" t="s">
        <v>63</v>
      </c>
      <c r="BC45" s="5">
        <f>AW45+AX45</f>
        <v>0</v>
      </c>
      <c r="BD45" s="5">
        <f>G45/(100-BE45)*100</f>
        <v>0</v>
      </c>
      <c r="BE45" s="5">
        <v>0</v>
      </c>
      <c r="BF45" s="5">
        <f>45</f>
        <v>45</v>
      </c>
      <c r="BH45" s="5">
        <f>F45*AO45</f>
        <v>0</v>
      </c>
      <c r="BI45" s="5">
        <f>F45*AP45</f>
        <v>0</v>
      </c>
      <c r="BJ45" s="5">
        <f>F45*G45</f>
        <v>0</v>
      </c>
      <c r="BK45" s="5"/>
      <c r="BL45" s="5"/>
      <c r="BW45" s="5">
        <v>21</v>
      </c>
      <c r="BX45" s="2" t="s">
        <v>127</v>
      </c>
    </row>
    <row r="46" spans="1:76" ht="38.25" x14ac:dyDescent="0.25">
      <c r="A46" s="154"/>
      <c r="B46" s="163" t="s">
        <v>85</v>
      </c>
      <c r="C46" s="156" t="s">
        <v>130</v>
      </c>
      <c r="D46" s="157"/>
      <c r="E46" s="157"/>
      <c r="F46" s="157"/>
      <c r="G46" s="157"/>
      <c r="H46" s="157"/>
      <c r="I46" s="157"/>
      <c r="J46" s="157"/>
      <c r="K46" s="158"/>
      <c r="BX46" s="7" t="s">
        <v>130</v>
      </c>
    </row>
    <row r="47" spans="1:76" x14ac:dyDescent="0.25">
      <c r="A47" s="146" t="s">
        <v>131</v>
      </c>
      <c r="B47" s="149" t="s">
        <v>132</v>
      </c>
      <c r="C47" s="116" t="s">
        <v>133</v>
      </c>
      <c r="D47" s="112"/>
      <c r="E47" s="149" t="s">
        <v>128</v>
      </c>
      <c r="F47" s="152">
        <v>229.03346999999999</v>
      </c>
      <c r="G47" s="152">
        <v>0</v>
      </c>
      <c r="H47" s="152">
        <f>F47*AO47</f>
        <v>0</v>
      </c>
      <c r="I47" s="152">
        <f>F47*AP47</f>
        <v>0</v>
      </c>
      <c r="J47" s="152">
        <f>F47*G47</f>
        <v>0</v>
      </c>
      <c r="K47" s="153" t="s">
        <v>70</v>
      </c>
      <c r="Z47" s="5">
        <f>IF(AQ47="5",BJ47,0)</f>
        <v>0</v>
      </c>
      <c r="AB47" s="5">
        <f>IF(AQ47="1",BH47,0)</f>
        <v>0</v>
      </c>
      <c r="AC47" s="5">
        <f>IF(AQ47="1",BI47,0)</f>
        <v>0</v>
      </c>
      <c r="AD47" s="5">
        <f>IF(AQ47="7",BH47,0)</f>
        <v>0</v>
      </c>
      <c r="AE47" s="5">
        <f>IF(AQ47="7",BI47,0)</f>
        <v>0</v>
      </c>
      <c r="AF47" s="5">
        <f>IF(AQ47="2",BH47,0)</f>
        <v>0</v>
      </c>
      <c r="AG47" s="5">
        <f>IF(AQ47="2",BI47,0)</f>
        <v>0</v>
      </c>
      <c r="AH47" s="5">
        <f>IF(AQ47="0",BJ47,0)</f>
        <v>0</v>
      </c>
      <c r="AI47" s="3" t="s">
        <v>56</v>
      </c>
      <c r="AJ47" s="5">
        <f>IF(AN47=0,J47,0)</f>
        <v>0</v>
      </c>
      <c r="AK47" s="5">
        <f>IF(AN47=12,J47,0)</f>
        <v>0</v>
      </c>
      <c r="AL47" s="5">
        <f>IF(AN47=21,J47,0)</f>
        <v>0</v>
      </c>
      <c r="AN47" s="5">
        <v>21</v>
      </c>
      <c r="AO47" s="5">
        <f>G47*0</f>
        <v>0</v>
      </c>
      <c r="AP47" s="5">
        <f>G47*(1-0)</f>
        <v>0</v>
      </c>
      <c r="AQ47" s="6" t="s">
        <v>96</v>
      </c>
      <c r="AV47" s="5">
        <f>AW47+AX47</f>
        <v>0</v>
      </c>
      <c r="AW47" s="5">
        <f>F47*AO47</f>
        <v>0</v>
      </c>
      <c r="AX47" s="5">
        <f>F47*AP47</f>
        <v>0</v>
      </c>
      <c r="AY47" s="6" t="s">
        <v>129</v>
      </c>
      <c r="AZ47" s="6" t="s">
        <v>62</v>
      </c>
      <c r="BA47" s="3" t="s">
        <v>63</v>
      </c>
      <c r="BC47" s="5">
        <f>AW47+AX47</f>
        <v>0</v>
      </c>
      <c r="BD47" s="5">
        <f>G47/(100-BE47)*100</f>
        <v>0</v>
      </c>
      <c r="BE47" s="5">
        <v>0</v>
      </c>
      <c r="BF47" s="5">
        <f>47</f>
        <v>47</v>
      </c>
      <c r="BH47" s="5">
        <f>F47*AO47</f>
        <v>0</v>
      </c>
      <c r="BI47" s="5">
        <f>F47*AP47</f>
        <v>0</v>
      </c>
      <c r="BJ47" s="5">
        <f>F47*G47</f>
        <v>0</v>
      </c>
      <c r="BK47" s="5"/>
      <c r="BL47" s="5"/>
      <c r="BW47" s="5">
        <v>21</v>
      </c>
      <c r="BX47" s="2" t="s">
        <v>133</v>
      </c>
    </row>
    <row r="48" spans="1:76" x14ac:dyDescent="0.25">
      <c r="A48" s="154"/>
      <c r="B48" s="155"/>
      <c r="C48" s="159" t="s">
        <v>134</v>
      </c>
      <c r="D48" s="160" t="s">
        <v>52</v>
      </c>
      <c r="E48" s="155"/>
      <c r="F48" s="161">
        <v>229.03346999999999</v>
      </c>
      <c r="G48" s="155"/>
      <c r="H48" s="155"/>
      <c r="I48" s="155"/>
      <c r="J48" s="155"/>
      <c r="K48" s="162"/>
    </row>
    <row r="49" spans="1:76" x14ac:dyDescent="0.25">
      <c r="A49" s="146" t="s">
        <v>135</v>
      </c>
      <c r="B49" s="149" t="s">
        <v>136</v>
      </c>
      <c r="C49" s="116" t="s">
        <v>137</v>
      </c>
      <c r="D49" s="112"/>
      <c r="E49" s="149" t="s">
        <v>128</v>
      </c>
      <c r="F49" s="152">
        <v>76.344489999999993</v>
      </c>
      <c r="G49" s="152">
        <v>0</v>
      </c>
      <c r="H49" s="152">
        <f>F49*AO49</f>
        <v>0</v>
      </c>
      <c r="I49" s="152">
        <f>F49*AP49</f>
        <v>0</v>
      </c>
      <c r="J49" s="152">
        <f>F49*G49</f>
        <v>0</v>
      </c>
      <c r="K49" s="153" t="s">
        <v>138</v>
      </c>
      <c r="Z49" s="5">
        <f>IF(AQ49="5",BJ49,0)</f>
        <v>0</v>
      </c>
      <c r="AB49" s="5">
        <f>IF(AQ49="1",BH49,0)</f>
        <v>0</v>
      </c>
      <c r="AC49" s="5">
        <f>IF(AQ49="1",BI49,0)</f>
        <v>0</v>
      </c>
      <c r="AD49" s="5">
        <f>IF(AQ49="7",BH49,0)</f>
        <v>0</v>
      </c>
      <c r="AE49" s="5">
        <f>IF(AQ49="7",BI49,0)</f>
        <v>0</v>
      </c>
      <c r="AF49" s="5">
        <f>IF(AQ49="2",BH49,0)</f>
        <v>0</v>
      </c>
      <c r="AG49" s="5">
        <f>IF(AQ49="2",BI49,0)</f>
        <v>0</v>
      </c>
      <c r="AH49" s="5">
        <f>IF(AQ49="0",BJ49,0)</f>
        <v>0</v>
      </c>
      <c r="AI49" s="3" t="s">
        <v>56</v>
      </c>
      <c r="AJ49" s="5">
        <f>IF(AN49=0,J49,0)</f>
        <v>0</v>
      </c>
      <c r="AK49" s="5">
        <f>IF(AN49=12,J49,0)</f>
        <v>0</v>
      </c>
      <c r="AL49" s="5">
        <f>IF(AN49=21,J49,0)</f>
        <v>0</v>
      </c>
      <c r="AN49" s="5">
        <v>21</v>
      </c>
      <c r="AO49" s="5">
        <f>G49*0</f>
        <v>0</v>
      </c>
      <c r="AP49" s="5">
        <f>G49*(1-0)</f>
        <v>0</v>
      </c>
      <c r="AQ49" s="6" t="s">
        <v>96</v>
      </c>
      <c r="AV49" s="5">
        <f>AW49+AX49</f>
        <v>0</v>
      </c>
      <c r="AW49" s="5">
        <f>F49*AO49</f>
        <v>0</v>
      </c>
      <c r="AX49" s="5">
        <f>F49*AP49</f>
        <v>0</v>
      </c>
      <c r="AY49" s="6" t="s">
        <v>129</v>
      </c>
      <c r="AZ49" s="6" t="s">
        <v>62</v>
      </c>
      <c r="BA49" s="3" t="s">
        <v>63</v>
      </c>
      <c r="BC49" s="5">
        <f>AW49+AX49</f>
        <v>0</v>
      </c>
      <c r="BD49" s="5">
        <f>G49/(100-BE49)*100</f>
        <v>0</v>
      </c>
      <c r="BE49" s="5">
        <v>0</v>
      </c>
      <c r="BF49" s="5">
        <f>49</f>
        <v>49</v>
      </c>
      <c r="BH49" s="5">
        <f>F49*AO49</f>
        <v>0</v>
      </c>
      <c r="BI49" s="5">
        <f>F49*AP49</f>
        <v>0</v>
      </c>
      <c r="BJ49" s="5">
        <f>F49*G49</f>
        <v>0</v>
      </c>
      <c r="BK49" s="5"/>
      <c r="BL49" s="5"/>
      <c r="BW49" s="5">
        <v>21</v>
      </c>
      <c r="BX49" s="2" t="s">
        <v>137</v>
      </c>
    </row>
    <row r="50" spans="1:76" x14ac:dyDescent="0.25">
      <c r="A50" s="154"/>
      <c r="B50" s="155"/>
      <c r="C50" s="159" t="s">
        <v>139</v>
      </c>
      <c r="D50" s="160" t="s">
        <v>52</v>
      </c>
      <c r="E50" s="155"/>
      <c r="F50" s="161">
        <v>76.344489999999993</v>
      </c>
      <c r="G50" s="155"/>
      <c r="H50" s="155"/>
      <c r="I50" s="155"/>
      <c r="J50" s="155"/>
      <c r="K50" s="162"/>
    </row>
    <row r="51" spans="1:76" ht="13.5" customHeight="1" x14ac:dyDescent="0.25">
      <c r="A51" s="154"/>
      <c r="B51" s="163" t="s">
        <v>140</v>
      </c>
      <c r="C51" s="156" t="s">
        <v>141</v>
      </c>
      <c r="D51" s="157"/>
      <c r="E51" s="157"/>
      <c r="F51" s="157"/>
      <c r="G51" s="157"/>
      <c r="H51" s="157"/>
      <c r="I51" s="157"/>
      <c r="J51" s="157"/>
      <c r="K51" s="158"/>
    </row>
    <row r="52" spans="1:76" x14ac:dyDescent="0.25">
      <c r="A52" s="146" t="s">
        <v>142</v>
      </c>
      <c r="B52" s="149" t="s">
        <v>143</v>
      </c>
      <c r="C52" s="116" t="s">
        <v>144</v>
      </c>
      <c r="D52" s="112"/>
      <c r="E52" s="149" t="s">
        <v>128</v>
      </c>
      <c r="F52" s="152">
        <v>916.13387999999998</v>
      </c>
      <c r="G52" s="152">
        <v>0</v>
      </c>
      <c r="H52" s="152">
        <f>F52*AO52</f>
        <v>0</v>
      </c>
      <c r="I52" s="152">
        <f>F52*AP52</f>
        <v>0</v>
      </c>
      <c r="J52" s="152">
        <f>F52*G52</f>
        <v>0</v>
      </c>
      <c r="K52" s="153" t="s">
        <v>138</v>
      </c>
      <c r="Z52" s="5">
        <f>IF(AQ52="5",BJ52,0)</f>
        <v>0</v>
      </c>
      <c r="AB52" s="5">
        <f>IF(AQ52="1",BH52,0)</f>
        <v>0</v>
      </c>
      <c r="AC52" s="5">
        <f>IF(AQ52="1",BI52,0)</f>
        <v>0</v>
      </c>
      <c r="AD52" s="5">
        <f>IF(AQ52="7",BH52,0)</f>
        <v>0</v>
      </c>
      <c r="AE52" s="5">
        <f>IF(AQ52="7",BI52,0)</f>
        <v>0</v>
      </c>
      <c r="AF52" s="5">
        <f>IF(AQ52="2",BH52,0)</f>
        <v>0</v>
      </c>
      <c r="AG52" s="5">
        <f>IF(AQ52="2",BI52,0)</f>
        <v>0</v>
      </c>
      <c r="AH52" s="5">
        <f>IF(AQ52="0",BJ52,0)</f>
        <v>0</v>
      </c>
      <c r="AI52" s="3" t="s">
        <v>56</v>
      </c>
      <c r="AJ52" s="5">
        <f>IF(AN52=0,J52,0)</f>
        <v>0</v>
      </c>
      <c r="AK52" s="5">
        <f>IF(AN52=12,J52,0)</f>
        <v>0</v>
      </c>
      <c r="AL52" s="5">
        <f>IF(AN52=21,J52,0)</f>
        <v>0</v>
      </c>
      <c r="AN52" s="5">
        <v>21</v>
      </c>
      <c r="AO52" s="5">
        <f>G52*0</f>
        <v>0</v>
      </c>
      <c r="AP52" s="5">
        <f>G52*(1-0)</f>
        <v>0</v>
      </c>
      <c r="AQ52" s="6" t="s">
        <v>96</v>
      </c>
      <c r="AV52" s="5">
        <f>AW52+AX52</f>
        <v>0</v>
      </c>
      <c r="AW52" s="5">
        <f>F52*AO52</f>
        <v>0</v>
      </c>
      <c r="AX52" s="5">
        <f>F52*AP52</f>
        <v>0</v>
      </c>
      <c r="AY52" s="6" t="s">
        <v>129</v>
      </c>
      <c r="AZ52" s="6" t="s">
        <v>62</v>
      </c>
      <c r="BA52" s="3" t="s">
        <v>63</v>
      </c>
      <c r="BC52" s="5">
        <f>AW52+AX52</f>
        <v>0</v>
      </c>
      <c r="BD52" s="5">
        <f>G52/(100-BE52)*100</f>
        <v>0</v>
      </c>
      <c r="BE52" s="5">
        <v>0</v>
      </c>
      <c r="BF52" s="5">
        <f>52</f>
        <v>52</v>
      </c>
      <c r="BH52" s="5">
        <f>F52*AO52</f>
        <v>0</v>
      </c>
      <c r="BI52" s="5">
        <f>F52*AP52</f>
        <v>0</v>
      </c>
      <c r="BJ52" s="5">
        <f>F52*G52</f>
        <v>0</v>
      </c>
      <c r="BK52" s="5"/>
      <c r="BL52" s="5"/>
      <c r="BW52" s="5">
        <v>21</v>
      </c>
      <c r="BX52" s="2" t="s">
        <v>144</v>
      </c>
    </row>
    <row r="53" spans="1:76" x14ac:dyDescent="0.25">
      <c r="A53" s="154"/>
      <c r="B53" s="155"/>
      <c r="C53" s="159" t="s">
        <v>145</v>
      </c>
      <c r="D53" s="160" t="s">
        <v>52</v>
      </c>
      <c r="E53" s="155"/>
      <c r="F53" s="161">
        <v>916.13387999999998</v>
      </c>
      <c r="G53" s="155"/>
      <c r="H53" s="155"/>
      <c r="I53" s="155"/>
      <c r="J53" s="155"/>
      <c r="K53" s="162"/>
    </row>
    <row r="54" spans="1:76" ht="13.5" customHeight="1" x14ac:dyDescent="0.25">
      <c r="A54" s="154"/>
      <c r="B54" s="163" t="s">
        <v>140</v>
      </c>
      <c r="C54" s="156" t="s">
        <v>146</v>
      </c>
      <c r="D54" s="157"/>
      <c r="E54" s="157"/>
      <c r="F54" s="157"/>
      <c r="G54" s="157"/>
      <c r="H54" s="157"/>
      <c r="I54" s="157"/>
      <c r="J54" s="157"/>
      <c r="K54" s="158"/>
    </row>
    <row r="55" spans="1:76" x14ac:dyDescent="0.25">
      <c r="A55" s="146" t="s">
        <v>147</v>
      </c>
      <c r="B55" s="149" t="s">
        <v>148</v>
      </c>
      <c r="C55" s="116" t="s">
        <v>149</v>
      </c>
      <c r="D55" s="112"/>
      <c r="E55" s="149" t="s">
        <v>128</v>
      </c>
      <c r="F55" s="152">
        <v>76.344489999999993</v>
      </c>
      <c r="G55" s="152">
        <v>0</v>
      </c>
      <c r="H55" s="152">
        <f>F55*AO55</f>
        <v>0</v>
      </c>
      <c r="I55" s="152">
        <f>F55*AP55</f>
        <v>0</v>
      </c>
      <c r="J55" s="152">
        <f>F55*G55</f>
        <v>0</v>
      </c>
      <c r="K55" s="153" t="s">
        <v>138</v>
      </c>
      <c r="Z55" s="5">
        <f>IF(AQ55="5",BJ55,0)</f>
        <v>0</v>
      </c>
      <c r="AB55" s="5">
        <f>IF(AQ55="1",BH55,0)</f>
        <v>0</v>
      </c>
      <c r="AC55" s="5">
        <f>IF(AQ55="1",BI55,0)</f>
        <v>0</v>
      </c>
      <c r="AD55" s="5">
        <f>IF(AQ55="7",BH55,0)</f>
        <v>0</v>
      </c>
      <c r="AE55" s="5">
        <f>IF(AQ55="7",BI55,0)</f>
        <v>0</v>
      </c>
      <c r="AF55" s="5">
        <f>IF(AQ55="2",BH55,0)</f>
        <v>0</v>
      </c>
      <c r="AG55" s="5">
        <f>IF(AQ55="2",BI55,0)</f>
        <v>0</v>
      </c>
      <c r="AH55" s="5">
        <f>IF(AQ55="0",BJ55,0)</f>
        <v>0</v>
      </c>
      <c r="AI55" s="3" t="s">
        <v>56</v>
      </c>
      <c r="AJ55" s="5">
        <f>IF(AN55=0,J55,0)</f>
        <v>0</v>
      </c>
      <c r="AK55" s="5">
        <f>IF(AN55=12,J55,0)</f>
        <v>0</v>
      </c>
      <c r="AL55" s="5">
        <f>IF(AN55=21,J55,0)</f>
        <v>0</v>
      </c>
      <c r="AN55" s="5">
        <v>21</v>
      </c>
      <c r="AO55" s="5">
        <f>G55*0</f>
        <v>0</v>
      </c>
      <c r="AP55" s="5">
        <f>G55*(1-0)</f>
        <v>0</v>
      </c>
      <c r="AQ55" s="6" t="s">
        <v>96</v>
      </c>
      <c r="AV55" s="5">
        <f>AW55+AX55</f>
        <v>0</v>
      </c>
      <c r="AW55" s="5">
        <f>F55*AO55</f>
        <v>0</v>
      </c>
      <c r="AX55" s="5">
        <f>F55*AP55</f>
        <v>0</v>
      </c>
      <c r="AY55" s="6" t="s">
        <v>129</v>
      </c>
      <c r="AZ55" s="6" t="s">
        <v>62</v>
      </c>
      <c r="BA55" s="3" t="s">
        <v>63</v>
      </c>
      <c r="BC55" s="5">
        <f>AW55+AX55</f>
        <v>0</v>
      </c>
      <c r="BD55" s="5">
        <f>G55/(100-BE55)*100</f>
        <v>0</v>
      </c>
      <c r="BE55" s="5">
        <v>0</v>
      </c>
      <c r="BF55" s="5">
        <f>55</f>
        <v>55</v>
      </c>
      <c r="BH55" s="5">
        <f>F55*AO55</f>
        <v>0</v>
      </c>
      <c r="BI55" s="5">
        <f>F55*AP55</f>
        <v>0</v>
      </c>
      <c r="BJ55" s="5">
        <f>F55*G55</f>
        <v>0</v>
      </c>
      <c r="BK55" s="5"/>
      <c r="BL55" s="5"/>
      <c r="BW55" s="5">
        <v>21</v>
      </c>
      <c r="BX55" s="2" t="s">
        <v>149</v>
      </c>
    </row>
    <row r="56" spans="1:76" x14ac:dyDescent="0.25">
      <c r="A56" s="154"/>
      <c r="B56" s="155"/>
      <c r="C56" s="159" t="s">
        <v>139</v>
      </c>
      <c r="D56" s="160" t="s">
        <v>52</v>
      </c>
      <c r="E56" s="155"/>
      <c r="F56" s="161">
        <v>76.344489999999993</v>
      </c>
      <c r="G56" s="155"/>
      <c r="H56" s="155"/>
      <c r="I56" s="155"/>
      <c r="J56" s="155"/>
      <c r="K56" s="162"/>
    </row>
    <row r="57" spans="1:76" ht="13.5" customHeight="1" x14ac:dyDescent="0.25">
      <c r="A57" s="154"/>
      <c r="B57" s="163" t="s">
        <v>140</v>
      </c>
      <c r="C57" s="156" t="s">
        <v>141</v>
      </c>
      <c r="D57" s="157"/>
      <c r="E57" s="157"/>
      <c r="F57" s="157"/>
      <c r="G57" s="157"/>
      <c r="H57" s="157"/>
      <c r="I57" s="157"/>
      <c r="J57" s="157"/>
      <c r="K57" s="158"/>
    </row>
    <row r="58" spans="1:76" x14ac:dyDescent="0.25">
      <c r="A58" s="146" t="s">
        <v>150</v>
      </c>
      <c r="B58" s="149" t="s">
        <v>151</v>
      </c>
      <c r="C58" s="116" t="s">
        <v>152</v>
      </c>
      <c r="D58" s="112"/>
      <c r="E58" s="149" t="s">
        <v>128</v>
      </c>
      <c r="F58" s="152">
        <v>1221.5118399999999</v>
      </c>
      <c r="G58" s="152">
        <v>0</v>
      </c>
      <c r="H58" s="152">
        <f>F58*AO58</f>
        <v>0</v>
      </c>
      <c r="I58" s="152">
        <f>F58*AP58</f>
        <v>0</v>
      </c>
      <c r="J58" s="152">
        <f>F58*G58</f>
        <v>0</v>
      </c>
      <c r="K58" s="153" t="s">
        <v>138</v>
      </c>
      <c r="Z58" s="5">
        <f>IF(AQ58="5",BJ58,0)</f>
        <v>0</v>
      </c>
      <c r="AB58" s="5">
        <f>IF(AQ58="1",BH58,0)</f>
        <v>0</v>
      </c>
      <c r="AC58" s="5">
        <f>IF(AQ58="1",BI58,0)</f>
        <v>0</v>
      </c>
      <c r="AD58" s="5">
        <f>IF(AQ58="7",BH58,0)</f>
        <v>0</v>
      </c>
      <c r="AE58" s="5">
        <f>IF(AQ58="7",BI58,0)</f>
        <v>0</v>
      </c>
      <c r="AF58" s="5">
        <f>IF(AQ58="2",BH58,0)</f>
        <v>0</v>
      </c>
      <c r="AG58" s="5">
        <f>IF(AQ58="2",BI58,0)</f>
        <v>0</v>
      </c>
      <c r="AH58" s="5">
        <f>IF(AQ58="0",BJ58,0)</f>
        <v>0</v>
      </c>
      <c r="AI58" s="3" t="s">
        <v>56</v>
      </c>
      <c r="AJ58" s="5">
        <f>IF(AN58=0,J58,0)</f>
        <v>0</v>
      </c>
      <c r="AK58" s="5">
        <f>IF(AN58=12,J58,0)</f>
        <v>0</v>
      </c>
      <c r="AL58" s="5">
        <f>IF(AN58=21,J58,0)</f>
        <v>0</v>
      </c>
      <c r="AN58" s="5">
        <v>21</v>
      </c>
      <c r="AO58" s="5">
        <f>G58*0</f>
        <v>0</v>
      </c>
      <c r="AP58" s="5">
        <f>G58*(1-0)</f>
        <v>0</v>
      </c>
      <c r="AQ58" s="6" t="s">
        <v>96</v>
      </c>
      <c r="AV58" s="5">
        <f>AW58+AX58</f>
        <v>0</v>
      </c>
      <c r="AW58" s="5">
        <f>F58*AO58</f>
        <v>0</v>
      </c>
      <c r="AX58" s="5">
        <f>F58*AP58</f>
        <v>0</v>
      </c>
      <c r="AY58" s="6" t="s">
        <v>129</v>
      </c>
      <c r="AZ58" s="6" t="s">
        <v>62</v>
      </c>
      <c r="BA58" s="3" t="s">
        <v>63</v>
      </c>
      <c r="BC58" s="5">
        <f>AW58+AX58</f>
        <v>0</v>
      </c>
      <c r="BD58" s="5">
        <f>G58/(100-BE58)*100</f>
        <v>0</v>
      </c>
      <c r="BE58" s="5">
        <v>0</v>
      </c>
      <c r="BF58" s="5">
        <f>58</f>
        <v>58</v>
      </c>
      <c r="BH58" s="5">
        <f>F58*AO58</f>
        <v>0</v>
      </c>
      <c r="BI58" s="5">
        <f>F58*AP58</f>
        <v>0</v>
      </c>
      <c r="BJ58" s="5">
        <f>F58*G58</f>
        <v>0</v>
      </c>
      <c r="BK58" s="5"/>
      <c r="BL58" s="5"/>
      <c r="BW58" s="5">
        <v>21</v>
      </c>
      <c r="BX58" s="2" t="s">
        <v>152</v>
      </c>
    </row>
    <row r="59" spans="1:76" ht="13.5" customHeight="1" x14ac:dyDescent="0.25">
      <c r="A59" s="154"/>
      <c r="B59" s="155"/>
      <c r="C59" s="156" t="s">
        <v>153</v>
      </c>
      <c r="D59" s="157"/>
      <c r="E59" s="157"/>
      <c r="F59" s="157"/>
      <c r="G59" s="157"/>
      <c r="H59" s="157"/>
      <c r="I59" s="157"/>
      <c r="J59" s="157"/>
      <c r="K59" s="158"/>
    </row>
    <row r="60" spans="1:76" x14ac:dyDescent="0.25">
      <c r="A60" s="154"/>
      <c r="B60" s="155"/>
      <c r="C60" s="159" t="s">
        <v>154</v>
      </c>
      <c r="D60" s="160" t="s">
        <v>52</v>
      </c>
      <c r="E60" s="155"/>
      <c r="F60" s="161">
        <v>1221.5118399999999</v>
      </c>
      <c r="G60" s="155"/>
      <c r="H60" s="155"/>
      <c r="I60" s="155"/>
      <c r="J60" s="155"/>
      <c r="K60" s="162"/>
    </row>
    <row r="61" spans="1:76" ht="13.5" customHeight="1" x14ac:dyDescent="0.25">
      <c r="A61" s="154"/>
      <c r="B61" s="163" t="s">
        <v>140</v>
      </c>
      <c r="C61" s="156" t="s">
        <v>141</v>
      </c>
      <c r="D61" s="157"/>
      <c r="E61" s="157"/>
      <c r="F61" s="157"/>
      <c r="G61" s="157"/>
      <c r="H61" s="157"/>
      <c r="I61" s="157"/>
      <c r="J61" s="157"/>
      <c r="K61" s="158"/>
    </row>
    <row r="62" spans="1:76" x14ac:dyDescent="0.25">
      <c r="A62" s="146" t="s">
        <v>155</v>
      </c>
      <c r="B62" s="149" t="s">
        <v>156</v>
      </c>
      <c r="C62" s="116" t="s">
        <v>157</v>
      </c>
      <c r="D62" s="112"/>
      <c r="E62" s="149" t="s">
        <v>128</v>
      </c>
      <c r="F62" s="152">
        <v>107.67316</v>
      </c>
      <c r="G62" s="152">
        <v>0</v>
      </c>
      <c r="H62" s="152">
        <f>F62*AO62</f>
        <v>0</v>
      </c>
      <c r="I62" s="152">
        <f>F62*AP62</f>
        <v>0</v>
      </c>
      <c r="J62" s="152">
        <f>F62*G62</f>
        <v>0</v>
      </c>
      <c r="K62" s="153" t="s">
        <v>138</v>
      </c>
      <c r="Z62" s="5">
        <f>IF(AQ62="5",BJ62,0)</f>
        <v>0</v>
      </c>
      <c r="AB62" s="5">
        <f>IF(AQ62="1",BH62,0)</f>
        <v>0</v>
      </c>
      <c r="AC62" s="5">
        <f>IF(AQ62="1",BI62,0)</f>
        <v>0</v>
      </c>
      <c r="AD62" s="5">
        <f>IF(AQ62="7",BH62,0)</f>
        <v>0</v>
      </c>
      <c r="AE62" s="5">
        <f>IF(AQ62="7",BI62,0)</f>
        <v>0</v>
      </c>
      <c r="AF62" s="5">
        <f>IF(AQ62="2",BH62,0)</f>
        <v>0</v>
      </c>
      <c r="AG62" s="5">
        <f>IF(AQ62="2",BI62,0)</f>
        <v>0</v>
      </c>
      <c r="AH62" s="5">
        <f>IF(AQ62="0",BJ62,0)</f>
        <v>0</v>
      </c>
      <c r="AI62" s="3" t="s">
        <v>56</v>
      </c>
      <c r="AJ62" s="5">
        <f>IF(AN62=0,J62,0)</f>
        <v>0</v>
      </c>
      <c r="AK62" s="5">
        <f>IF(AN62=12,J62,0)</f>
        <v>0</v>
      </c>
      <c r="AL62" s="5">
        <f>IF(AN62=21,J62,0)</f>
        <v>0</v>
      </c>
      <c r="AN62" s="5">
        <v>21</v>
      </c>
      <c r="AO62" s="5">
        <f>G62*0</f>
        <v>0</v>
      </c>
      <c r="AP62" s="5">
        <f>G62*(1-0)</f>
        <v>0</v>
      </c>
      <c r="AQ62" s="6" t="s">
        <v>96</v>
      </c>
      <c r="AV62" s="5">
        <f>AW62+AX62</f>
        <v>0</v>
      </c>
      <c r="AW62" s="5">
        <f>F62*AO62</f>
        <v>0</v>
      </c>
      <c r="AX62" s="5">
        <f>F62*AP62</f>
        <v>0</v>
      </c>
      <c r="AY62" s="6" t="s">
        <v>129</v>
      </c>
      <c r="AZ62" s="6" t="s">
        <v>62</v>
      </c>
      <c r="BA62" s="3" t="s">
        <v>63</v>
      </c>
      <c r="BC62" s="5">
        <f>AW62+AX62</f>
        <v>0</v>
      </c>
      <c r="BD62" s="5">
        <f>G62/(100-BE62)*100</f>
        <v>0</v>
      </c>
      <c r="BE62" s="5">
        <v>0</v>
      </c>
      <c r="BF62" s="5">
        <f>62</f>
        <v>62</v>
      </c>
      <c r="BH62" s="5">
        <f>F62*AO62</f>
        <v>0</v>
      </c>
      <c r="BI62" s="5">
        <f>F62*AP62</f>
        <v>0</v>
      </c>
      <c r="BJ62" s="5">
        <f>F62*G62</f>
        <v>0</v>
      </c>
      <c r="BK62" s="5"/>
      <c r="BL62" s="5"/>
      <c r="BW62" s="5">
        <v>21</v>
      </c>
      <c r="BX62" s="2" t="s">
        <v>157</v>
      </c>
    </row>
    <row r="63" spans="1:76" x14ac:dyDescent="0.25">
      <c r="A63" s="154"/>
      <c r="B63" s="155"/>
      <c r="C63" s="159" t="s">
        <v>158</v>
      </c>
      <c r="D63" s="160" t="s">
        <v>52</v>
      </c>
      <c r="E63" s="155"/>
      <c r="F63" s="161">
        <v>163.82316</v>
      </c>
      <c r="G63" s="155"/>
      <c r="H63" s="155"/>
      <c r="I63" s="155"/>
      <c r="J63" s="155"/>
      <c r="K63" s="162"/>
    </row>
    <row r="64" spans="1:76" x14ac:dyDescent="0.25">
      <c r="A64" s="154"/>
      <c r="B64" s="155"/>
      <c r="C64" s="159" t="s">
        <v>159</v>
      </c>
      <c r="D64" s="160" t="s">
        <v>160</v>
      </c>
      <c r="E64" s="155"/>
      <c r="F64" s="161">
        <v>-25.62</v>
      </c>
      <c r="G64" s="155"/>
      <c r="H64" s="155"/>
      <c r="I64" s="155"/>
      <c r="J64" s="155"/>
      <c r="K64" s="162"/>
    </row>
    <row r="65" spans="1:76" x14ac:dyDescent="0.25">
      <c r="A65" s="154"/>
      <c r="B65" s="155"/>
      <c r="C65" s="159" t="s">
        <v>161</v>
      </c>
      <c r="D65" s="160" t="s">
        <v>160</v>
      </c>
      <c r="E65" s="155"/>
      <c r="F65" s="161">
        <v>-10.6</v>
      </c>
      <c r="G65" s="155"/>
      <c r="H65" s="155"/>
      <c r="I65" s="155"/>
      <c r="J65" s="155"/>
      <c r="K65" s="162"/>
    </row>
    <row r="66" spans="1:76" x14ac:dyDescent="0.25">
      <c r="A66" s="154"/>
      <c r="B66" s="155"/>
      <c r="C66" s="159" t="s">
        <v>162</v>
      </c>
      <c r="D66" s="160" t="s">
        <v>52</v>
      </c>
      <c r="E66" s="155"/>
      <c r="F66" s="161">
        <v>-19.93</v>
      </c>
      <c r="G66" s="155"/>
      <c r="H66" s="155"/>
      <c r="I66" s="155"/>
      <c r="J66" s="155"/>
      <c r="K66" s="162"/>
    </row>
    <row r="67" spans="1:76" ht="13.5" customHeight="1" x14ac:dyDescent="0.25">
      <c r="A67" s="154"/>
      <c r="B67" s="163" t="s">
        <v>140</v>
      </c>
      <c r="C67" s="156" t="s">
        <v>141</v>
      </c>
      <c r="D67" s="157"/>
      <c r="E67" s="157"/>
      <c r="F67" s="157"/>
      <c r="G67" s="157"/>
      <c r="H67" s="157"/>
      <c r="I67" s="157"/>
      <c r="J67" s="157"/>
      <c r="K67" s="158"/>
    </row>
    <row r="68" spans="1:76" x14ac:dyDescent="0.25">
      <c r="A68" s="146" t="s">
        <v>163</v>
      </c>
      <c r="B68" s="149" t="s">
        <v>164</v>
      </c>
      <c r="C68" s="116" t="s">
        <v>165</v>
      </c>
      <c r="D68" s="112"/>
      <c r="E68" s="149" t="s">
        <v>128</v>
      </c>
      <c r="F68" s="152">
        <v>36.22</v>
      </c>
      <c r="G68" s="152">
        <v>0</v>
      </c>
      <c r="H68" s="152">
        <f>F68*AO68</f>
        <v>0</v>
      </c>
      <c r="I68" s="152">
        <f>F68*AP68</f>
        <v>0</v>
      </c>
      <c r="J68" s="152">
        <f>F68*G68</f>
        <v>0</v>
      </c>
      <c r="K68" s="153" t="s">
        <v>70</v>
      </c>
      <c r="Z68" s="5">
        <f>IF(AQ68="5",BJ68,0)</f>
        <v>0</v>
      </c>
      <c r="AB68" s="5">
        <f>IF(AQ68="1",BH68,0)</f>
        <v>0</v>
      </c>
      <c r="AC68" s="5">
        <f>IF(AQ68="1",BI68,0)</f>
        <v>0</v>
      </c>
      <c r="AD68" s="5">
        <f>IF(AQ68="7",BH68,0)</f>
        <v>0</v>
      </c>
      <c r="AE68" s="5">
        <f>IF(AQ68="7",BI68,0)</f>
        <v>0</v>
      </c>
      <c r="AF68" s="5">
        <f>IF(AQ68="2",BH68,0)</f>
        <v>0</v>
      </c>
      <c r="AG68" s="5">
        <f>IF(AQ68="2",BI68,0)</f>
        <v>0</v>
      </c>
      <c r="AH68" s="5">
        <f>IF(AQ68="0",BJ68,0)</f>
        <v>0</v>
      </c>
      <c r="AI68" s="3" t="s">
        <v>56</v>
      </c>
      <c r="AJ68" s="5">
        <f>IF(AN68=0,J68,0)</f>
        <v>0</v>
      </c>
      <c r="AK68" s="5">
        <f>IF(AN68=12,J68,0)</f>
        <v>0</v>
      </c>
      <c r="AL68" s="5">
        <f>IF(AN68=21,J68,0)</f>
        <v>0</v>
      </c>
      <c r="AN68" s="5">
        <v>21</v>
      </c>
      <c r="AO68" s="5">
        <f>G68*0</f>
        <v>0</v>
      </c>
      <c r="AP68" s="5">
        <f>G68*(1-0)</f>
        <v>0</v>
      </c>
      <c r="AQ68" s="6" t="s">
        <v>96</v>
      </c>
      <c r="AV68" s="5">
        <f>AW68+AX68</f>
        <v>0</v>
      </c>
      <c r="AW68" s="5">
        <f>F68*AO68</f>
        <v>0</v>
      </c>
      <c r="AX68" s="5">
        <f>F68*AP68</f>
        <v>0</v>
      </c>
      <c r="AY68" s="6" t="s">
        <v>129</v>
      </c>
      <c r="AZ68" s="6" t="s">
        <v>62</v>
      </c>
      <c r="BA68" s="3" t="s">
        <v>63</v>
      </c>
      <c r="BC68" s="5">
        <f>AW68+AX68</f>
        <v>0</v>
      </c>
      <c r="BD68" s="5">
        <f>G68/(100-BE68)*100</f>
        <v>0</v>
      </c>
      <c r="BE68" s="5">
        <v>0</v>
      </c>
      <c r="BF68" s="5">
        <f>68</f>
        <v>68</v>
      </c>
      <c r="BH68" s="5">
        <f>F68*AO68</f>
        <v>0</v>
      </c>
      <c r="BI68" s="5">
        <f>F68*AP68</f>
        <v>0</v>
      </c>
      <c r="BJ68" s="5">
        <f>F68*G68</f>
        <v>0</v>
      </c>
      <c r="BK68" s="5"/>
      <c r="BL68" s="5"/>
      <c r="BW68" s="5">
        <v>21</v>
      </c>
      <c r="BX68" s="2" t="s">
        <v>165</v>
      </c>
    </row>
    <row r="69" spans="1:76" x14ac:dyDescent="0.25">
      <c r="A69" s="154"/>
      <c r="B69" s="155"/>
      <c r="C69" s="159" t="s">
        <v>166</v>
      </c>
      <c r="D69" s="160" t="s">
        <v>160</v>
      </c>
      <c r="E69" s="155"/>
      <c r="F69" s="161">
        <v>36.22</v>
      </c>
      <c r="G69" s="155"/>
      <c r="H69" s="155"/>
      <c r="I69" s="155"/>
      <c r="J69" s="155"/>
      <c r="K69" s="162"/>
    </row>
    <row r="70" spans="1:76" ht="25.5" x14ac:dyDescent="0.25">
      <c r="A70" s="154"/>
      <c r="B70" s="163" t="s">
        <v>85</v>
      </c>
      <c r="C70" s="156" t="s">
        <v>167</v>
      </c>
      <c r="D70" s="157"/>
      <c r="E70" s="157"/>
      <c r="F70" s="157"/>
      <c r="G70" s="157"/>
      <c r="H70" s="157"/>
      <c r="I70" s="157"/>
      <c r="J70" s="157"/>
      <c r="K70" s="158"/>
      <c r="BX70" s="7" t="s">
        <v>167</v>
      </c>
    </row>
    <row r="71" spans="1:76" x14ac:dyDescent="0.25">
      <c r="A71" s="146" t="s">
        <v>168</v>
      </c>
      <c r="B71" s="149" t="s">
        <v>169</v>
      </c>
      <c r="C71" s="116" t="s">
        <v>170</v>
      </c>
      <c r="D71" s="112"/>
      <c r="E71" s="149" t="s">
        <v>128</v>
      </c>
      <c r="F71" s="152">
        <v>19.93</v>
      </c>
      <c r="G71" s="152">
        <v>0</v>
      </c>
      <c r="H71" s="152">
        <f>F71*AO71</f>
        <v>0</v>
      </c>
      <c r="I71" s="152">
        <f>F71*AP71</f>
        <v>0</v>
      </c>
      <c r="J71" s="152">
        <f>F71*G71</f>
        <v>0</v>
      </c>
      <c r="K71" s="153" t="s">
        <v>70</v>
      </c>
      <c r="Z71" s="5">
        <f>IF(AQ71="5",BJ71,0)</f>
        <v>0</v>
      </c>
      <c r="AB71" s="5">
        <f>IF(AQ71="1",BH71,0)</f>
        <v>0</v>
      </c>
      <c r="AC71" s="5">
        <f>IF(AQ71="1",BI71,0)</f>
        <v>0</v>
      </c>
      <c r="AD71" s="5">
        <f>IF(AQ71="7",BH71,0)</f>
        <v>0</v>
      </c>
      <c r="AE71" s="5">
        <f>IF(AQ71="7",BI71,0)</f>
        <v>0</v>
      </c>
      <c r="AF71" s="5">
        <f>IF(AQ71="2",BH71,0)</f>
        <v>0</v>
      </c>
      <c r="AG71" s="5">
        <f>IF(AQ71="2",BI71,0)</f>
        <v>0</v>
      </c>
      <c r="AH71" s="5">
        <f>IF(AQ71="0",BJ71,0)</f>
        <v>0</v>
      </c>
      <c r="AI71" s="3" t="s">
        <v>56</v>
      </c>
      <c r="AJ71" s="5">
        <f>IF(AN71=0,J71,0)</f>
        <v>0</v>
      </c>
      <c r="AK71" s="5">
        <f>IF(AN71=12,J71,0)</f>
        <v>0</v>
      </c>
      <c r="AL71" s="5">
        <f>IF(AN71=21,J71,0)</f>
        <v>0</v>
      </c>
      <c r="AN71" s="5">
        <v>21</v>
      </c>
      <c r="AO71" s="5">
        <f>G71*0</f>
        <v>0</v>
      </c>
      <c r="AP71" s="5">
        <f>G71*(1-0)</f>
        <v>0</v>
      </c>
      <c r="AQ71" s="6" t="s">
        <v>96</v>
      </c>
      <c r="AV71" s="5">
        <f>AW71+AX71</f>
        <v>0</v>
      </c>
      <c r="AW71" s="5">
        <f>F71*AO71</f>
        <v>0</v>
      </c>
      <c r="AX71" s="5">
        <f>F71*AP71</f>
        <v>0</v>
      </c>
      <c r="AY71" s="6" t="s">
        <v>129</v>
      </c>
      <c r="AZ71" s="6" t="s">
        <v>62</v>
      </c>
      <c r="BA71" s="3" t="s">
        <v>63</v>
      </c>
      <c r="BC71" s="5">
        <f>AW71+AX71</f>
        <v>0</v>
      </c>
      <c r="BD71" s="5">
        <f>G71/(100-BE71)*100</f>
        <v>0</v>
      </c>
      <c r="BE71" s="5">
        <v>0</v>
      </c>
      <c r="BF71" s="5">
        <f>71</f>
        <v>71</v>
      </c>
      <c r="BH71" s="5">
        <f>F71*AO71</f>
        <v>0</v>
      </c>
      <c r="BI71" s="5">
        <f>F71*AP71</f>
        <v>0</v>
      </c>
      <c r="BJ71" s="5">
        <f>F71*G71</f>
        <v>0</v>
      </c>
      <c r="BK71" s="5"/>
      <c r="BL71" s="5"/>
      <c r="BW71" s="5">
        <v>21</v>
      </c>
      <c r="BX71" s="2" t="s">
        <v>170</v>
      </c>
    </row>
    <row r="72" spans="1:76" x14ac:dyDescent="0.25">
      <c r="A72" s="154"/>
      <c r="B72" s="155"/>
      <c r="C72" s="159" t="s">
        <v>171</v>
      </c>
      <c r="D72" s="160" t="s">
        <v>172</v>
      </c>
      <c r="E72" s="155"/>
      <c r="F72" s="161">
        <v>19.93</v>
      </c>
      <c r="G72" s="155"/>
      <c r="H72" s="155"/>
      <c r="I72" s="155"/>
      <c r="J72" s="155"/>
      <c r="K72" s="162"/>
    </row>
    <row r="73" spans="1:76" ht="25.5" x14ac:dyDescent="0.25">
      <c r="A73" s="154"/>
      <c r="B73" s="163" t="s">
        <v>85</v>
      </c>
      <c r="C73" s="156" t="s">
        <v>167</v>
      </c>
      <c r="D73" s="157"/>
      <c r="E73" s="157"/>
      <c r="F73" s="157"/>
      <c r="G73" s="157"/>
      <c r="H73" s="157"/>
      <c r="I73" s="157"/>
      <c r="J73" s="157"/>
      <c r="K73" s="158"/>
      <c r="BX73" s="7" t="s">
        <v>167</v>
      </c>
    </row>
    <row r="74" spans="1:76" x14ac:dyDescent="0.25">
      <c r="A74" s="146" t="s">
        <v>52</v>
      </c>
      <c r="B74" s="147" t="s">
        <v>52</v>
      </c>
      <c r="C74" s="148" t="s">
        <v>173</v>
      </c>
      <c r="D74" s="113"/>
      <c r="E74" s="149" t="s">
        <v>33</v>
      </c>
      <c r="F74" s="149" t="s">
        <v>33</v>
      </c>
      <c r="G74" s="149" t="s">
        <v>33</v>
      </c>
      <c r="H74" s="150">
        <f>H75+H110+H189</f>
        <v>0</v>
      </c>
      <c r="I74" s="150">
        <f>I75+I110+I189</f>
        <v>0</v>
      </c>
      <c r="J74" s="150">
        <f>J75+J110+J189</f>
        <v>0</v>
      </c>
      <c r="K74" s="151" t="s">
        <v>52</v>
      </c>
    </row>
    <row r="75" spans="1:76" x14ac:dyDescent="0.25">
      <c r="A75" s="146" t="s">
        <v>52</v>
      </c>
      <c r="B75" s="147" t="s">
        <v>174</v>
      </c>
      <c r="C75" s="148" t="s">
        <v>175</v>
      </c>
      <c r="D75" s="113"/>
      <c r="E75" s="149" t="s">
        <v>33</v>
      </c>
      <c r="F75" s="149" t="s">
        <v>33</v>
      </c>
      <c r="G75" s="149" t="s">
        <v>33</v>
      </c>
      <c r="H75" s="150">
        <f>SUM(H76:H109)</f>
        <v>0</v>
      </c>
      <c r="I75" s="150">
        <f>SUM(I76:I109)</f>
        <v>0</v>
      </c>
      <c r="J75" s="150">
        <f>SUM(J76:J109)</f>
        <v>0</v>
      </c>
      <c r="K75" s="151" t="s">
        <v>52</v>
      </c>
      <c r="AI75" s="3" t="s">
        <v>176</v>
      </c>
      <c r="AS75" s="1">
        <f>SUM(AJ76:AJ109)</f>
        <v>0</v>
      </c>
      <c r="AT75" s="1">
        <f>SUM(AK76:AK109)</f>
        <v>0</v>
      </c>
      <c r="AU75" s="1">
        <f>SUM(AL76:AL109)</f>
        <v>0</v>
      </c>
    </row>
    <row r="76" spans="1:76" x14ac:dyDescent="0.25">
      <c r="A76" s="146" t="s">
        <v>177</v>
      </c>
      <c r="B76" s="149" t="s">
        <v>178</v>
      </c>
      <c r="C76" s="116" t="s">
        <v>179</v>
      </c>
      <c r="D76" s="112"/>
      <c r="E76" s="149" t="s">
        <v>69</v>
      </c>
      <c r="F76" s="152">
        <v>35.737000000000002</v>
      </c>
      <c r="G76" s="152">
        <v>0</v>
      </c>
      <c r="H76" s="152">
        <f>F76*AO76</f>
        <v>0</v>
      </c>
      <c r="I76" s="152">
        <f>F76*AP76</f>
        <v>0</v>
      </c>
      <c r="J76" s="152">
        <f>F76*G76</f>
        <v>0</v>
      </c>
      <c r="K76" s="153" t="s">
        <v>70</v>
      </c>
      <c r="Z76" s="5">
        <f>IF(AQ76="5",BJ76,0)</f>
        <v>0</v>
      </c>
      <c r="AB76" s="5">
        <f>IF(AQ76="1",BH76,0)</f>
        <v>0</v>
      </c>
      <c r="AC76" s="5">
        <f>IF(AQ76="1",BI76,0)</f>
        <v>0</v>
      </c>
      <c r="AD76" s="5">
        <f>IF(AQ76="7",BH76,0)</f>
        <v>0</v>
      </c>
      <c r="AE76" s="5">
        <f>IF(AQ76="7",BI76,0)</f>
        <v>0</v>
      </c>
      <c r="AF76" s="5">
        <f>IF(AQ76="2",BH76,0)</f>
        <v>0</v>
      </c>
      <c r="AG76" s="5">
        <f>IF(AQ76="2",BI76,0)</f>
        <v>0</v>
      </c>
      <c r="AH76" s="5">
        <f>IF(AQ76="0",BJ76,0)</f>
        <v>0</v>
      </c>
      <c r="AI76" s="3" t="s">
        <v>176</v>
      </c>
      <c r="AJ76" s="5">
        <f>IF(AN76=0,J76,0)</f>
        <v>0</v>
      </c>
      <c r="AK76" s="5">
        <f>IF(AN76=12,J76,0)</f>
        <v>0</v>
      </c>
      <c r="AL76" s="5">
        <f>IF(AN76=21,J76,0)</f>
        <v>0</v>
      </c>
      <c r="AN76" s="5">
        <v>21</v>
      </c>
      <c r="AO76" s="5">
        <f>G76*0</f>
        <v>0</v>
      </c>
      <c r="AP76" s="5">
        <f>G76*(1-0)</f>
        <v>0</v>
      </c>
      <c r="AQ76" s="6" t="s">
        <v>105</v>
      </c>
      <c r="AV76" s="5">
        <f>AW76+AX76</f>
        <v>0</v>
      </c>
      <c r="AW76" s="5">
        <f>F76*AO76</f>
        <v>0</v>
      </c>
      <c r="AX76" s="5">
        <f>F76*AP76</f>
        <v>0</v>
      </c>
      <c r="AY76" s="6" t="s">
        <v>180</v>
      </c>
      <c r="AZ76" s="6" t="s">
        <v>181</v>
      </c>
      <c r="BA76" s="3" t="s">
        <v>182</v>
      </c>
      <c r="BC76" s="5">
        <f>AW76+AX76</f>
        <v>0</v>
      </c>
      <c r="BD76" s="5">
        <f>G76/(100-BE76)*100</f>
        <v>0</v>
      </c>
      <c r="BE76" s="5">
        <v>0</v>
      </c>
      <c r="BF76" s="5">
        <f>76</f>
        <v>76</v>
      </c>
      <c r="BH76" s="5">
        <f>F76*AO76</f>
        <v>0</v>
      </c>
      <c r="BI76" s="5">
        <f>F76*AP76</f>
        <v>0</v>
      </c>
      <c r="BJ76" s="5">
        <f>F76*G76</f>
        <v>0</v>
      </c>
      <c r="BK76" s="5"/>
      <c r="BL76" s="5">
        <v>762</v>
      </c>
      <c r="BW76" s="5">
        <v>21</v>
      </c>
      <c r="BX76" s="2" t="s">
        <v>179</v>
      </c>
    </row>
    <row r="77" spans="1:76" ht="13.5" customHeight="1" x14ac:dyDescent="0.25">
      <c r="A77" s="154"/>
      <c r="B77" s="155"/>
      <c r="C77" s="156" t="s">
        <v>183</v>
      </c>
      <c r="D77" s="157"/>
      <c r="E77" s="157"/>
      <c r="F77" s="157"/>
      <c r="G77" s="157"/>
      <c r="H77" s="157"/>
      <c r="I77" s="157"/>
      <c r="J77" s="157"/>
      <c r="K77" s="158"/>
    </row>
    <row r="78" spans="1:76" x14ac:dyDescent="0.25">
      <c r="A78" s="154"/>
      <c r="B78" s="155"/>
      <c r="C78" s="159" t="s">
        <v>184</v>
      </c>
      <c r="D78" s="160" t="s">
        <v>185</v>
      </c>
      <c r="E78" s="155"/>
      <c r="F78" s="161">
        <v>29.061</v>
      </c>
      <c r="G78" s="155"/>
      <c r="H78" s="155"/>
      <c r="I78" s="155"/>
      <c r="J78" s="155"/>
      <c r="K78" s="162"/>
    </row>
    <row r="79" spans="1:76" x14ac:dyDescent="0.25">
      <c r="A79" s="154"/>
      <c r="B79" s="155"/>
      <c r="C79" s="159" t="s">
        <v>186</v>
      </c>
      <c r="D79" s="160" t="s">
        <v>187</v>
      </c>
      <c r="E79" s="155"/>
      <c r="F79" s="161">
        <v>6.6760000000000002</v>
      </c>
      <c r="G79" s="155"/>
      <c r="H79" s="155"/>
      <c r="I79" s="155"/>
      <c r="J79" s="155"/>
      <c r="K79" s="162"/>
    </row>
    <row r="80" spans="1:76" x14ac:dyDescent="0.25">
      <c r="A80" s="146" t="s">
        <v>188</v>
      </c>
      <c r="B80" s="149" t="s">
        <v>189</v>
      </c>
      <c r="C80" s="116" t="s">
        <v>190</v>
      </c>
      <c r="D80" s="112"/>
      <c r="E80" s="149" t="s">
        <v>69</v>
      </c>
      <c r="F80" s="152">
        <v>49.752000000000002</v>
      </c>
      <c r="G80" s="152">
        <v>0</v>
      </c>
      <c r="H80" s="152">
        <f>F80*AO80</f>
        <v>0</v>
      </c>
      <c r="I80" s="152">
        <f>F80*AP80</f>
        <v>0</v>
      </c>
      <c r="J80" s="152">
        <f>F80*G80</f>
        <v>0</v>
      </c>
      <c r="K80" s="153" t="s">
        <v>70</v>
      </c>
      <c r="Z80" s="5">
        <f>IF(AQ80="5",BJ80,0)</f>
        <v>0</v>
      </c>
      <c r="AB80" s="5">
        <f>IF(AQ80="1",BH80,0)</f>
        <v>0</v>
      </c>
      <c r="AC80" s="5">
        <f>IF(AQ80="1",BI80,0)</f>
        <v>0</v>
      </c>
      <c r="AD80" s="5">
        <f>IF(AQ80="7",BH80,0)</f>
        <v>0</v>
      </c>
      <c r="AE80" s="5">
        <f>IF(AQ80="7",BI80,0)</f>
        <v>0</v>
      </c>
      <c r="AF80" s="5">
        <f>IF(AQ80="2",BH80,0)</f>
        <v>0</v>
      </c>
      <c r="AG80" s="5">
        <f>IF(AQ80="2",BI80,0)</f>
        <v>0</v>
      </c>
      <c r="AH80" s="5">
        <f>IF(AQ80="0",BJ80,0)</f>
        <v>0</v>
      </c>
      <c r="AI80" s="3" t="s">
        <v>176</v>
      </c>
      <c r="AJ80" s="5">
        <f>IF(AN80=0,J80,0)</f>
        <v>0</v>
      </c>
      <c r="AK80" s="5">
        <f>IF(AN80=12,J80,0)</f>
        <v>0</v>
      </c>
      <c r="AL80" s="5">
        <f>IF(AN80=21,J80,0)</f>
        <v>0</v>
      </c>
      <c r="AN80" s="5">
        <v>21</v>
      </c>
      <c r="AO80" s="5">
        <f>G80*0.672457458</f>
        <v>0</v>
      </c>
      <c r="AP80" s="5">
        <f>G80*(1-0.672457458)</f>
        <v>0</v>
      </c>
      <c r="AQ80" s="6" t="s">
        <v>105</v>
      </c>
      <c r="AV80" s="5">
        <f>AW80+AX80</f>
        <v>0</v>
      </c>
      <c r="AW80" s="5">
        <f>F80*AO80</f>
        <v>0</v>
      </c>
      <c r="AX80" s="5">
        <f>F80*AP80</f>
        <v>0</v>
      </c>
      <c r="AY80" s="6" t="s">
        <v>180</v>
      </c>
      <c r="AZ80" s="6" t="s">
        <v>181</v>
      </c>
      <c r="BA80" s="3" t="s">
        <v>182</v>
      </c>
      <c r="BC80" s="5">
        <f>AW80+AX80</f>
        <v>0</v>
      </c>
      <c r="BD80" s="5">
        <f>G80/(100-BE80)*100</f>
        <v>0</v>
      </c>
      <c r="BE80" s="5">
        <v>0</v>
      </c>
      <c r="BF80" s="5">
        <f>80</f>
        <v>80</v>
      </c>
      <c r="BH80" s="5">
        <f>F80*AO80</f>
        <v>0</v>
      </c>
      <c r="BI80" s="5">
        <f>F80*AP80</f>
        <v>0</v>
      </c>
      <c r="BJ80" s="5">
        <f>F80*G80</f>
        <v>0</v>
      </c>
      <c r="BK80" s="5"/>
      <c r="BL80" s="5">
        <v>762</v>
      </c>
      <c r="BW80" s="5">
        <v>21</v>
      </c>
      <c r="BX80" s="2" t="s">
        <v>190</v>
      </c>
    </row>
    <row r="81" spans="1:76" ht="13.5" customHeight="1" x14ac:dyDescent="0.25">
      <c r="A81" s="154"/>
      <c r="B81" s="155"/>
      <c r="C81" s="156" t="s">
        <v>191</v>
      </c>
      <c r="D81" s="157"/>
      <c r="E81" s="157"/>
      <c r="F81" s="157"/>
      <c r="G81" s="157"/>
      <c r="H81" s="157"/>
      <c r="I81" s="157"/>
      <c r="J81" s="157"/>
      <c r="K81" s="158"/>
    </row>
    <row r="82" spans="1:76" x14ac:dyDescent="0.25">
      <c r="A82" s="154"/>
      <c r="B82" s="155"/>
      <c r="C82" s="159" t="s">
        <v>184</v>
      </c>
      <c r="D82" s="160" t="s">
        <v>185</v>
      </c>
      <c r="E82" s="155"/>
      <c r="F82" s="161">
        <v>29.061</v>
      </c>
      <c r="G82" s="155"/>
      <c r="H82" s="155"/>
      <c r="I82" s="155"/>
      <c r="J82" s="155"/>
      <c r="K82" s="162"/>
    </row>
    <row r="83" spans="1:76" x14ac:dyDescent="0.25">
      <c r="A83" s="154"/>
      <c r="B83" s="155"/>
      <c r="C83" s="159" t="s">
        <v>192</v>
      </c>
      <c r="D83" s="160" t="s">
        <v>193</v>
      </c>
      <c r="E83" s="155"/>
      <c r="F83" s="161">
        <v>20.690999999999999</v>
      </c>
      <c r="G83" s="155"/>
      <c r="H83" s="155"/>
      <c r="I83" s="155"/>
      <c r="J83" s="155"/>
      <c r="K83" s="162"/>
    </row>
    <row r="84" spans="1:76" x14ac:dyDescent="0.25">
      <c r="A84" s="146" t="s">
        <v>194</v>
      </c>
      <c r="B84" s="149" t="s">
        <v>195</v>
      </c>
      <c r="C84" s="116" t="s">
        <v>196</v>
      </c>
      <c r="D84" s="112"/>
      <c r="E84" s="149" t="s">
        <v>197</v>
      </c>
      <c r="F84" s="152">
        <v>49.6</v>
      </c>
      <c r="G84" s="152">
        <v>0</v>
      </c>
      <c r="H84" s="152">
        <f>F84*AO84</f>
        <v>0</v>
      </c>
      <c r="I84" s="152">
        <f>F84*AP84</f>
        <v>0</v>
      </c>
      <c r="J84" s="152">
        <f>F84*G84</f>
        <v>0</v>
      </c>
      <c r="K84" s="153" t="s">
        <v>70</v>
      </c>
      <c r="Z84" s="5">
        <f>IF(AQ84="5",BJ84,0)</f>
        <v>0</v>
      </c>
      <c r="AB84" s="5">
        <f>IF(AQ84="1",BH84,0)</f>
        <v>0</v>
      </c>
      <c r="AC84" s="5">
        <f>IF(AQ84="1",BI84,0)</f>
        <v>0</v>
      </c>
      <c r="AD84" s="5">
        <f>IF(AQ84="7",BH84,0)</f>
        <v>0</v>
      </c>
      <c r="AE84" s="5">
        <f>IF(AQ84="7",BI84,0)</f>
        <v>0</v>
      </c>
      <c r="AF84" s="5">
        <f>IF(AQ84="2",BH84,0)</f>
        <v>0</v>
      </c>
      <c r="AG84" s="5">
        <f>IF(AQ84="2",BI84,0)</f>
        <v>0</v>
      </c>
      <c r="AH84" s="5">
        <f>IF(AQ84="0",BJ84,0)</f>
        <v>0</v>
      </c>
      <c r="AI84" s="3" t="s">
        <v>176</v>
      </c>
      <c r="AJ84" s="5">
        <f>IF(AN84=0,J84,0)</f>
        <v>0</v>
      </c>
      <c r="AK84" s="5">
        <f>IF(AN84=12,J84,0)</f>
        <v>0</v>
      </c>
      <c r="AL84" s="5">
        <f>IF(AN84=21,J84,0)</f>
        <v>0</v>
      </c>
      <c r="AN84" s="5">
        <v>21</v>
      </c>
      <c r="AO84" s="5">
        <f>G84*0</f>
        <v>0</v>
      </c>
      <c r="AP84" s="5">
        <f>G84*(1-0)</f>
        <v>0</v>
      </c>
      <c r="AQ84" s="6" t="s">
        <v>105</v>
      </c>
      <c r="AV84" s="5">
        <f>AW84+AX84</f>
        <v>0</v>
      </c>
      <c r="AW84" s="5">
        <f>F84*AO84</f>
        <v>0</v>
      </c>
      <c r="AX84" s="5">
        <f>F84*AP84</f>
        <v>0</v>
      </c>
      <c r="AY84" s="6" t="s">
        <v>180</v>
      </c>
      <c r="AZ84" s="6" t="s">
        <v>181</v>
      </c>
      <c r="BA84" s="3" t="s">
        <v>182</v>
      </c>
      <c r="BC84" s="5">
        <f>AW84+AX84</f>
        <v>0</v>
      </c>
      <c r="BD84" s="5">
        <f>G84/(100-BE84)*100</f>
        <v>0</v>
      </c>
      <c r="BE84" s="5">
        <v>0</v>
      </c>
      <c r="BF84" s="5">
        <f>84</f>
        <v>84</v>
      </c>
      <c r="BH84" s="5">
        <f>F84*AO84</f>
        <v>0</v>
      </c>
      <c r="BI84" s="5">
        <f>F84*AP84</f>
        <v>0</v>
      </c>
      <c r="BJ84" s="5">
        <f>F84*G84</f>
        <v>0</v>
      </c>
      <c r="BK84" s="5"/>
      <c r="BL84" s="5">
        <v>762</v>
      </c>
      <c r="BW84" s="5">
        <v>21</v>
      </c>
      <c r="BX84" s="2" t="s">
        <v>196</v>
      </c>
    </row>
    <row r="85" spans="1:76" x14ac:dyDescent="0.25">
      <c r="A85" s="154"/>
      <c r="B85" s="155"/>
      <c r="C85" s="159" t="s">
        <v>198</v>
      </c>
      <c r="D85" s="160" t="s">
        <v>199</v>
      </c>
      <c r="E85" s="155"/>
      <c r="F85" s="161">
        <v>35.799999999999997</v>
      </c>
      <c r="G85" s="155"/>
      <c r="H85" s="155"/>
      <c r="I85" s="155"/>
      <c r="J85" s="155"/>
      <c r="K85" s="162"/>
    </row>
    <row r="86" spans="1:76" x14ac:dyDescent="0.25">
      <c r="A86" s="154"/>
      <c r="B86" s="155"/>
      <c r="C86" s="159" t="s">
        <v>200</v>
      </c>
      <c r="D86" s="160" t="s">
        <v>201</v>
      </c>
      <c r="E86" s="155"/>
      <c r="F86" s="161">
        <v>13.8</v>
      </c>
      <c r="G86" s="155"/>
      <c r="H86" s="155"/>
      <c r="I86" s="155"/>
      <c r="J86" s="155"/>
      <c r="K86" s="162"/>
    </row>
    <row r="87" spans="1:76" ht="25.5" x14ac:dyDescent="0.25">
      <c r="A87" s="154"/>
      <c r="B87" s="163" t="s">
        <v>85</v>
      </c>
      <c r="C87" s="156" t="s">
        <v>202</v>
      </c>
      <c r="D87" s="157"/>
      <c r="E87" s="157"/>
      <c r="F87" s="157"/>
      <c r="G87" s="157"/>
      <c r="H87" s="157"/>
      <c r="I87" s="157"/>
      <c r="J87" s="157"/>
      <c r="K87" s="158"/>
      <c r="BX87" s="7" t="s">
        <v>202</v>
      </c>
    </row>
    <row r="88" spans="1:76" x14ac:dyDescent="0.25">
      <c r="A88" s="164" t="s">
        <v>203</v>
      </c>
      <c r="B88" s="165" t="s">
        <v>204</v>
      </c>
      <c r="C88" s="166" t="s">
        <v>205</v>
      </c>
      <c r="D88" s="167"/>
      <c r="E88" s="165" t="s">
        <v>206</v>
      </c>
      <c r="F88" s="168">
        <v>0.20533999999999999</v>
      </c>
      <c r="G88" s="168">
        <v>0</v>
      </c>
      <c r="H88" s="168">
        <f>F88*AO88</f>
        <v>0</v>
      </c>
      <c r="I88" s="168">
        <f>F88*AP88</f>
        <v>0</v>
      </c>
      <c r="J88" s="168">
        <f>F88*G88</f>
        <v>0</v>
      </c>
      <c r="K88" s="169" t="s">
        <v>70</v>
      </c>
      <c r="Z88" s="5">
        <f>IF(AQ88="5",BJ88,0)</f>
        <v>0</v>
      </c>
      <c r="AB88" s="5">
        <f>IF(AQ88="1",BH88,0)</f>
        <v>0</v>
      </c>
      <c r="AC88" s="5">
        <f>IF(AQ88="1",BI88,0)</f>
        <v>0</v>
      </c>
      <c r="AD88" s="5">
        <f>IF(AQ88="7",BH88,0)</f>
        <v>0</v>
      </c>
      <c r="AE88" s="5">
        <f>IF(AQ88="7",BI88,0)</f>
        <v>0</v>
      </c>
      <c r="AF88" s="5">
        <f>IF(AQ88="2",BH88,0)</f>
        <v>0</v>
      </c>
      <c r="AG88" s="5">
        <f>IF(AQ88="2",BI88,0)</f>
        <v>0</v>
      </c>
      <c r="AH88" s="5">
        <f>IF(AQ88="0",BJ88,0)</f>
        <v>0</v>
      </c>
      <c r="AI88" s="3" t="s">
        <v>176</v>
      </c>
      <c r="AJ88" s="9">
        <f>IF(AN88=0,J88,0)</f>
        <v>0</v>
      </c>
      <c r="AK88" s="9">
        <f>IF(AN88=12,J88,0)</f>
        <v>0</v>
      </c>
      <c r="AL88" s="9">
        <f>IF(AN88=21,J88,0)</f>
        <v>0</v>
      </c>
      <c r="AN88" s="5">
        <v>21</v>
      </c>
      <c r="AO88" s="5">
        <f>G88*1</f>
        <v>0</v>
      </c>
      <c r="AP88" s="5">
        <f>G88*(1-1)</f>
        <v>0</v>
      </c>
      <c r="AQ88" s="10" t="s">
        <v>105</v>
      </c>
      <c r="AV88" s="5">
        <f>AW88+AX88</f>
        <v>0</v>
      </c>
      <c r="AW88" s="5">
        <f>F88*AO88</f>
        <v>0</v>
      </c>
      <c r="AX88" s="5">
        <f>F88*AP88</f>
        <v>0</v>
      </c>
      <c r="AY88" s="6" t="s">
        <v>180</v>
      </c>
      <c r="AZ88" s="6" t="s">
        <v>181</v>
      </c>
      <c r="BA88" s="3" t="s">
        <v>182</v>
      </c>
      <c r="BC88" s="5">
        <f>AW88+AX88</f>
        <v>0</v>
      </c>
      <c r="BD88" s="5">
        <f>G88/(100-BE88)*100</f>
        <v>0</v>
      </c>
      <c r="BE88" s="5">
        <v>0</v>
      </c>
      <c r="BF88" s="5">
        <f>88</f>
        <v>88</v>
      </c>
      <c r="BH88" s="9">
        <f>F88*AO88</f>
        <v>0</v>
      </c>
      <c r="BI88" s="9">
        <f>F88*AP88</f>
        <v>0</v>
      </c>
      <c r="BJ88" s="9">
        <f>F88*G88</f>
        <v>0</v>
      </c>
      <c r="BK88" s="9"/>
      <c r="BL88" s="5">
        <v>762</v>
      </c>
      <c r="BW88" s="5">
        <v>21</v>
      </c>
      <c r="BX88" s="8" t="s">
        <v>205</v>
      </c>
    </row>
    <row r="89" spans="1:76" x14ac:dyDescent="0.25">
      <c r="A89" s="154"/>
      <c r="B89" s="155"/>
      <c r="C89" s="159" t="s">
        <v>207</v>
      </c>
      <c r="D89" s="160" t="s">
        <v>199</v>
      </c>
      <c r="E89" s="155"/>
      <c r="F89" s="161">
        <v>0.12887999999999999</v>
      </c>
      <c r="G89" s="155"/>
      <c r="H89" s="155"/>
      <c r="I89" s="155"/>
      <c r="J89" s="155"/>
      <c r="K89" s="162"/>
    </row>
    <row r="90" spans="1:76" x14ac:dyDescent="0.25">
      <c r="A90" s="154"/>
      <c r="B90" s="155"/>
      <c r="C90" s="159" t="s">
        <v>208</v>
      </c>
      <c r="D90" s="160" t="s">
        <v>201</v>
      </c>
      <c r="E90" s="155"/>
      <c r="F90" s="161">
        <v>4.9680000000000002E-2</v>
      </c>
      <c r="G90" s="155"/>
      <c r="H90" s="155"/>
      <c r="I90" s="155"/>
      <c r="J90" s="155"/>
      <c r="K90" s="162"/>
    </row>
    <row r="91" spans="1:76" x14ac:dyDescent="0.25">
      <c r="A91" s="154"/>
      <c r="B91" s="155"/>
      <c r="C91" s="159" t="s">
        <v>209</v>
      </c>
      <c r="D91" s="160" t="s">
        <v>52</v>
      </c>
      <c r="E91" s="155"/>
      <c r="F91" s="161">
        <v>2.6780000000000002E-2</v>
      </c>
      <c r="G91" s="155"/>
      <c r="H91" s="155"/>
      <c r="I91" s="155"/>
      <c r="J91" s="155"/>
      <c r="K91" s="162"/>
    </row>
    <row r="92" spans="1:76" ht="114.75" x14ac:dyDescent="0.25">
      <c r="A92" s="154"/>
      <c r="B92" s="163" t="s">
        <v>85</v>
      </c>
      <c r="C92" s="156" t="s">
        <v>210</v>
      </c>
      <c r="D92" s="157"/>
      <c r="E92" s="157"/>
      <c r="F92" s="157"/>
      <c r="G92" s="157"/>
      <c r="H92" s="157"/>
      <c r="I92" s="157"/>
      <c r="J92" s="157"/>
      <c r="K92" s="158"/>
      <c r="BX92" s="11" t="s">
        <v>210</v>
      </c>
    </row>
    <row r="93" spans="1:76" x14ac:dyDescent="0.25">
      <c r="A93" s="146" t="s">
        <v>211</v>
      </c>
      <c r="B93" s="149" t="s">
        <v>212</v>
      </c>
      <c r="C93" s="116" t="s">
        <v>213</v>
      </c>
      <c r="D93" s="112"/>
      <c r="E93" s="149" t="s">
        <v>214</v>
      </c>
      <c r="F93" s="152">
        <v>76</v>
      </c>
      <c r="G93" s="152">
        <v>0</v>
      </c>
      <c r="H93" s="152">
        <f>F93*AO93</f>
        <v>0</v>
      </c>
      <c r="I93" s="152">
        <f>F93*AP93</f>
        <v>0</v>
      </c>
      <c r="J93" s="152">
        <f>F93*G93</f>
        <v>0</v>
      </c>
      <c r="K93" s="153" t="s">
        <v>215</v>
      </c>
      <c r="Z93" s="5">
        <f>IF(AQ93="5",BJ93,0)</f>
        <v>0</v>
      </c>
      <c r="AB93" s="5">
        <f>IF(AQ93="1",BH93,0)</f>
        <v>0</v>
      </c>
      <c r="AC93" s="5">
        <f>IF(AQ93="1",BI93,0)</f>
        <v>0</v>
      </c>
      <c r="AD93" s="5">
        <f>IF(AQ93="7",BH93,0)</f>
        <v>0</v>
      </c>
      <c r="AE93" s="5">
        <f>IF(AQ93="7",BI93,0)</f>
        <v>0</v>
      </c>
      <c r="AF93" s="5">
        <f>IF(AQ93="2",BH93,0)</f>
        <v>0</v>
      </c>
      <c r="AG93" s="5">
        <f>IF(AQ93="2",BI93,0)</f>
        <v>0</v>
      </c>
      <c r="AH93" s="5">
        <f>IF(AQ93="0",BJ93,0)</f>
        <v>0</v>
      </c>
      <c r="AI93" s="3" t="s">
        <v>176</v>
      </c>
      <c r="AJ93" s="5">
        <f>IF(AN93=0,J93,0)</f>
        <v>0</v>
      </c>
      <c r="AK93" s="5">
        <f>IF(AN93=12,J93,0)</f>
        <v>0</v>
      </c>
      <c r="AL93" s="5">
        <f>IF(AN93=21,J93,0)</f>
        <v>0</v>
      </c>
      <c r="AN93" s="5">
        <v>21</v>
      </c>
      <c r="AO93" s="5">
        <f>G93*0.199148148</f>
        <v>0</v>
      </c>
      <c r="AP93" s="5">
        <f>G93*(1-0.199148148)</f>
        <v>0</v>
      </c>
      <c r="AQ93" s="6" t="s">
        <v>105</v>
      </c>
      <c r="AV93" s="5">
        <f>AW93+AX93</f>
        <v>0</v>
      </c>
      <c r="AW93" s="5">
        <f>F93*AO93</f>
        <v>0</v>
      </c>
      <c r="AX93" s="5">
        <f>F93*AP93</f>
        <v>0</v>
      </c>
      <c r="AY93" s="6" t="s">
        <v>180</v>
      </c>
      <c r="AZ93" s="6" t="s">
        <v>181</v>
      </c>
      <c r="BA93" s="3" t="s">
        <v>182</v>
      </c>
      <c r="BC93" s="5">
        <f>AW93+AX93</f>
        <v>0</v>
      </c>
      <c r="BD93" s="5">
        <f>G93/(100-BE93)*100</f>
        <v>0</v>
      </c>
      <c r="BE93" s="5">
        <v>0</v>
      </c>
      <c r="BF93" s="5">
        <f>93</f>
        <v>93</v>
      </c>
      <c r="BH93" s="5">
        <f>F93*AO93</f>
        <v>0</v>
      </c>
      <c r="BI93" s="5">
        <f>F93*AP93</f>
        <v>0</v>
      </c>
      <c r="BJ93" s="5">
        <f>F93*G93</f>
        <v>0</v>
      </c>
      <c r="BK93" s="5"/>
      <c r="BL93" s="5">
        <v>762</v>
      </c>
      <c r="BW93" s="5">
        <v>21</v>
      </c>
      <c r="BX93" s="2" t="s">
        <v>213</v>
      </c>
    </row>
    <row r="94" spans="1:76" ht="27" customHeight="1" x14ac:dyDescent="0.25">
      <c r="A94" s="154"/>
      <c r="B94" s="155"/>
      <c r="C94" s="156" t="s">
        <v>216</v>
      </c>
      <c r="D94" s="157"/>
      <c r="E94" s="157"/>
      <c r="F94" s="157"/>
      <c r="G94" s="157"/>
      <c r="H94" s="157"/>
      <c r="I94" s="157"/>
      <c r="J94" s="157"/>
      <c r="K94" s="158"/>
    </row>
    <row r="95" spans="1:76" x14ac:dyDescent="0.25">
      <c r="A95" s="170"/>
      <c r="B95" s="155"/>
      <c r="C95" s="171" t="s">
        <v>217</v>
      </c>
      <c r="D95" s="172" t="s">
        <v>218</v>
      </c>
      <c r="E95" s="155"/>
      <c r="F95" s="173">
        <v>76</v>
      </c>
      <c r="G95" s="155"/>
      <c r="H95" s="155"/>
      <c r="I95" s="155"/>
      <c r="J95" s="155"/>
      <c r="K95" s="174"/>
    </row>
    <row r="96" spans="1:76" x14ac:dyDescent="0.25">
      <c r="A96" s="175" t="s">
        <v>219</v>
      </c>
      <c r="B96" s="176" t="s">
        <v>220</v>
      </c>
      <c r="C96" s="177" t="s">
        <v>221</v>
      </c>
      <c r="D96" s="178"/>
      <c r="E96" s="176" t="s">
        <v>69</v>
      </c>
      <c r="F96" s="179">
        <v>139.56216000000001</v>
      </c>
      <c r="G96" s="179">
        <v>0</v>
      </c>
      <c r="H96" s="179">
        <f>F96*AO96</f>
        <v>0</v>
      </c>
      <c r="I96" s="179">
        <f>F96*AP96</f>
        <v>0</v>
      </c>
      <c r="J96" s="179">
        <f>F96*G96</f>
        <v>0</v>
      </c>
      <c r="K96" s="180" t="s">
        <v>70</v>
      </c>
      <c r="Z96" s="5">
        <f>IF(AQ96="5",BJ96,0)</f>
        <v>0</v>
      </c>
      <c r="AB96" s="5">
        <f>IF(AQ96="1",BH96,0)</f>
        <v>0</v>
      </c>
      <c r="AC96" s="5">
        <f>IF(AQ96="1",BI96,0)</f>
        <v>0</v>
      </c>
      <c r="AD96" s="5">
        <f>IF(AQ96="7",BH96,0)</f>
        <v>0</v>
      </c>
      <c r="AE96" s="5">
        <f>IF(AQ96="7",BI96,0)</f>
        <v>0</v>
      </c>
      <c r="AF96" s="5">
        <f>IF(AQ96="2",BH96,0)</f>
        <v>0</v>
      </c>
      <c r="AG96" s="5">
        <f>IF(AQ96="2",BI96,0)</f>
        <v>0</v>
      </c>
      <c r="AH96" s="5">
        <f>IF(AQ96="0",BJ96,0)</f>
        <v>0</v>
      </c>
      <c r="AI96" s="3" t="s">
        <v>176</v>
      </c>
      <c r="AJ96" s="5">
        <f>IF(AN96=0,J96,0)</f>
        <v>0</v>
      </c>
      <c r="AK96" s="5">
        <f>IF(AN96=12,J96,0)</f>
        <v>0</v>
      </c>
      <c r="AL96" s="5">
        <f>IF(AN96=21,J96,0)</f>
        <v>0</v>
      </c>
      <c r="AN96" s="5">
        <v>21</v>
      </c>
      <c r="AO96" s="5">
        <f>G96*0.735954004</f>
        <v>0</v>
      </c>
      <c r="AP96" s="5">
        <f>G96*(1-0.735954004)</f>
        <v>0</v>
      </c>
      <c r="AQ96" s="6" t="s">
        <v>105</v>
      </c>
      <c r="AV96" s="5">
        <f>AW96+AX96</f>
        <v>0</v>
      </c>
      <c r="AW96" s="5">
        <f>F96*AO96</f>
        <v>0</v>
      </c>
      <c r="AX96" s="5">
        <f>F96*AP96</f>
        <v>0</v>
      </c>
      <c r="AY96" s="6" t="s">
        <v>180</v>
      </c>
      <c r="AZ96" s="6" t="s">
        <v>181</v>
      </c>
      <c r="BA96" s="3" t="s">
        <v>182</v>
      </c>
      <c r="BC96" s="5">
        <f>AW96+AX96</f>
        <v>0</v>
      </c>
      <c r="BD96" s="5">
        <f>G96/(100-BE96)*100</f>
        <v>0</v>
      </c>
      <c r="BE96" s="5">
        <v>0</v>
      </c>
      <c r="BF96" s="5">
        <f>96</f>
        <v>96</v>
      </c>
      <c r="BH96" s="5">
        <f>F96*AO96</f>
        <v>0</v>
      </c>
      <c r="BI96" s="5">
        <f>F96*AP96</f>
        <v>0</v>
      </c>
      <c r="BJ96" s="5">
        <f>F96*G96</f>
        <v>0</v>
      </c>
      <c r="BK96" s="5"/>
      <c r="BL96" s="5">
        <v>762</v>
      </c>
      <c r="BW96" s="5">
        <v>21</v>
      </c>
      <c r="BX96" s="2" t="s">
        <v>221</v>
      </c>
    </row>
    <row r="97" spans="1:76" x14ac:dyDescent="0.25">
      <c r="A97" s="181"/>
      <c r="B97" s="182"/>
      <c r="C97" s="183" t="s">
        <v>222</v>
      </c>
      <c r="D97" s="184" t="s">
        <v>185</v>
      </c>
      <c r="E97" s="182"/>
      <c r="F97" s="185">
        <v>63.934199999999997</v>
      </c>
      <c r="G97" s="182"/>
      <c r="H97" s="182"/>
      <c r="I97" s="182"/>
      <c r="J97" s="182"/>
      <c r="K97" s="186"/>
    </row>
    <row r="98" spans="1:76" x14ac:dyDescent="0.25">
      <c r="A98" s="181"/>
      <c r="B98" s="182"/>
      <c r="C98" s="183" t="s">
        <v>223</v>
      </c>
      <c r="D98" s="184" t="s">
        <v>193</v>
      </c>
      <c r="E98" s="182"/>
      <c r="F98" s="185">
        <v>45.520200000000003</v>
      </c>
      <c r="G98" s="182"/>
      <c r="H98" s="182"/>
      <c r="I98" s="182"/>
      <c r="J98" s="182"/>
      <c r="K98" s="186"/>
    </row>
    <row r="99" spans="1:76" x14ac:dyDescent="0.25">
      <c r="A99" s="181"/>
      <c r="B99" s="182"/>
      <c r="C99" s="183" t="s">
        <v>224</v>
      </c>
      <c r="D99" s="184" t="s">
        <v>199</v>
      </c>
      <c r="E99" s="182"/>
      <c r="F99" s="185">
        <v>8.5920000000000005</v>
      </c>
      <c r="G99" s="182"/>
      <c r="H99" s="182"/>
      <c r="I99" s="182"/>
      <c r="J99" s="182"/>
      <c r="K99" s="186"/>
    </row>
    <row r="100" spans="1:76" x14ac:dyDescent="0.25">
      <c r="A100" s="181"/>
      <c r="B100" s="182"/>
      <c r="C100" s="183" t="s">
        <v>225</v>
      </c>
      <c r="D100" s="184" t="s">
        <v>201</v>
      </c>
      <c r="E100" s="182"/>
      <c r="F100" s="185">
        <v>3.3119999999999998</v>
      </c>
      <c r="G100" s="182"/>
      <c r="H100" s="182"/>
      <c r="I100" s="182"/>
      <c r="J100" s="182"/>
      <c r="K100" s="186"/>
    </row>
    <row r="101" spans="1:76" x14ac:dyDescent="0.25">
      <c r="A101" s="181"/>
      <c r="B101" s="182"/>
      <c r="C101" s="183" t="s">
        <v>226</v>
      </c>
      <c r="D101" s="184" t="s">
        <v>52</v>
      </c>
      <c r="E101" s="182"/>
      <c r="F101" s="185">
        <v>18.203759999999999</v>
      </c>
      <c r="G101" s="182"/>
      <c r="H101" s="182"/>
      <c r="I101" s="182"/>
      <c r="J101" s="182"/>
      <c r="K101" s="186"/>
    </row>
    <row r="102" spans="1:76" ht="38.25" x14ac:dyDescent="0.25">
      <c r="A102" s="187"/>
      <c r="B102" s="188" t="s">
        <v>85</v>
      </c>
      <c r="C102" s="189" t="s">
        <v>227</v>
      </c>
      <c r="D102" s="190"/>
      <c r="E102" s="190"/>
      <c r="F102" s="190"/>
      <c r="G102" s="190"/>
      <c r="H102" s="190"/>
      <c r="I102" s="190"/>
      <c r="J102" s="190"/>
      <c r="K102" s="191"/>
      <c r="BX102" s="7" t="s">
        <v>227</v>
      </c>
    </row>
    <row r="103" spans="1:76" x14ac:dyDescent="0.25">
      <c r="A103" s="175" t="s">
        <v>228</v>
      </c>
      <c r="B103" s="176" t="s">
        <v>229</v>
      </c>
      <c r="C103" s="177" t="s">
        <v>230</v>
      </c>
      <c r="D103" s="178"/>
      <c r="E103" s="176" t="s">
        <v>206</v>
      </c>
      <c r="F103" s="179">
        <v>1.03624</v>
      </c>
      <c r="G103" s="179">
        <v>0</v>
      </c>
      <c r="H103" s="179">
        <f>F103*AO103</f>
        <v>0</v>
      </c>
      <c r="I103" s="179">
        <f>F103*AP103</f>
        <v>0</v>
      </c>
      <c r="J103" s="179">
        <f>F103*G103</f>
        <v>0</v>
      </c>
      <c r="K103" s="180" t="s">
        <v>70</v>
      </c>
      <c r="Z103" s="5">
        <f>IF(AQ103="5",BJ103,0)</f>
        <v>0</v>
      </c>
      <c r="AB103" s="5">
        <f>IF(AQ103="1",BH103,0)</f>
        <v>0</v>
      </c>
      <c r="AC103" s="5">
        <f>IF(AQ103="1",BI103,0)</f>
        <v>0</v>
      </c>
      <c r="AD103" s="5">
        <f>IF(AQ103="7",BH103,0)</f>
        <v>0</v>
      </c>
      <c r="AE103" s="5">
        <f>IF(AQ103="7",BI103,0)</f>
        <v>0</v>
      </c>
      <c r="AF103" s="5">
        <f>IF(AQ103="2",BH103,0)</f>
        <v>0</v>
      </c>
      <c r="AG103" s="5">
        <f>IF(AQ103="2",BI103,0)</f>
        <v>0</v>
      </c>
      <c r="AH103" s="5">
        <f>IF(AQ103="0",BJ103,0)</f>
        <v>0</v>
      </c>
      <c r="AI103" s="3" t="s">
        <v>176</v>
      </c>
      <c r="AJ103" s="5">
        <f>IF(AN103=0,J103,0)</f>
        <v>0</v>
      </c>
      <c r="AK103" s="5">
        <f>IF(AN103=12,J103,0)</f>
        <v>0</v>
      </c>
      <c r="AL103" s="5">
        <f>IF(AN103=21,J103,0)</f>
        <v>0</v>
      </c>
      <c r="AN103" s="5">
        <v>21</v>
      </c>
      <c r="AO103" s="5">
        <f>G103*0.999997998</f>
        <v>0</v>
      </c>
      <c r="AP103" s="5">
        <f>G103*(1-0.999997998)</f>
        <v>0</v>
      </c>
      <c r="AQ103" s="6" t="s">
        <v>105</v>
      </c>
      <c r="AV103" s="5">
        <f>AW103+AX103</f>
        <v>0</v>
      </c>
      <c r="AW103" s="5">
        <f>F103*AO103</f>
        <v>0</v>
      </c>
      <c r="AX103" s="5">
        <f>F103*AP103</f>
        <v>0</v>
      </c>
      <c r="AY103" s="6" t="s">
        <v>180</v>
      </c>
      <c r="AZ103" s="6" t="s">
        <v>181</v>
      </c>
      <c r="BA103" s="3" t="s">
        <v>182</v>
      </c>
      <c r="BC103" s="5">
        <f>AW103+AX103</f>
        <v>0</v>
      </c>
      <c r="BD103" s="5">
        <f>G103/(100-BE103)*100</f>
        <v>0</v>
      </c>
      <c r="BE103" s="5">
        <v>0</v>
      </c>
      <c r="BF103" s="5">
        <f>103</f>
        <v>103</v>
      </c>
      <c r="BH103" s="5">
        <f>F103*AO103</f>
        <v>0</v>
      </c>
      <c r="BI103" s="5">
        <f>F103*AP103</f>
        <v>0</v>
      </c>
      <c r="BJ103" s="5">
        <f>F103*G103</f>
        <v>0</v>
      </c>
      <c r="BK103" s="5"/>
      <c r="BL103" s="5">
        <v>762</v>
      </c>
      <c r="BW103" s="5">
        <v>21</v>
      </c>
      <c r="BX103" s="2" t="s">
        <v>230</v>
      </c>
    </row>
    <row r="104" spans="1:76" x14ac:dyDescent="0.25">
      <c r="A104" s="181"/>
      <c r="B104" s="182"/>
      <c r="C104" s="183" t="s">
        <v>231</v>
      </c>
      <c r="D104" s="184" t="s">
        <v>185</v>
      </c>
      <c r="E104" s="182"/>
      <c r="F104" s="185">
        <v>0.69745999999999997</v>
      </c>
      <c r="G104" s="182"/>
      <c r="H104" s="182"/>
      <c r="I104" s="182"/>
      <c r="J104" s="182"/>
      <c r="K104" s="186"/>
    </row>
    <row r="105" spans="1:76" x14ac:dyDescent="0.25">
      <c r="A105" s="181"/>
      <c r="B105" s="182"/>
      <c r="C105" s="183" t="s">
        <v>232</v>
      </c>
      <c r="D105" s="184" t="s">
        <v>187</v>
      </c>
      <c r="E105" s="182"/>
      <c r="F105" s="185">
        <v>0.16022</v>
      </c>
      <c r="G105" s="182"/>
      <c r="H105" s="182"/>
      <c r="I105" s="182"/>
      <c r="J105" s="182"/>
      <c r="K105" s="186"/>
    </row>
    <row r="106" spans="1:76" x14ac:dyDescent="0.25">
      <c r="A106" s="181"/>
      <c r="B106" s="182"/>
      <c r="C106" s="183" t="s">
        <v>207</v>
      </c>
      <c r="D106" s="184" t="s">
        <v>199</v>
      </c>
      <c r="E106" s="182"/>
      <c r="F106" s="185">
        <v>0.12887999999999999</v>
      </c>
      <c r="G106" s="182"/>
      <c r="H106" s="182"/>
      <c r="I106" s="182"/>
      <c r="J106" s="182"/>
      <c r="K106" s="186"/>
    </row>
    <row r="107" spans="1:76" x14ac:dyDescent="0.25">
      <c r="A107" s="181"/>
      <c r="B107" s="182"/>
      <c r="C107" s="183" t="s">
        <v>208</v>
      </c>
      <c r="D107" s="184" t="s">
        <v>201</v>
      </c>
      <c r="E107" s="182"/>
      <c r="F107" s="185">
        <v>4.9680000000000002E-2</v>
      </c>
      <c r="G107" s="182"/>
      <c r="H107" s="182"/>
      <c r="I107" s="182"/>
      <c r="J107" s="182"/>
      <c r="K107" s="186"/>
    </row>
    <row r="108" spans="1:76" ht="38.25" x14ac:dyDescent="0.25">
      <c r="A108" s="192"/>
      <c r="B108" s="193" t="s">
        <v>85</v>
      </c>
      <c r="C108" s="194" t="s">
        <v>233</v>
      </c>
      <c r="D108" s="195"/>
      <c r="E108" s="195"/>
      <c r="F108" s="195"/>
      <c r="G108" s="195"/>
      <c r="H108" s="195"/>
      <c r="I108" s="195"/>
      <c r="J108" s="195"/>
      <c r="K108" s="196"/>
      <c r="BX108" s="7" t="s">
        <v>233</v>
      </c>
    </row>
    <row r="109" spans="1:76" x14ac:dyDescent="0.25">
      <c r="A109" s="146" t="s">
        <v>234</v>
      </c>
      <c r="B109" s="149" t="s">
        <v>235</v>
      </c>
      <c r="C109" s="116" t="s">
        <v>236</v>
      </c>
      <c r="D109" s="112"/>
      <c r="E109" s="149" t="s">
        <v>128</v>
      </c>
      <c r="F109" s="152">
        <v>1.6585099999999999</v>
      </c>
      <c r="G109" s="152">
        <v>0</v>
      </c>
      <c r="H109" s="152">
        <f>F109*AO109</f>
        <v>0</v>
      </c>
      <c r="I109" s="152">
        <f>F109*AP109</f>
        <v>0</v>
      </c>
      <c r="J109" s="152">
        <f>F109*G109</f>
        <v>0</v>
      </c>
      <c r="K109" s="153" t="s">
        <v>70</v>
      </c>
      <c r="Z109" s="5">
        <f>IF(AQ109="5",BJ109,0)</f>
        <v>0</v>
      </c>
      <c r="AB109" s="5">
        <f>IF(AQ109="1",BH109,0)</f>
        <v>0</v>
      </c>
      <c r="AC109" s="5">
        <f>IF(AQ109="1",BI109,0)</f>
        <v>0</v>
      </c>
      <c r="AD109" s="5">
        <f>IF(AQ109="7",BH109,0)</f>
        <v>0</v>
      </c>
      <c r="AE109" s="5">
        <f>IF(AQ109="7",BI109,0)</f>
        <v>0</v>
      </c>
      <c r="AF109" s="5">
        <f>IF(AQ109="2",BH109,0)</f>
        <v>0</v>
      </c>
      <c r="AG109" s="5">
        <f>IF(AQ109="2",BI109,0)</f>
        <v>0</v>
      </c>
      <c r="AH109" s="5">
        <f>IF(AQ109="0",BJ109,0)</f>
        <v>0</v>
      </c>
      <c r="AI109" s="3" t="s">
        <v>176</v>
      </c>
      <c r="AJ109" s="5">
        <f>IF(AN109=0,J109,0)</f>
        <v>0</v>
      </c>
      <c r="AK109" s="5">
        <f>IF(AN109=12,J109,0)</f>
        <v>0</v>
      </c>
      <c r="AL109" s="5">
        <f>IF(AN109=21,J109,0)</f>
        <v>0</v>
      </c>
      <c r="AN109" s="5">
        <v>21</v>
      </c>
      <c r="AO109" s="5">
        <f>G109*0</f>
        <v>0</v>
      </c>
      <c r="AP109" s="5">
        <f>G109*(1-0)</f>
        <v>0</v>
      </c>
      <c r="AQ109" s="6" t="s">
        <v>96</v>
      </c>
      <c r="AV109" s="5">
        <f>AW109+AX109</f>
        <v>0</v>
      </c>
      <c r="AW109" s="5">
        <f>F109*AO109</f>
        <v>0</v>
      </c>
      <c r="AX109" s="5">
        <f>F109*AP109</f>
        <v>0</v>
      </c>
      <c r="AY109" s="6" t="s">
        <v>180</v>
      </c>
      <c r="AZ109" s="6" t="s">
        <v>181</v>
      </c>
      <c r="BA109" s="3" t="s">
        <v>182</v>
      </c>
      <c r="BC109" s="5">
        <f>AW109+AX109</f>
        <v>0</v>
      </c>
      <c r="BD109" s="5">
        <f>G109/(100-BE109)*100</f>
        <v>0</v>
      </c>
      <c r="BE109" s="5">
        <v>0</v>
      </c>
      <c r="BF109" s="5">
        <f>109</f>
        <v>109</v>
      </c>
      <c r="BH109" s="5">
        <f>F109*AO109</f>
        <v>0</v>
      </c>
      <c r="BI109" s="5">
        <f>F109*AP109</f>
        <v>0</v>
      </c>
      <c r="BJ109" s="5">
        <f>F109*G109</f>
        <v>0</v>
      </c>
      <c r="BK109" s="5"/>
      <c r="BL109" s="5">
        <v>762</v>
      </c>
      <c r="BW109" s="5">
        <v>21</v>
      </c>
      <c r="BX109" s="2" t="s">
        <v>236</v>
      </c>
    </row>
    <row r="110" spans="1:76" x14ac:dyDescent="0.25">
      <c r="A110" s="146" t="s">
        <v>52</v>
      </c>
      <c r="B110" s="147" t="s">
        <v>237</v>
      </c>
      <c r="C110" s="148" t="s">
        <v>238</v>
      </c>
      <c r="D110" s="113"/>
      <c r="E110" s="149" t="s">
        <v>33</v>
      </c>
      <c r="F110" s="149" t="s">
        <v>33</v>
      </c>
      <c r="G110" s="149" t="s">
        <v>33</v>
      </c>
      <c r="H110" s="150">
        <f>SUM(H111:H187)</f>
        <v>0</v>
      </c>
      <c r="I110" s="150">
        <f>SUM(I111:I187)</f>
        <v>0</v>
      </c>
      <c r="J110" s="150">
        <f>SUM(J111:J187)</f>
        <v>0</v>
      </c>
      <c r="K110" s="151" t="s">
        <v>52</v>
      </c>
      <c r="AI110" s="3" t="s">
        <v>176</v>
      </c>
      <c r="AS110" s="1">
        <f>SUM(AJ111:AJ187)</f>
        <v>0</v>
      </c>
      <c r="AT110" s="1">
        <f>SUM(AK111:AK187)</f>
        <v>0</v>
      </c>
      <c r="AU110" s="1">
        <f>SUM(AL111:AL187)</f>
        <v>0</v>
      </c>
    </row>
    <row r="111" spans="1:76" x14ac:dyDescent="0.25">
      <c r="A111" s="146" t="s">
        <v>239</v>
      </c>
      <c r="B111" s="149" t="s">
        <v>240</v>
      </c>
      <c r="C111" s="116" t="s">
        <v>241</v>
      </c>
      <c r="D111" s="112"/>
      <c r="E111" s="149" t="s">
        <v>197</v>
      </c>
      <c r="F111" s="152">
        <v>100.965</v>
      </c>
      <c r="G111" s="152">
        <v>0</v>
      </c>
      <c r="H111" s="152">
        <f>F111*AO111</f>
        <v>0</v>
      </c>
      <c r="I111" s="152">
        <f>F111*AP111</f>
        <v>0</v>
      </c>
      <c r="J111" s="152">
        <f>F111*G111</f>
        <v>0</v>
      </c>
      <c r="K111" s="153" t="s">
        <v>70</v>
      </c>
      <c r="Z111" s="5">
        <f>IF(AQ111="5",BJ111,0)</f>
        <v>0</v>
      </c>
      <c r="AB111" s="5">
        <f>IF(AQ111="1",BH111,0)</f>
        <v>0</v>
      </c>
      <c r="AC111" s="5">
        <f>IF(AQ111="1",BI111,0)</f>
        <v>0</v>
      </c>
      <c r="AD111" s="5">
        <f>IF(AQ111="7",BH111,0)</f>
        <v>0</v>
      </c>
      <c r="AE111" s="5">
        <f>IF(AQ111="7",BI111,0)</f>
        <v>0</v>
      </c>
      <c r="AF111" s="5">
        <f>IF(AQ111="2",BH111,0)</f>
        <v>0</v>
      </c>
      <c r="AG111" s="5">
        <f>IF(AQ111="2",BI111,0)</f>
        <v>0</v>
      </c>
      <c r="AH111" s="5">
        <f>IF(AQ111="0",BJ111,0)</f>
        <v>0</v>
      </c>
      <c r="AI111" s="3" t="s">
        <v>176</v>
      </c>
      <c r="AJ111" s="5">
        <f>IF(AN111=0,J111,0)</f>
        <v>0</v>
      </c>
      <c r="AK111" s="5">
        <f>IF(AN111=12,J111,0)</f>
        <v>0</v>
      </c>
      <c r="AL111" s="5">
        <f>IF(AN111=21,J111,0)</f>
        <v>0</v>
      </c>
      <c r="AN111" s="5">
        <v>21</v>
      </c>
      <c r="AO111" s="5">
        <f>G111*0</f>
        <v>0</v>
      </c>
      <c r="AP111" s="5">
        <f>G111*(1-0)</f>
        <v>0</v>
      </c>
      <c r="AQ111" s="6" t="s">
        <v>105</v>
      </c>
      <c r="AV111" s="5">
        <f>AW111+AX111</f>
        <v>0</v>
      </c>
      <c r="AW111" s="5">
        <f>F111*AO111</f>
        <v>0</v>
      </c>
      <c r="AX111" s="5">
        <f>F111*AP111</f>
        <v>0</v>
      </c>
      <c r="AY111" s="6" t="s">
        <v>242</v>
      </c>
      <c r="AZ111" s="6" t="s">
        <v>181</v>
      </c>
      <c r="BA111" s="3" t="s">
        <v>182</v>
      </c>
      <c r="BC111" s="5">
        <f>AW111+AX111</f>
        <v>0</v>
      </c>
      <c r="BD111" s="5">
        <f>G111/(100-BE111)*100</f>
        <v>0</v>
      </c>
      <c r="BE111" s="5">
        <v>0</v>
      </c>
      <c r="BF111" s="5">
        <f>111</f>
        <v>111</v>
      </c>
      <c r="BH111" s="5">
        <f>F111*AO111</f>
        <v>0</v>
      </c>
      <c r="BI111" s="5">
        <f>F111*AP111</f>
        <v>0</v>
      </c>
      <c r="BJ111" s="5">
        <f>F111*G111</f>
        <v>0</v>
      </c>
      <c r="BK111" s="5"/>
      <c r="BL111" s="5">
        <v>764</v>
      </c>
      <c r="BW111" s="5">
        <v>21</v>
      </c>
      <c r="BX111" s="2" t="s">
        <v>241</v>
      </c>
    </row>
    <row r="112" spans="1:76" ht="13.5" customHeight="1" x14ac:dyDescent="0.25">
      <c r="A112" s="154"/>
      <c r="B112" s="155"/>
      <c r="C112" s="156" t="s">
        <v>243</v>
      </c>
      <c r="D112" s="157"/>
      <c r="E112" s="157"/>
      <c r="F112" s="157"/>
      <c r="G112" s="157"/>
      <c r="H112" s="157"/>
      <c r="I112" s="157"/>
      <c r="J112" s="157"/>
      <c r="K112" s="158"/>
    </row>
    <row r="113" spans="1:76" x14ac:dyDescent="0.25">
      <c r="A113" s="154"/>
      <c r="B113" s="155"/>
      <c r="C113" s="159" t="s">
        <v>244</v>
      </c>
      <c r="D113" s="160" t="s">
        <v>245</v>
      </c>
      <c r="E113" s="155"/>
      <c r="F113" s="161">
        <v>100.965</v>
      </c>
      <c r="G113" s="155"/>
      <c r="H113" s="155"/>
      <c r="I113" s="155"/>
      <c r="J113" s="155"/>
      <c r="K113" s="162"/>
    </row>
    <row r="114" spans="1:76" ht="38.25" x14ac:dyDescent="0.25">
      <c r="A114" s="154"/>
      <c r="B114" s="163" t="s">
        <v>85</v>
      </c>
      <c r="C114" s="156" t="s">
        <v>246</v>
      </c>
      <c r="D114" s="157"/>
      <c r="E114" s="157"/>
      <c r="F114" s="157"/>
      <c r="G114" s="157"/>
      <c r="H114" s="157"/>
      <c r="I114" s="157"/>
      <c r="J114" s="157"/>
      <c r="K114" s="158"/>
      <c r="BX114" s="7" t="s">
        <v>246</v>
      </c>
    </row>
    <row r="115" spans="1:76" x14ac:dyDescent="0.25">
      <c r="A115" s="146" t="s">
        <v>247</v>
      </c>
      <c r="B115" s="149" t="s">
        <v>248</v>
      </c>
      <c r="C115" s="116" t="s">
        <v>249</v>
      </c>
      <c r="D115" s="112"/>
      <c r="E115" s="149" t="s">
        <v>197</v>
      </c>
      <c r="F115" s="152">
        <v>100.965</v>
      </c>
      <c r="G115" s="152">
        <v>0</v>
      </c>
      <c r="H115" s="152">
        <f>F115*AO115</f>
        <v>0</v>
      </c>
      <c r="I115" s="152">
        <f>F115*AP115</f>
        <v>0</v>
      </c>
      <c r="J115" s="152">
        <f>F115*G115</f>
        <v>0</v>
      </c>
      <c r="K115" s="153" t="s">
        <v>70</v>
      </c>
      <c r="Z115" s="5">
        <f>IF(AQ115="5",BJ115,0)</f>
        <v>0</v>
      </c>
      <c r="AB115" s="5">
        <f>IF(AQ115="1",BH115,0)</f>
        <v>0</v>
      </c>
      <c r="AC115" s="5">
        <f>IF(AQ115="1",BI115,0)</f>
        <v>0</v>
      </c>
      <c r="AD115" s="5">
        <f>IF(AQ115="7",BH115,0)</f>
        <v>0</v>
      </c>
      <c r="AE115" s="5">
        <f>IF(AQ115="7",BI115,0)</f>
        <v>0</v>
      </c>
      <c r="AF115" s="5">
        <f>IF(AQ115="2",BH115,0)</f>
        <v>0</v>
      </c>
      <c r="AG115" s="5">
        <f>IF(AQ115="2",BI115,0)</f>
        <v>0</v>
      </c>
      <c r="AH115" s="5">
        <f>IF(AQ115="0",BJ115,0)</f>
        <v>0</v>
      </c>
      <c r="AI115" s="3" t="s">
        <v>176</v>
      </c>
      <c r="AJ115" s="5">
        <f>IF(AN115=0,J115,0)</f>
        <v>0</v>
      </c>
      <c r="AK115" s="5">
        <f>IF(AN115=12,J115,0)</f>
        <v>0</v>
      </c>
      <c r="AL115" s="5">
        <f>IF(AN115=21,J115,0)</f>
        <v>0</v>
      </c>
      <c r="AN115" s="5">
        <v>21</v>
      </c>
      <c r="AO115" s="5">
        <f>G115*0</f>
        <v>0</v>
      </c>
      <c r="AP115" s="5">
        <f>G115*(1-0)</f>
        <v>0</v>
      </c>
      <c r="AQ115" s="6" t="s">
        <v>105</v>
      </c>
      <c r="AV115" s="5">
        <f>AW115+AX115</f>
        <v>0</v>
      </c>
      <c r="AW115" s="5">
        <f>F115*AO115</f>
        <v>0</v>
      </c>
      <c r="AX115" s="5">
        <f>F115*AP115</f>
        <v>0</v>
      </c>
      <c r="AY115" s="6" t="s">
        <v>242</v>
      </c>
      <c r="AZ115" s="6" t="s">
        <v>181</v>
      </c>
      <c r="BA115" s="3" t="s">
        <v>182</v>
      </c>
      <c r="BC115" s="5">
        <f>AW115+AX115</f>
        <v>0</v>
      </c>
      <c r="BD115" s="5">
        <f>G115/(100-BE115)*100</f>
        <v>0</v>
      </c>
      <c r="BE115" s="5">
        <v>0</v>
      </c>
      <c r="BF115" s="5">
        <f>115</f>
        <v>115</v>
      </c>
      <c r="BH115" s="5">
        <f>F115*AO115</f>
        <v>0</v>
      </c>
      <c r="BI115" s="5">
        <f>F115*AP115</f>
        <v>0</v>
      </c>
      <c r="BJ115" s="5">
        <f>F115*G115</f>
        <v>0</v>
      </c>
      <c r="BK115" s="5"/>
      <c r="BL115" s="5">
        <v>764</v>
      </c>
      <c r="BW115" s="5">
        <v>21</v>
      </c>
      <c r="BX115" s="2" t="s">
        <v>249</v>
      </c>
    </row>
    <row r="116" spans="1:76" x14ac:dyDescent="0.25">
      <c r="A116" s="154"/>
      <c r="B116" s="155"/>
      <c r="C116" s="159" t="s">
        <v>244</v>
      </c>
      <c r="D116" s="160" t="s">
        <v>250</v>
      </c>
      <c r="E116" s="155"/>
      <c r="F116" s="161">
        <v>100.965</v>
      </c>
      <c r="G116" s="155"/>
      <c r="H116" s="155"/>
      <c r="I116" s="155"/>
      <c r="J116" s="155"/>
      <c r="K116" s="162"/>
    </row>
    <row r="117" spans="1:76" x14ac:dyDescent="0.25">
      <c r="A117" s="146" t="s">
        <v>251</v>
      </c>
      <c r="B117" s="149" t="s">
        <v>252</v>
      </c>
      <c r="C117" s="116" t="s">
        <v>253</v>
      </c>
      <c r="D117" s="112"/>
      <c r="E117" s="149" t="s">
        <v>197</v>
      </c>
      <c r="F117" s="152">
        <v>13.36</v>
      </c>
      <c r="G117" s="152">
        <v>0</v>
      </c>
      <c r="H117" s="152">
        <f>F117*AO117</f>
        <v>0</v>
      </c>
      <c r="I117" s="152">
        <f>F117*AP117</f>
        <v>0</v>
      </c>
      <c r="J117" s="152">
        <f>F117*G117</f>
        <v>0</v>
      </c>
      <c r="K117" s="153" t="s">
        <v>70</v>
      </c>
      <c r="Z117" s="5">
        <f>IF(AQ117="5",BJ117,0)</f>
        <v>0</v>
      </c>
      <c r="AB117" s="5">
        <f>IF(AQ117="1",BH117,0)</f>
        <v>0</v>
      </c>
      <c r="AC117" s="5">
        <f>IF(AQ117="1",BI117,0)</f>
        <v>0</v>
      </c>
      <c r="AD117" s="5">
        <f>IF(AQ117="7",BH117,0)</f>
        <v>0</v>
      </c>
      <c r="AE117" s="5">
        <f>IF(AQ117="7",BI117,0)</f>
        <v>0</v>
      </c>
      <c r="AF117" s="5">
        <f>IF(AQ117="2",BH117,0)</f>
        <v>0</v>
      </c>
      <c r="AG117" s="5">
        <f>IF(AQ117="2",BI117,0)</f>
        <v>0</v>
      </c>
      <c r="AH117" s="5">
        <f>IF(AQ117="0",BJ117,0)</f>
        <v>0</v>
      </c>
      <c r="AI117" s="3" t="s">
        <v>176</v>
      </c>
      <c r="AJ117" s="5">
        <f>IF(AN117=0,J117,0)</f>
        <v>0</v>
      </c>
      <c r="AK117" s="5">
        <f>IF(AN117=12,J117,0)</f>
        <v>0</v>
      </c>
      <c r="AL117" s="5">
        <f>IF(AN117=21,J117,0)</f>
        <v>0</v>
      </c>
      <c r="AN117" s="5">
        <v>21</v>
      </c>
      <c r="AO117" s="5">
        <f>G117*0</f>
        <v>0</v>
      </c>
      <c r="AP117" s="5">
        <f>G117*(1-0)</f>
        <v>0</v>
      </c>
      <c r="AQ117" s="6" t="s">
        <v>105</v>
      </c>
      <c r="AV117" s="5">
        <f>AW117+AX117</f>
        <v>0</v>
      </c>
      <c r="AW117" s="5">
        <f>F117*AO117</f>
        <v>0</v>
      </c>
      <c r="AX117" s="5">
        <f>F117*AP117</f>
        <v>0</v>
      </c>
      <c r="AY117" s="6" t="s">
        <v>242</v>
      </c>
      <c r="AZ117" s="6" t="s">
        <v>181</v>
      </c>
      <c r="BA117" s="3" t="s">
        <v>182</v>
      </c>
      <c r="BC117" s="5">
        <f>AW117+AX117</f>
        <v>0</v>
      </c>
      <c r="BD117" s="5">
        <f>G117/(100-BE117)*100</f>
        <v>0</v>
      </c>
      <c r="BE117" s="5">
        <v>0</v>
      </c>
      <c r="BF117" s="5">
        <f>117</f>
        <v>117</v>
      </c>
      <c r="BH117" s="5">
        <f>F117*AO117</f>
        <v>0</v>
      </c>
      <c r="BI117" s="5">
        <f>F117*AP117</f>
        <v>0</v>
      </c>
      <c r="BJ117" s="5">
        <f>F117*G117</f>
        <v>0</v>
      </c>
      <c r="BK117" s="5"/>
      <c r="BL117" s="5">
        <v>764</v>
      </c>
      <c r="BW117" s="5">
        <v>21</v>
      </c>
      <c r="BX117" s="2" t="s">
        <v>253</v>
      </c>
    </row>
    <row r="118" spans="1:76" x14ac:dyDescent="0.25">
      <c r="A118" s="154"/>
      <c r="B118" s="155"/>
      <c r="C118" s="159" t="s">
        <v>254</v>
      </c>
      <c r="D118" s="160" t="s">
        <v>52</v>
      </c>
      <c r="E118" s="155"/>
      <c r="F118" s="161">
        <v>13.36</v>
      </c>
      <c r="G118" s="155"/>
      <c r="H118" s="155"/>
      <c r="I118" s="155"/>
      <c r="J118" s="155"/>
      <c r="K118" s="162"/>
    </row>
    <row r="119" spans="1:76" x14ac:dyDescent="0.25">
      <c r="A119" s="146" t="s">
        <v>255</v>
      </c>
      <c r="B119" s="149" t="s">
        <v>256</v>
      </c>
      <c r="C119" s="116" t="s">
        <v>257</v>
      </c>
      <c r="D119" s="112"/>
      <c r="E119" s="149" t="s">
        <v>197</v>
      </c>
      <c r="F119" s="152">
        <v>12</v>
      </c>
      <c r="G119" s="152">
        <v>0</v>
      </c>
      <c r="H119" s="152">
        <f>F119*AO119</f>
        <v>0</v>
      </c>
      <c r="I119" s="152">
        <f>F119*AP119</f>
        <v>0</v>
      </c>
      <c r="J119" s="152">
        <f>F119*G119</f>
        <v>0</v>
      </c>
      <c r="K119" s="153" t="s">
        <v>70</v>
      </c>
      <c r="Z119" s="5">
        <f>IF(AQ119="5",BJ119,0)</f>
        <v>0</v>
      </c>
      <c r="AB119" s="5">
        <f>IF(AQ119="1",BH119,0)</f>
        <v>0</v>
      </c>
      <c r="AC119" s="5">
        <f>IF(AQ119="1",BI119,0)</f>
        <v>0</v>
      </c>
      <c r="AD119" s="5">
        <f>IF(AQ119="7",BH119,0)</f>
        <v>0</v>
      </c>
      <c r="AE119" s="5">
        <f>IF(AQ119="7",BI119,0)</f>
        <v>0</v>
      </c>
      <c r="AF119" s="5">
        <f>IF(AQ119="2",BH119,0)</f>
        <v>0</v>
      </c>
      <c r="AG119" s="5">
        <f>IF(AQ119="2",BI119,0)</f>
        <v>0</v>
      </c>
      <c r="AH119" s="5">
        <f>IF(AQ119="0",BJ119,0)</f>
        <v>0</v>
      </c>
      <c r="AI119" s="3" t="s">
        <v>176</v>
      </c>
      <c r="AJ119" s="5">
        <f>IF(AN119=0,J119,0)</f>
        <v>0</v>
      </c>
      <c r="AK119" s="5">
        <f>IF(AN119=12,J119,0)</f>
        <v>0</v>
      </c>
      <c r="AL119" s="5">
        <f>IF(AN119=21,J119,0)</f>
        <v>0</v>
      </c>
      <c r="AN119" s="5">
        <v>21</v>
      </c>
      <c r="AO119" s="5">
        <f>G119*0</f>
        <v>0</v>
      </c>
      <c r="AP119" s="5">
        <f>G119*(1-0)</f>
        <v>0</v>
      </c>
      <c r="AQ119" s="6" t="s">
        <v>105</v>
      </c>
      <c r="AV119" s="5">
        <f>AW119+AX119</f>
        <v>0</v>
      </c>
      <c r="AW119" s="5">
        <f>F119*AO119</f>
        <v>0</v>
      </c>
      <c r="AX119" s="5">
        <f>F119*AP119</f>
        <v>0</v>
      </c>
      <c r="AY119" s="6" t="s">
        <v>242</v>
      </c>
      <c r="AZ119" s="6" t="s">
        <v>181</v>
      </c>
      <c r="BA119" s="3" t="s">
        <v>182</v>
      </c>
      <c r="BC119" s="5">
        <f>AW119+AX119</f>
        <v>0</v>
      </c>
      <c r="BD119" s="5">
        <f>G119/(100-BE119)*100</f>
        <v>0</v>
      </c>
      <c r="BE119" s="5">
        <v>0</v>
      </c>
      <c r="BF119" s="5">
        <f>119</f>
        <v>119</v>
      </c>
      <c r="BH119" s="5">
        <f>F119*AO119</f>
        <v>0</v>
      </c>
      <c r="BI119" s="5">
        <f>F119*AP119</f>
        <v>0</v>
      </c>
      <c r="BJ119" s="5">
        <f>F119*G119</f>
        <v>0</v>
      </c>
      <c r="BK119" s="5"/>
      <c r="BL119" s="5">
        <v>764</v>
      </c>
      <c r="BW119" s="5">
        <v>21</v>
      </c>
      <c r="BX119" s="2" t="s">
        <v>257</v>
      </c>
    </row>
    <row r="120" spans="1:76" x14ac:dyDescent="0.25">
      <c r="A120" s="154"/>
      <c r="B120" s="155"/>
      <c r="C120" s="159" t="s">
        <v>258</v>
      </c>
      <c r="D120" s="160" t="s">
        <v>259</v>
      </c>
      <c r="E120" s="155"/>
      <c r="F120" s="161">
        <v>12</v>
      </c>
      <c r="G120" s="155"/>
      <c r="H120" s="155"/>
      <c r="I120" s="155"/>
      <c r="J120" s="155"/>
      <c r="K120" s="162"/>
    </row>
    <row r="121" spans="1:76" x14ac:dyDescent="0.25">
      <c r="A121" s="146" t="s">
        <v>260</v>
      </c>
      <c r="B121" s="149" t="s">
        <v>261</v>
      </c>
      <c r="C121" s="116" t="s">
        <v>262</v>
      </c>
      <c r="D121" s="112"/>
      <c r="E121" s="149" t="s">
        <v>69</v>
      </c>
      <c r="F121" s="152">
        <v>588.79999999999995</v>
      </c>
      <c r="G121" s="152">
        <v>0</v>
      </c>
      <c r="H121" s="152">
        <f>F121*AO121</f>
        <v>0</v>
      </c>
      <c r="I121" s="152">
        <f>F121*AP121</f>
        <v>0</v>
      </c>
      <c r="J121" s="152">
        <f>F121*G121</f>
        <v>0</v>
      </c>
      <c r="K121" s="153" t="s">
        <v>70</v>
      </c>
      <c r="Z121" s="5">
        <f>IF(AQ121="5",BJ121,0)</f>
        <v>0</v>
      </c>
      <c r="AB121" s="5">
        <f>IF(AQ121="1",BH121,0)</f>
        <v>0</v>
      </c>
      <c r="AC121" s="5">
        <f>IF(AQ121="1",BI121,0)</f>
        <v>0</v>
      </c>
      <c r="AD121" s="5">
        <f>IF(AQ121="7",BH121,0)</f>
        <v>0</v>
      </c>
      <c r="AE121" s="5">
        <f>IF(AQ121="7",BI121,0)</f>
        <v>0</v>
      </c>
      <c r="AF121" s="5">
        <f>IF(AQ121="2",BH121,0)</f>
        <v>0</v>
      </c>
      <c r="AG121" s="5">
        <f>IF(AQ121="2",BI121,0)</f>
        <v>0</v>
      </c>
      <c r="AH121" s="5">
        <f>IF(AQ121="0",BJ121,0)</f>
        <v>0</v>
      </c>
      <c r="AI121" s="3" t="s">
        <v>176</v>
      </c>
      <c r="AJ121" s="5">
        <f>IF(AN121=0,J121,0)</f>
        <v>0</v>
      </c>
      <c r="AK121" s="5">
        <f>IF(AN121=12,J121,0)</f>
        <v>0</v>
      </c>
      <c r="AL121" s="5">
        <f>IF(AN121=21,J121,0)</f>
        <v>0</v>
      </c>
      <c r="AN121" s="5">
        <v>21</v>
      </c>
      <c r="AO121" s="5">
        <f>G121*0.775193091</f>
        <v>0</v>
      </c>
      <c r="AP121" s="5">
        <f>G121*(1-0.775193091)</f>
        <v>0</v>
      </c>
      <c r="AQ121" s="6" t="s">
        <v>105</v>
      </c>
      <c r="AV121" s="5">
        <f>AW121+AX121</f>
        <v>0</v>
      </c>
      <c r="AW121" s="5">
        <f>F121*AO121</f>
        <v>0</v>
      </c>
      <c r="AX121" s="5">
        <f>F121*AP121</f>
        <v>0</v>
      </c>
      <c r="AY121" s="6" t="s">
        <v>242</v>
      </c>
      <c r="AZ121" s="6" t="s">
        <v>181</v>
      </c>
      <c r="BA121" s="3" t="s">
        <v>182</v>
      </c>
      <c r="BC121" s="5">
        <f>AW121+AX121</f>
        <v>0</v>
      </c>
      <c r="BD121" s="5">
        <f>G121/(100-BE121)*100</f>
        <v>0</v>
      </c>
      <c r="BE121" s="5">
        <v>0</v>
      </c>
      <c r="BF121" s="5">
        <f>121</f>
        <v>121</v>
      </c>
      <c r="BH121" s="5">
        <f>F121*AO121</f>
        <v>0</v>
      </c>
      <c r="BI121" s="5">
        <f>F121*AP121</f>
        <v>0</v>
      </c>
      <c r="BJ121" s="5">
        <f>F121*G121</f>
        <v>0</v>
      </c>
      <c r="BK121" s="5"/>
      <c r="BL121" s="5">
        <v>764</v>
      </c>
      <c r="BW121" s="5">
        <v>21</v>
      </c>
      <c r="BX121" s="2" t="s">
        <v>262</v>
      </c>
    </row>
    <row r="122" spans="1:76" ht="13.5" customHeight="1" x14ac:dyDescent="0.25">
      <c r="A122" s="154"/>
      <c r="B122" s="155"/>
      <c r="C122" s="156" t="s">
        <v>263</v>
      </c>
      <c r="D122" s="157"/>
      <c r="E122" s="157"/>
      <c r="F122" s="157"/>
      <c r="G122" s="157"/>
      <c r="H122" s="157"/>
      <c r="I122" s="157"/>
      <c r="J122" s="157"/>
      <c r="K122" s="158"/>
    </row>
    <row r="123" spans="1:76" x14ac:dyDescent="0.25">
      <c r="A123" s="154"/>
      <c r="B123" s="155"/>
      <c r="C123" s="159" t="s">
        <v>264</v>
      </c>
      <c r="D123" s="160" t="s">
        <v>265</v>
      </c>
      <c r="E123" s="155"/>
      <c r="F123" s="161">
        <v>588.79999999999995</v>
      </c>
      <c r="G123" s="155"/>
      <c r="H123" s="155"/>
      <c r="I123" s="155"/>
      <c r="J123" s="155"/>
      <c r="K123" s="162"/>
    </row>
    <row r="124" spans="1:76" x14ac:dyDescent="0.25">
      <c r="A124" s="170"/>
      <c r="B124" s="197" t="s">
        <v>85</v>
      </c>
      <c r="C124" s="198" t="s">
        <v>266</v>
      </c>
      <c r="D124" s="199"/>
      <c r="E124" s="199"/>
      <c r="F124" s="199"/>
      <c r="G124" s="199"/>
      <c r="H124" s="199"/>
      <c r="I124" s="199"/>
      <c r="J124" s="199"/>
      <c r="K124" s="200"/>
      <c r="BX124" s="7" t="s">
        <v>266</v>
      </c>
    </row>
    <row r="125" spans="1:76" x14ac:dyDescent="0.25">
      <c r="A125" s="175" t="s">
        <v>267</v>
      </c>
      <c r="B125" s="176" t="s">
        <v>268</v>
      </c>
      <c r="C125" s="177" t="s">
        <v>269</v>
      </c>
      <c r="D125" s="178"/>
      <c r="E125" s="176" t="s">
        <v>69</v>
      </c>
      <c r="F125" s="179">
        <v>665.20299999999997</v>
      </c>
      <c r="G125" s="179">
        <v>0</v>
      </c>
      <c r="H125" s="179">
        <f>F125*AO125</f>
        <v>0</v>
      </c>
      <c r="I125" s="179">
        <f>F125*AP125</f>
        <v>0</v>
      </c>
      <c r="J125" s="179">
        <f>F125*G125</f>
        <v>0</v>
      </c>
      <c r="K125" s="180" t="s">
        <v>70</v>
      </c>
      <c r="Z125" s="5">
        <f>IF(AQ125="5",BJ125,0)</f>
        <v>0</v>
      </c>
      <c r="AB125" s="5">
        <f>IF(AQ125="1",BH125,0)</f>
        <v>0</v>
      </c>
      <c r="AC125" s="5">
        <f>IF(AQ125="1",BI125,0)</f>
        <v>0</v>
      </c>
      <c r="AD125" s="5">
        <f>IF(AQ125="7",BH125,0)</f>
        <v>0</v>
      </c>
      <c r="AE125" s="5">
        <f>IF(AQ125="7",BI125,0)</f>
        <v>0</v>
      </c>
      <c r="AF125" s="5">
        <f>IF(AQ125="2",BH125,0)</f>
        <v>0</v>
      </c>
      <c r="AG125" s="5">
        <f>IF(AQ125="2",BI125,0)</f>
        <v>0</v>
      </c>
      <c r="AH125" s="5">
        <f>IF(AQ125="0",BJ125,0)</f>
        <v>0</v>
      </c>
      <c r="AI125" s="3" t="s">
        <v>176</v>
      </c>
      <c r="AJ125" s="5">
        <f>IF(AN125=0,J125,0)</f>
        <v>0</v>
      </c>
      <c r="AK125" s="5">
        <f>IF(AN125=12,J125,0)</f>
        <v>0</v>
      </c>
      <c r="AL125" s="5">
        <f>IF(AN125=21,J125,0)</f>
        <v>0</v>
      </c>
      <c r="AN125" s="5">
        <v>21</v>
      </c>
      <c r="AO125" s="5">
        <f>G125*0.686162562</f>
        <v>0</v>
      </c>
      <c r="AP125" s="5">
        <f>G125*(1-0.686162562)</f>
        <v>0</v>
      </c>
      <c r="AQ125" s="6" t="s">
        <v>105</v>
      </c>
      <c r="AV125" s="5">
        <f>AW125+AX125</f>
        <v>0</v>
      </c>
      <c r="AW125" s="5">
        <f>F125*AO125</f>
        <v>0</v>
      </c>
      <c r="AX125" s="5">
        <f>F125*AP125</f>
        <v>0</v>
      </c>
      <c r="AY125" s="6" t="s">
        <v>242</v>
      </c>
      <c r="AZ125" s="6" t="s">
        <v>181</v>
      </c>
      <c r="BA125" s="3" t="s">
        <v>182</v>
      </c>
      <c r="BC125" s="5">
        <f>AW125+AX125</f>
        <v>0</v>
      </c>
      <c r="BD125" s="5">
        <f>G125/(100-BE125)*100</f>
        <v>0</v>
      </c>
      <c r="BE125" s="5">
        <v>0</v>
      </c>
      <c r="BF125" s="5">
        <f>125</f>
        <v>125</v>
      </c>
      <c r="BH125" s="5">
        <f>F125*AO125</f>
        <v>0</v>
      </c>
      <c r="BI125" s="5">
        <f>F125*AP125</f>
        <v>0</v>
      </c>
      <c r="BJ125" s="5">
        <f>F125*G125</f>
        <v>0</v>
      </c>
      <c r="BK125" s="5"/>
      <c r="BL125" s="5">
        <v>764</v>
      </c>
      <c r="BW125" s="5">
        <v>21</v>
      </c>
      <c r="BX125" s="2" t="s">
        <v>269</v>
      </c>
    </row>
    <row r="126" spans="1:76" ht="13.5" customHeight="1" x14ac:dyDescent="0.25">
      <c r="A126" s="187"/>
      <c r="B126" s="155"/>
      <c r="C126" s="189" t="s">
        <v>270</v>
      </c>
      <c r="D126" s="190"/>
      <c r="E126" s="190"/>
      <c r="F126" s="190"/>
      <c r="G126" s="190"/>
      <c r="H126" s="190"/>
      <c r="I126" s="190"/>
      <c r="J126" s="190"/>
      <c r="K126" s="191"/>
    </row>
    <row r="127" spans="1:76" x14ac:dyDescent="0.25">
      <c r="A127" s="201"/>
      <c r="B127" s="202"/>
      <c r="C127" s="203" t="s">
        <v>271</v>
      </c>
      <c r="D127" s="204" t="s">
        <v>272</v>
      </c>
      <c r="E127" s="202"/>
      <c r="F127" s="205">
        <v>665.20299999999997</v>
      </c>
      <c r="G127" s="202"/>
      <c r="H127" s="202"/>
      <c r="I127" s="202"/>
      <c r="J127" s="202"/>
      <c r="K127" s="206"/>
    </row>
    <row r="128" spans="1:76" ht="25.5" x14ac:dyDescent="0.25">
      <c r="A128" s="187"/>
      <c r="B128" s="188" t="s">
        <v>85</v>
      </c>
      <c r="C128" s="189" t="s">
        <v>273</v>
      </c>
      <c r="D128" s="190"/>
      <c r="E128" s="190"/>
      <c r="F128" s="190"/>
      <c r="G128" s="190"/>
      <c r="H128" s="190"/>
      <c r="I128" s="190"/>
      <c r="J128" s="190"/>
      <c r="K128" s="191"/>
      <c r="BX128" s="7" t="s">
        <v>273</v>
      </c>
    </row>
    <row r="129" spans="1:76" x14ac:dyDescent="0.25">
      <c r="A129" s="175" t="s">
        <v>274</v>
      </c>
      <c r="B129" s="176" t="s">
        <v>275</v>
      </c>
      <c r="C129" s="177" t="s">
        <v>276</v>
      </c>
      <c r="D129" s="178"/>
      <c r="E129" s="176" t="s">
        <v>197</v>
      </c>
      <c r="F129" s="179">
        <v>98.87</v>
      </c>
      <c r="G129" s="179">
        <v>0</v>
      </c>
      <c r="H129" s="179">
        <f>F129*AO129</f>
        <v>0</v>
      </c>
      <c r="I129" s="179">
        <f>F129*AP129</f>
        <v>0</v>
      </c>
      <c r="J129" s="179">
        <f>F129*G129</f>
        <v>0</v>
      </c>
      <c r="K129" s="180" t="s">
        <v>70</v>
      </c>
      <c r="Z129" s="5">
        <f>IF(AQ129="5",BJ129,0)</f>
        <v>0</v>
      </c>
      <c r="AB129" s="5">
        <f>IF(AQ129="1",BH129,0)</f>
        <v>0</v>
      </c>
      <c r="AC129" s="5">
        <f>IF(AQ129="1",BI129,0)</f>
        <v>0</v>
      </c>
      <c r="AD129" s="5">
        <f>IF(AQ129="7",BH129,0)</f>
        <v>0</v>
      </c>
      <c r="AE129" s="5">
        <f>IF(AQ129="7",BI129,0)</f>
        <v>0</v>
      </c>
      <c r="AF129" s="5">
        <f>IF(AQ129="2",BH129,0)</f>
        <v>0</v>
      </c>
      <c r="AG129" s="5">
        <f>IF(AQ129="2",BI129,0)</f>
        <v>0</v>
      </c>
      <c r="AH129" s="5">
        <f>IF(AQ129="0",BJ129,0)</f>
        <v>0</v>
      </c>
      <c r="AI129" s="3" t="s">
        <v>176</v>
      </c>
      <c r="AJ129" s="5">
        <f>IF(AN129=0,J129,0)</f>
        <v>0</v>
      </c>
      <c r="AK129" s="5">
        <f>IF(AN129=12,J129,0)</f>
        <v>0</v>
      </c>
      <c r="AL129" s="5">
        <f>IF(AN129=21,J129,0)</f>
        <v>0</v>
      </c>
      <c r="AN129" s="5">
        <v>21</v>
      </c>
      <c r="AO129" s="5">
        <f>G129*0.061137725</f>
        <v>0</v>
      </c>
      <c r="AP129" s="5">
        <f>G129*(1-0.061137725)</f>
        <v>0</v>
      </c>
      <c r="AQ129" s="6" t="s">
        <v>105</v>
      </c>
      <c r="AV129" s="5">
        <f>AW129+AX129</f>
        <v>0</v>
      </c>
      <c r="AW129" s="5">
        <f>F129*AO129</f>
        <v>0</v>
      </c>
      <c r="AX129" s="5">
        <f>F129*AP129</f>
        <v>0</v>
      </c>
      <c r="AY129" s="6" t="s">
        <v>242</v>
      </c>
      <c r="AZ129" s="6" t="s">
        <v>181</v>
      </c>
      <c r="BA129" s="3" t="s">
        <v>182</v>
      </c>
      <c r="BC129" s="5">
        <f>AW129+AX129</f>
        <v>0</v>
      </c>
      <c r="BD129" s="5">
        <f>G129/(100-BE129)*100</f>
        <v>0</v>
      </c>
      <c r="BE129" s="5">
        <v>0</v>
      </c>
      <c r="BF129" s="5">
        <f>129</f>
        <v>129</v>
      </c>
      <c r="BH129" s="5">
        <f>F129*AO129</f>
        <v>0</v>
      </c>
      <c r="BI129" s="5">
        <f>F129*AP129</f>
        <v>0</v>
      </c>
      <c r="BJ129" s="5">
        <f>F129*G129</f>
        <v>0</v>
      </c>
      <c r="BK129" s="5"/>
      <c r="BL129" s="5">
        <v>764</v>
      </c>
      <c r="BW129" s="5">
        <v>21</v>
      </c>
      <c r="BX129" s="2" t="s">
        <v>276</v>
      </c>
    </row>
    <row r="130" spans="1:76" ht="27" customHeight="1" x14ac:dyDescent="0.25">
      <c r="A130" s="187"/>
      <c r="B130" s="155"/>
      <c r="C130" s="189" t="s">
        <v>277</v>
      </c>
      <c r="D130" s="190"/>
      <c r="E130" s="190"/>
      <c r="F130" s="190"/>
      <c r="G130" s="190"/>
      <c r="H130" s="190"/>
      <c r="I130" s="190"/>
      <c r="J130" s="190"/>
      <c r="K130" s="191"/>
    </row>
    <row r="131" spans="1:76" x14ac:dyDescent="0.25">
      <c r="A131" s="201"/>
      <c r="B131" s="202"/>
      <c r="C131" s="203" t="s">
        <v>278</v>
      </c>
      <c r="D131" s="204" t="s">
        <v>279</v>
      </c>
      <c r="E131" s="202"/>
      <c r="F131" s="205">
        <v>98.87</v>
      </c>
      <c r="G131" s="202"/>
      <c r="H131" s="202"/>
      <c r="I131" s="202"/>
      <c r="J131" s="202"/>
      <c r="K131" s="206"/>
    </row>
    <row r="132" spans="1:76" ht="25.5" x14ac:dyDescent="0.25">
      <c r="A132" s="207" t="s">
        <v>280</v>
      </c>
      <c r="B132" s="208" t="s">
        <v>281</v>
      </c>
      <c r="C132" s="209" t="s">
        <v>282</v>
      </c>
      <c r="D132" s="210"/>
      <c r="E132" s="208" t="s">
        <v>197</v>
      </c>
      <c r="F132" s="211">
        <v>108.75700000000001</v>
      </c>
      <c r="G132" s="211">
        <v>0</v>
      </c>
      <c r="H132" s="211">
        <f>F132*AO132</f>
        <v>0</v>
      </c>
      <c r="I132" s="211">
        <f>F132*AP132</f>
        <v>0</v>
      </c>
      <c r="J132" s="211">
        <f>F132*G132</f>
        <v>0</v>
      </c>
      <c r="K132" s="212" t="s">
        <v>70</v>
      </c>
      <c r="Z132" s="5">
        <f>IF(AQ132="5",BJ132,0)</f>
        <v>0</v>
      </c>
      <c r="AB132" s="5">
        <f>IF(AQ132="1",BH132,0)</f>
        <v>0</v>
      </c>
      <c r="AC132" s="5">
        <f>IF(AQ132="1",BI132,0)</f>
        <v>0</v>
      </c>
      <c r="AD132" s="5">
        <f>IF(AQ132="7",BH132,0)</f>
        <v>0</v>
      </c>
      <c r="AE132" s="5">
        <f>IF(AQ132="7",BI132,0)</f>
        <v>0</v>
      </c>
      <c r="AF132" s="5">
        <f>IF(AQ132="2",BH132,0)</f>
        <v>0</v>
      </c>
      <c r="AG132" s="5">
        <f>IF(AQ132="2",BI132,0)</f>
        <v>0</v>
      </c>
      <c r="AH132" s="5">
        <f>IF(AQ132="0",BJ132,0)</f>
        <v>0</v>
      </c>
      <c r="AI132" s="3" t="s">
        <v>176</v>
      </c>
      <c r="AJ132" s="9">
        <f>IF(AN132=0,J132,0)</f>
        <v>0</v>
      </c>
      <c r="AK132" s="9">
        <f>IF(AN132=12,J132,0)</f>
        <v>0</v>
      </c>
      <c r="AL132" s="9">
        <f>IF(AN132=21,J132,0)</f>
        <v>0</v>
      </c>
      <c r="AN132" s="5">
        <v>21</v>
      </c>
      <c r="AO132" s="5">
        <f>G132*1</f>
        <v>0</v>
      </c>
      <c r="AP132" s="5">
        <f>G132*(1-1)</f>
        <v>0</v>
      </c>
      <c r="AQ132" s="10" t="s">
        <v>105</v>
      </c>
      <c r="AV132" s="5">
        <f>AW132+AX132</f>
        <v>0</v>
      </c>
      <c r="AW132" s="5">
        <f>F132*AO132</f>
        <v>0</v>
      </c>
      <c r="AX132" s="5">
        <f>F132*AP132</f>
        <v>0</v>
      </c>
      <c r="AY132" s="6" t="s">
        <v>242</v>
      </c>
      <c r="AZ132" s="6" t="s">
        <v>181</v>
      </c>
      <c r="BA132" s="3" t="s">
        <v>182</v>
      </c>
      <c r="BC132" s="5">
        <f>AW132+AX132</f>
        <v>0</v>
      </c>
      <c r="BD132" s="5">
        <f>G132/(100-BE132)*100</f>
        <v>0</v>
      </c>
      <c r="BE132" s="5">
        <v>0</v>
      </c>
      <c r="BF132" s="5">
        <f>132</f>
        <v>132</v>
      </c>
      <c r="BH132" s="9">
        <f>F132*AO132</f>
        <v>0</v>
      </c>
      <c r="BI132" s="9">
        <f>F132*AP132</f>
        <v>0</v>
      </c>
      <c r="BJ132" s="9">
        <f>F132*G132</f>
        <v>0</v>
      </c>
      <c r="BK132" s="9"/>
      <c r="BL132" s="5">
        <v>764</v>
      </c>
      <c r="BW132" s="5">
        <v>21</v>
      </c>
      <c r="BX132" s="8" t="s">
        <v>282</v>
      </c>
    </row>
    <row r="133" spans="1:76" x14ac:dyDescent="0.25">
      <c r="A133" s="181"/>
      <c r="B133" s="182"/>
      <c r="C133" s="183" t="s">
        <v>278</v>
      </c>
      <c r="D133" s="184" t="s">
        <v>279</v>
      </c>
      <c r="E133" s="182"/>
      <c r="F133" s="185">
        <v>98.87</v>
      </c>
      <c r="G133" s="182"/>
      <c r="H133" s="182"/>
      <c r="I133" s="182"/>
      <c r="J133" s="182"/>
      <c r="K133" s="186"/>
    </row>
    <row r="134" spans="1:76" x14ac:dyDescent="0.25">
      <c r="A134" s="181"/>
      <c r="B134" s="182"/>
      <c r="C134" s="183" t="s">
        <v>283</v>
      </c>
      <c r="D134" s="184" t="s">
        <v>52</v>
      </c>
      <c r="E134" s="182"/>
      <c r="F134" s="185">
        <v>9.8870000000000005</v>
      </c>
      <c r="G134" s="182"/>
      <c r="H134" s="182"/>
      <c r="I134" s="182"/>
      <c r="J134" s="182"/>
      <c r="K134" s="186"/>
    </row>
    <row r="135" spans="1:76" ht="25.5" x14ac:dyDescent="0.25">
      <c r="A135" s="213" t="s">
        <v>284</v>
      </c>
      <c r="B135" s="214" t="s">
        <v>285</v>
      </c>
      <c r="C135" s="215" t="s">
        <v>286</v>
      </c>
      <c r="D135" s="216"/>
      <c r="E135" s="214" t="s">
        <v>197</v>
      </c>
      <c r="F135" s="217">
        <v>98.87</v>
      </c>
      <c r="G135" s="217">
        <v>0</v>
      </c>
      <c r="H135" s="217">
        <f>F135*AO135</f>
        <v>0</v>
      </c>
      <c r="I135" s="217">
        <f>F135*AP135</f>
        <v>0</v>
      </c>
      <c r="J135" s="217">
        <f>F135*G135</f>
        <v>0</v>
      </c>
      <c r="K135" s="218" t="s">
        <v>215</v>
      </c>
      <c r="Z135" s="5">
        <f>IF(AQ135="5",BJ135,0)</f>
        <v>0</v>
      </c>
      <c r="AB135" s="5">
        <f>IF(AQ135="1",BH135,0)</f>
        <v>0</v>
      </c>
      <c r="AC135" s="5">
        <f>IF(AQ135="1",BI135,0)</f>
        <v>0</v>
      </c>
      <c r="AD135" s="5">
        <f>IF(AQ135="7",BH135,0)</f>
        <v>0</v>
      </c>
      <c r="AE135" s="5">
        <f>IF(AQ135="7",BI135,0)</f>
        <v>0</v>
      </c>
      <c r="AF135" s="5">
        <f>IF(AQ135="2",BH135,0)</f>
        <v>0</v>
      </c>
      <c r="AG135" s="5">
        <f>IF(AQ135="2",BI135,0)</f>
        <v>0</v>
      </c>
      <c r="AH135" s="5">
        <f>IF(AQ135="0",BJ135,0)</f>
        <v>0</v>
      </c>
      <c r="AI135" s="3" t="s">
        <v>176</v>
      </c>
      <c r="AJ135" s="5">
        <f>IF(AN135=0,J135,0)</f>
        <v>0</v>
      </c>
      <c r="AK135" s="5">
        <f>IF(AN135=12,J135,0)</f>
        <v>0</v>
      </c>
      <c r="AL135" s="5">
        <f>IF(AN135=21,J135,0)</f>
        <v>0</v>
      </c>
      <c r="AN135" s="5">
        <v>21</v>
      </c>
      <c r="AO135" s="5">
        <f>G135*0.75622807</f>
        <v>0</v>
      </c>
      <c r="AP135" s="5">
        <f>G135*(1-0.75622807)</f>
        <v>0</v>
      </c>
      <c r="AQ135" s="6" t="s">
        <v>105</v>
      </c>
      <c r="AV135" s="5">
        <f>AW135+AX135</f>
        <v>0</v>
      </c>
      <c r="AW135" s="5">
        <f>F135*AO135</f>
        <v>0</v>
      </c>
      <c r="AX135" s="5">
        <f>F135*AP135</f>
        <v>0</v>
      </c>
      <c r="AY135" s="6" t="s">
        <v>242</v>
      </c>
      <c r="AZ135" s="6" t="s">
        <v>181</v>
      </c>
      <c r="BA135" s="3" t="s">
        <v>182</v>
      </c>
      <c r="BC135" s="5">
        <f>AW135+AX135</f>
        <v>0</v>
      </c>
      <c r="BD135" s="5">
        <f>G135/(100-BE135)*100</f>
        <v>0</v>
      </c>
      <c r="BE135" s="5">
        <v>0</v>
      </c>
      <c r="BF135" s="5">
        <f>135</f>
        <v>135</v>
      </c>
      <c r="BH135" s="5">
        <f>F135*AO135</f>
        <v>0</v>
      </c>
      <c r="BI135" s="5">
        <f>F135*AP135</f>
        <v>0</v>
      </c>
      <c r="BJ135" s="5">
        <f>F135*G135</f>
        <v>0</v>
      </c>
      <c r="BK135" s="5"/>
      <c r="BL135" s="5">
        <v>764</v>
      </c>
      <c r="BW135" s="5">
        <v>21</v>
      </c>
      <c r="BX135" s="2" t="s">
        <v>286</v>
      </c>
    </row>
    <row r="136" spans="1:76" x14ac:dyDescent="0.25">
      <c r="A136" s="181"/>
      <c r="B136" s="182"/>
      <c r="C136" s="183" t="s">
        <v>278</v>
      </c>
      <c r="D136" s="184" t="s">
        <v>287</v>
      </c>
      <c r="E136" s="182"/>
      <c r="F136" s="185">
        <v>98.87</v>
      </c>
      <c r="G136" s="182"/>
      <c r="H136" s="182"/>
      <c r="I136" s="182"/>
      <c r="J136" s="182"/>
      <c r="K136" s="186"/>
    </row>
    <row r="137" spans="1:76" ht="25.5" x14ac:dyDescent="0.25">
      <c r="A137" s="213" t="s">
        <v>288</v>
      </c>
      <c r="B137" s="214" t="s">
        <v>289</v>
      </c>
      <c r="C137" s="215" t="s">
        <v>290</v>
      </c>
      <c r="D137" s="216"/>
      <c r="E137" s="214" t="s">
        <v>197</v>
      </c>
      <c r="F137" s="217">
        <v>64.97</v>
      </c>
      <c r="G137" s="217">
        <v>0</v>
      </c>
      <c r="H137" s="217">
        <f>F137*AO137</f>
        <v>0</v>
      </c>
      <c r="I137" s="217">
        <f>F137*AP137</f>
        <v>0</v>
      </c>
      <c r="J137" s="217">
        <f>F137*G137</f>
        <v>0</v>
      </c>
      <c r="K137" s="218" t="s">
        <v>70</v>
      </c>
      <c r="Z137" s="5">
        <f>IF(AQ137="5",BJ137,0)</f>
        <v>0</v>
      </c>
      <c r="AB137" s="5">
        <f>IF(AQ137="1",BH137,0)</f>
        <v>0</v>
      </c>
      <c r="AC137" s="5">
        <f>IF(AQ137="1",BI137,0)</f>
        <v>0</v>
      </c>
      <c r="AD137" s="5">
        <f>IF(AQ137="7",BH137,0)</f>
        <v>0</v>
      </c>
      <c r="AE137" s="5">
        <f>IF(AQ137="7",BI137,0)</f>
        <v>0</v>
      </c>
      <c r="AF137" s="5">
        <f>IF(AQ137="2",BH137,0)</f>
        <v>0</v>
      </c>
      <c r="AG137" s="5">
        <f>IF(AQ137="2",BI137,0)</f>
        <v>0</v>
      </c>
      <c r="AH137" s="5">
        <f>IF(AQ137="0",BJ137,0)</f>
        <v>0</v>
      </c>
      <c r="AI137" s="3" t="s">
        <v>176</v>
      </c>
      <c r="AJ137" s="5">
        <f>IF(AN137=0,J137,0)</f>
        <v>0</v>
      </c>
      <c r="AK137" s="5">
        <f>IF(AN137=12,J137,0)</f>
        <v>0</v>
      </c>
      <c r="AL137" s="5">
        <f>IF(AN137=21,J137,0)</f>
        <v>0</v>
      </c>
      <c r="AN137" s="5">
        <v>21</v>
      </c>
      <c r="AO137" s="5">
        <f>G137*0.810285006</f>
        <v>0</v>
      </c>
      <c r="AP137" s="5">
        <f>G137*(1-0.810285006)</f>
        <v>0</v>
      </c>
      <c r="AQ137" s="6" t="s">
        <v>105</v>
      </c>
      <c r="AV137" s="5">
        <f>AW137+AX137</f>
        <v>0</v>
      </c>
      <c r="AW137" s="5">
        <f>F137*AO137</f>
        <v>0</v>
      </c>
      <c r="AX137" s="5">
        <f>F137*AP137</f>
        <v>0</v>
      </c>
      <c r="AY137" s="6" t="s">
        <v>242</v>
      </c>
      <c r="AZ137" s="6" t="s">
        <v>181</v>
      </c>
      <c r="BA137" s="3" t="s">
        <v>182</v>
      </c>
      <c r="BC137" s="5">
        <f>AW137+AX137</f>
        <v>0</v>
      </c>
      <c r="BD137" s="5">
        <f>G137/(100-BE137)*100</f>
        <v>0</v>
      </c>
      <c r="BE137" s="5">
        <v>0</v>
      </c>
      <c r="BF137" s="5">
        <f>137</f>
        <v>137</v>
      </c>
      <c r="BH137" s="5">
        <f>F137*AO137</f>
        <v>0</v>
      </c>
      <c r="BI137" s="5">
        <f>F137*AP137</f>
        <v>0</v>
      </c>
      <c r="BJ137" s="5">
        <f>F137*G137</f>
        <v>0</v>
      </c>
      <c r="BK137" s="5"/>
      <c r="BL137" s="5">
        <v>764</v>
      </c>
      <c r="BW137" s="5">
        <v>21</v>
      </c>
      <c r="BX137" s="2" t="s">
        <v>290</v>
      </c>
    </row>
    <row r="138" spans="1:76" ht="13.5" customHeight="1" x14ac:dyDescent="0.25">
      <c r="A138" s="187"/>
      <c r="B138" s="155"/>
      <c r="C138" s="189" t="s">
        <v>270</v>
      </c>
      <c r="D138" s="190"/>
      <c r="E138" s="190"/>
      <c r="F138" s="190"/>
      <c r="G138" s="190"/>
      <c r="H138" s="190"/>
      <c r="I138" s="190"/>
      <c r="J138" s="190"/>
      <c r="K138" s="191"/>
    </row>
    <row r="139" spans="1:76" x14ac:dyDescent="0.25">
      <c r="A139" s="201"/>
      <c r="B139" s="202"/>
      <c r="C139" s="203" t="s">
        <v>291</v>
      </c>
      <c r="D139" s="204" t="s">
        <v>292</v>
      </c>
      <c r="E139" s="202"/>
      <c r="F139" s="205">
        <v>64.97</v>
      </c>
      <c r="G139" s="202"/>
      <c r="H139" s="202"/>
      <c r="I139" s="202"/>
      <c r="J139" s="202"/>
      <c r="K139" s="206"/>
    </row>
    <row r="140" spans="1:76" x14ac:dyDescent="0.25">
      <c r="A140" s="213" t="s">
        <v>293</v>
      </c>
      <c r="B140" s="214" t="s">
        <v>294</v>
      </c>
      <c r="C140" s="215" t="s">
        <v>295</v>
      </c>
      <c r="D140" s="216"/>
      <c r="E140" s="214" t="s">
        <v>197</v>
      </c>
      <c r="F140" s="217">
        <v>64.97</v>
      </c>
      <c r="G140" s="217">
        <v>0</v>
      </c>
      <c r="H140" s="217">
        <f>F140*AO140</f>
        <v>0</v>
      </c>
      <c r="I140" s="217">
        <f>F140*AP140</f>
        <v>0</v>
      </c>
      <c r="J140" s="217">
        <f>F140*G140</f>
        <v>0</v>
      </c>
      <c r="K140" s="218" t="s">
        <v>215</v>
      </c>
      <c r="Z140" s="5">
        <f>IF(AQ140="5",BJ140,0)</f>
        <v>0</v>
      </c>
      <c r="AB140" s="5">
        <f>IF(AQ140="1",BH140,0)</f>
        <v>0</v>
      </c>
      <c r="AC140" s="5">
        <f>IF(AQ140="1",BI140,0)</f>
        <v>0</v>
      </c>
      <c r="AD140" s="5">
        <f>IF(AQ140="7",BH140,0)</f>
        <v>0</v>
      </c>
      <c r="AE140" s="5">
        <f>IF(AQ140="7",BI140,0)</f>
        <v>0</v>
      </c>
      <c r="AF140" s="5">
        <f>IF(AQ140="2",BH140,0)</f>
        <v>0</v>
      </c>
      <c r="AG140" s="5">
        <f>IF(AQ140="2",BI140,0)</f>
        <v>0</v>
      </c>
      <c r="AH140" s="5">
        <f>IF(AQ140="0",BJ140,0)</f>
        <v>0</v>
      </c>
      <c r="AI140" s="3" t="s">
        <v>176</v>
      </c>
      <c r="AJ140" s="5">
        <f>IF(AN140=0,J140,0)</f>
        <v>0</v>
      </c>
      <c r="AK140" s="5">
        <f>IF(AN140=12,J140,0)</f>
        <v>0</v>
      </c>
      <c r="AL140" s="5">
        <f>IF(AN140=21,J140,0)</f>
        <v>0</v>
      </c>
      <c r="AN140" s="5">
        <v>21</v>
      </c>
      <c r="AO140" s="5">
        <f>G140*0.027367039</f>
        <v>0</v>
      </c>
      <c r="AP140" s="5">
        <f>G140*(1-0.027367039)</f>
        <v>0</v>
      </c>
      <c r="AQ140" s="6" t="s">
        <v>105</v>
      </c>
      <c r="AV140" s="5">
        <f>AW140+AX140</f>
        <v>0</v>
      </c>
      <c r="AW140" s="5">
        <f>F140*AO140</f>
        <v>0</v>
      </c>
      <c r="AX140" s="5">
        <f>F140*AP140</f>
        <v>0</v>
      </c>
      <c r="AY140" s="6" t="s">
        <v>242</v>
      </c>
      <c r="AZ140" s="6" t="s">
        <v>181</v>
      </c>
      <c r="BA140" s="3" t="s">
        <v>182</v>
      </c>
      <c r="BC140" s="5">
        <f>AW140+AX140</f>
        <v>0</v>
      </c>
      <c r="BD140" s="5">
        <f>G140/(100-BE140)*100</f>
        <v>0</v>
      </c>
      <c r="BE140" s="5">
        <v>0</v>
      </c>
      <c r="BF140" s="5">
        <f>140</f>
        <v>140</v>
      </c>
      <c r="BH140" s="5">
        <f>F140*AO140</f>
        <v>0</v>
      </c>
      <c r="BI140" s="5">
        <f>F140*AP140</f>
        <v>0</v>
      </c>
      <c r="BJ140" s="5">
        <f>F140*G140</f>
        <v>0</v>
      </c>
      <c r="BK140" s="5"/>
      <c r="BL140" s="5">
        <v>764</v>
      </c>
      <c r="BW140" s="5">
        <v>21</v>
      </c>
      <c r="BX140" s="2" t="s">
        <v>295</v>
      </c>
    </row>
    <row r="141" spans="1:76" x14ac:dyDescent="0.25">
      <c r="A141" s="181"/>
      <c r="B141" s="182"/>
      <c r="C141" s="183" t="s">
        <v>291</v>
      </c>
      <c r="D141" s="184" t="s">
        <v>296</v>
      </c>
      <c r="E141" s="182"/>
      <c r="F141" s="185">
        <v>64.97</v>
      </c>
      <c r="G141" s="182"/>
      <c r="H141" s="182"/>
      <c r="I141" s="182"/>
      <c r="J141" s="182"/>
      <c r="K141" s="186"/>
    </row>
    <row r="142" spans="1:76" x14ac:dyDescent="0.25">
      <c r="A142" s="207" t="s">
        <v>297</v>
      </c>
      <c r="B142" s="208" t="s">
        <v>298</v>
      </c>
      <c r="C142" s="209" t="s">
        <v>299</v>
      </c>
      <c r="D142" s="210"/>
      <c r="E142" s="208" t="s">
        <v>300</v>
      </c>
      <c r="F142" s="211">
        <v>111.53183</v>
      </c>
      <c r="G142" s="211">
        <v>0</v>
      </c>
      <c r="H142" s="211">
        <f>F142*AO142</f>
        <v>0</v>
      </c>
      <c r="I142" s="211">
        <f>F142*AP142</f>
        <v>0</v>
      </c>
      <c r="J142" s="211">
        <f>F142*G142</f>
        <v>0</v>
      </c>
      <c r="K142" s="212" t="s">
        <v>215</v>
      </c>
      <c r="Z142" s="5">
        <f>IF(AQ142="5",BJ142,0)</f>
        <v>0</v>
      </c>
      <c r="AB142" s="5">
        <f>IF(AQ142="1",BH142,0)</f>
        <v>0</v>
      </c>
      <c r="AC142" s="5">
        <f>IF(AQ142="1",BI142,0)</f>
        <v>0</v>
      </c>
      <c r="AD142" s="5">
        <f>IF(AQ142="7",BH142,0)</f>
        <v>0</v>
      </c>
      <c r="AE142" s="5">
        <f>IF(AQ142="7",BI142,0)</f>
        <v>0</v>
      </c>
      <c r="AF142" s="5">
        <f>IF(AQ142="2",BH142,0)</f>
        <v>0</v>
      </c>
      <c r="AG142" s="5">
        <f>IF(AQ142="2",BI142,0)</f>
        <v>0</v>
      </c>
      <c r="AH142" s="5">
        <f>IF(AQ142="0",BJ142,0)</f>
        <v>0</v>
      </c>
      <c r="AI142" s="3" t="s">
        <v>176</v>
      </c>
      <c r="AJ142" s="9">
        <f>IF(AN142=0,J142,0)</f>
        <v>0</v>
      </c>
      <c r="AK142" s="9">
        <f>IF(AN142=12,J142,0)</f>
        <v>0</v>
      </c>
      <c r="AL142" s="9">
        <f>IF(AN142=21,J142,0)</f>
        <v>0</v>
      </c>
      <c r="AN142" s="5">
        <v>21</v>
      </c>
      <c r="AO142" s="5">
        <f>G142*1</f>
        <v>0</v>
      </c>
      <c r="AP142" s="5">
        <f>G142*(1-1)</f>
        <v>0</v>
      </c>
      <c r="AQ142" s="10" t="s">
        <v>105</v>
      </c>
      <c r="AV142" s="5">
        <f>AW142+AX142</f>
        <v>0</v>
      </c>
      <c r="AW142" s="5">
        <f>F142*AO142</f>
        <v>0</v>
      </c>
      <c r="AX142" s="5">
        <f>F142*AP142</f>
        <v>0</v>
      </c>
      <c r="AY142" s="6" t="s">
        <v>242</v>
      </c>
      <c r="AZ142" s="6" t="s">
        <v>181</v>
      </c>
      <c r="BA142" s="3" t="s">
        <v>182</v>
      </c>
      <c r="BC142" s="5">
        <f>AW142+AX142</f>
        <v>0</v>
      </c>
      <c r="BD142" s="5">
        <f>G142/(100-BE142)*100</f>
        <v>0</v>
      </c>
      <c r="BE142" s="5">
        <v>0</v>
      </c>
      <c r="BF142" s="5">
        <f>142</f>
        <v>142</v>
      </c>
      <c r="BH142" s="9">
        <f>F142*AO142</f>
        <v>0</v>
      </c>
      <c r="BI142" s="9">
        <f>F142*AP142</f>
        <v>0</v>
      </c>
      <c r="BJ142" s="9">
        <f>F142*G142</f>
        <v>0</v>
      </c>
      <c r="BK142" s="9"/>
      <c r="BL142" s="5">
        <v>764</v>
      </c>
      <c r="BW142" s="5">
        <v>21</v>
      </c>
      <c r="BX142" s="8" t="s">
        <v>299</v>
      </c>
    </row>
    <row r="143" spans="1:76" x14ac:dyDescent="0.25">
      <c r="A143" s="181"/>
      <c r="B143" s="182"/>
      <c r="C143" s="183" t="s">
        <v>301</v>
      </c>
      <c r="D143" s="184" t="s">
        <v>52</v>
      </c>
      <c r="E143" s="182"/>
      <c r="F143" s="185">
        <v>108.28333000000001</v>
      </c>
      <c r="G143" s="182"/>
      <c r="H143" s="182"/>
      <c r="I143" s="182"/>
      <c r="J143" s="182"/>
      <c r="K143" s="186"/>
    </row>
    <row r="144" spans="1:76" x14ac:dyDescent="0.25">
      <c r="A144" s="181"/>
      <c r="B144" s="182"/>
      <c r="C144" s="183" t="s">
        <v>302</v>
      </c>
      <c r="D144" s="184" t="s">
        <v>52</v>
      </c>
      <c r="E144" s="182"/>
      <c r="F144" s="185">
        <v>3.2484999999999999</v>
      </c>
      <c r="G144" s="182"/>
      <c r="H144" s="182"/>
      <c r="I144" s="182"/>
      <c r="J144" s="182"/>
      <c r="K144" s="186"/>
    </row>
    <row r="145" spans="1:76" x14ac:dyDescent="0.25">
      <c r="A145" s="207" t="s">
        <v>303</v>
      </c>
      <c r="B145" s="208" t="s">
        <v>304</v>
      </c>
      <c r="C145" s="209" t="s">
        <v>305</v>
      </c>
      <c r="D145" s="210"/>
      <c r="E145" s="208" t="s">
        <v>197</v>
      </c>
      <c r="F145" s="211">
        <v>68.218500000000006</v>
      </c>
      <c r="G145" s="211">
        <v>0</v>
      </c>
      <c r="H145" s="211">
        <f>F145*AO145</f>
        <v>0</v>
      </c>
      <c r="I145" s="211">
        <f>F145*AP145</f>
        <v>0</v>
      </c>
      <c r="J145" s="211">
        <f>F145*G145</f>
        <v>0</v>
      </c>
      <c r="K145" s="212" t="s">
        <v>215</v>
      </c>
      <c r="Z145" s="5">
        <f>IF(AQ145="5",BJ145,0)</f>
        <v>0</v>
      </c>
      <c r="AB145" s="5">
        <f>IF(AQ145="1",BH145,0)</f>
        <v>0</v>
      </c>
      <c r="AC145" s="5">
        <f>IF(AQ145="1",BI145,0)</f>
        <v>0</v>
      </c>
      <c r="AD145" s="5">
        <f>IF(AQ145="7",BH145,0)</f>
        <v>0</v>
      </c>
      <c r="AE145" s="5">
        <f>IF(AQ145="7",BI145,0)</f>
        <v>0</v>
      </c>
      <c r="AF145" s="5">
        <f>IF(AQ145="2",BH145,0)</f>
        <v>0</v>
      </c>
      <c r="AG145" s="5">
        <f>IF(AQ145="2",BI145,0)</f>
        <v>0</v>
      </c>
      <c r="AH145" s="5">
        <f>IF(AQ145="0",BJ145,0)</f>
        <v>0</v>
      </c>
      <c r="AI145" s="3" t="s">
        <v>176</v>
      </c>
      <c r="AJ145" s="9">
        <f>IF(AN145=0,J145,0)</f>
        <v>0</v>
      </c>
      <c r="AK145" s="9">
        <f>IF(AN145=12,J145,0)</f>
        <v>0</v>
      </c>
      <c r="AL145" s="9">
        <f>IF(AN145=21,J145,0)</f>
        <v>0</v>
      </c>
      <c r="AN145" s="5">
        <v>21</v>
      </c>
      <c r="AO145" s="5">
        <f>G145*1</f>
        <v>0</v>
      </c>
      <c r="AP145" s="5">
        <f>G145*(1-1)</f>
        <v>0</v>
      </c>
      <c r="AQ145" s="10" t="s">
        <v>105</v>
      </c>
      <c r="AV145" s="5">
        <f>AW145+AX145</f>
        <v>0</v>
      </c>
      <c r="AW145" s="5">
        <f>F145*AO145</f>
        <v>0</v>
      </c>
      <c r="AX145" s="5">
        <f>F145*AP145</f>
        <v>0</v>
      </c>
      <c r="AY145" s="6" t="s">
        <v>242</v>
      </c>
      <c r="AZ145" s="6" t="s">
        <v>181</v>
      </c>
      <c r="BA145" s="3" t="s">
        <v>182</v>
      </c>
      <c r="BC145" s="5">
        <f>AW145+AX145</f>
        <v>0</v>
      </c>
      <c r="BD145" s="5">
        <f>G145/(100-BE145)*100</f>
        <v>0</v>
      </c>
      <c r="BE145" s="5">
        <v>0</v>
      </c>
      <c r="BF145" s="5">
        <f>145</f>
        <v>145</v>
      </c>
      <c r="BH145" s="9">
        <f>F145*AO145</f>
        <v>0</v>
      </c>
      <c r="BI145" s="9">
        <f>F145*AP145</f>
        <v>0</v>
      </c>
      <c r="BJ145" s="9">
        <f>F145*G145</f>
        <v>0</v>
      </c>
      <c r="BK145" s="9"/>
      <c r="BL145" s="5">
        <v>764</v>
      </c>
      <c r="BW145" s="5">
        <v>21</v>
      </c>
      <c r="BX145" s="8" t="s">
        <v>305</v>
      </c>
    </row>
    <row r="146" spans="1:76" x14ac:dyDescent="0.25">
      <c r="A146" s="181"/>
      <c r="B146" s="182"/>
      <c r="C146" s="183" t="s">
        <v>306</v>
      </c>
      <c r="D146" s="184" t="s">
        <v>52</v>
      </c>
      <c r="E146" s="182"/>
      <c r="F146" s="185">
        <v>64.97</v>
      </c>
      <c r="G146" s="182"/>
      <c r="H146" s="182"/>
      <c r="I146" s="182"/>
      <c r="J146" s="182"/>
      <c r="K146" s="186"/>
    </row>
    <row r="147" spans="1:76" x14ac:dyDescent="0.25">
      <c r="A147" s="181"/>
      <c r="B147" s="182"/>
      <c r="C147" s="183" t="s">
        <v>307</v>
      </c>
      <c r="D147" s="184" t="s">
        <v>52</v>
      </c>
      <c r="E147" s="182"/>
      <c r="F147" s="185">
        <v>3.2484999999999999</v>
      </c>
      <c r="G147" s="182"/>
      <c r="H147" s="182"/>
      <c r="I147" s="182"/>
      <c r="J147" s="182"/>
      <c r="K147" s="186"/>
    </row>
    <row r="148" spans="1:76" x14ac:dyDescent="0.25">
      <c r="A148" s="207" t="s">
        <v>308</v>
      </c>
      <c r="B148" s="208" t="s">
        <v>309</v>
      </c>
      <c r="C148" s="209" t="s">
        <v>310</v>
      </c>
      <c r="D148" s="210"/>
      <c r="E148" s="208" t="s">
        <v>300</v>
      </c>
      <c r="F148" s="211">
        <v>11.911160000000001</v>
      </c>
      <c r="G148" s="211">
        <v>0</v>
      </c>
      <c r="H148" s="211">
        <f>F148*AO148</f>
        <v>0</v>
      </c>
      <c r="I148" s="211">
        <f>F148*AP148</f>
        <v>0</v>
      </c>
      <c r="J148" s="211">
        <f>F148*G148</f>
        <v>0</v>
      </c>
      <c r="K148" s="212" t="s">
        <v>215</v>
      </c>
      <c r="Z148" s="5">
        <f>IF(AQ148="5",BJ148,0)</f>
        <v>0</v>
      </c>
      <c r="AB148" s="5">
        <f>IF(AQ148="1",BH148,0)</f>
        <v>0</v>
      </c>
      <c r="AC148" s="5">
        <f>IF(AQ148="1",BI148,0)</f>
        <v>0</v>
      </c>
      <c r="AD148" s="5">
        <f>IF(AQ148="7",BH148,0)</f>
        <v>0</v>
      </c>
      <c r="AE148" s="5">
        <f>IF(AQ148="7",BI148,0)</f>
        <v>0</v>
      </c>
      <c r="AF148" s="5">
        <f>IF(AQ148="2",BH148,0)</f>
        <v>0</v>
      </c>
      <c r="AG148" s="5">
        <f>IF(AQ148="2",BI148,0)</f>
        <v>0</v>
      </c>
      <c r="AH148" s="5">
        <f>IF(AQ148="0",BJ148,0)</f>
        <v>0</v>
      </c>
      <c r="AI148" s="3" t="s">
        <v>176</v>
      </c>
      <c r="AJ148" s="9">
        <f>IF(AN148=0,J148,0)</f>
        <v>0</v>
      </c>
      <c r="AK148" s="9">
        <f>IF(AN148=12,J148,0)</f>
        <v>0</v>
      </c>
      <c r="AL148" s="9">
        <f>IF(AN148=21,J148,0)</f>
        <v>0</v>
      </c>
      <c r="AN148" s="5">
        <v>21</v>
      </c>
      <c r="AO148" s="5">
        <f>G148*1</f>
        <v>0</v>
      </c>
      <c r="AP148" s="5">
        <f>G148*(1-1)</f>
        <v>0</v>
      </c>
      <c r="AQ148" s="10" t="s">
        <v>105</v>
      </c>
      <c r="AV148" s="5">
        <f>AW148+AX148</f>
        <v>0</v>
      </c>
      <c r="AW148" s="5">
        <f>F148*AO148</f>
        <v>0</v>
      </c>
      <c r="AX148" s="5">
        <f>F148*AP148</f>
        <v>0</v>
      </c>
      <c r="AY148" s="6" t="s">
        <v>242</v>
      </c>
      <c r="AZ148" s="6" t="s">
        <v>181</v>
      </c>
      <c r="BA148" s="3" t="s">
        <v>182</v>
      </c>
      <c r="BC148" s="5">
        <f>AW148+AX148</f>
        <v>0</v>
      </c>
      <c r="BD148" s="5">
        <f>G148/(100-BE148)*100</f>
        <v>0</v>
      </c>
      <c r="BE148" s="5">
        <v>0</v>
      </c>
      <c r="BF148" s="5">
        <f>148</f>
        <v>148</v>
      </c>
      <c r="BH148" s="9">
        <f>F148*AO148</f>
        <v>0</v>
      </c>
      <c r="BI148" s="9">
        <f>F148*AP148</f>
        <v>0</v>
      </c>
      <c r="BJ148" s="9">
        <f>F148*G148</f>
        <v>0</v>
      </c>
      <c r="BK148" s="9"/>
      <c r="BL148" s="5">
        <v>764</v>
      </c>
      <c r="BW148" s="5">
        <v>21</v>
      </c>
      <c r="BX148" s="8" t="s">
        <v>310</v>
      </c>
    </row>
    <row r="149" spans="1:76" x14ac:dyDescent="0.25">
      <c r="A149" s="181"/>
      <c r="B149" s="182"/>
      <c r="C149" s="183" t="s">
        <v>311</v>
      </c>
      <c r="D149" s="184" t="s">
        <v>52</v>
      </c>
      <c r="E149" s="182"/>
      <c r="F149" s="185">
        <v>10.828329999999999</v>
      </c>
      <c r="G149" s="182"/>
      <c r="H149" s="182"/>
      <c r="I149" s="182"/>
      <c r="J149" s="182"/>
      <c r="K149" s="186"/>
    </row>
    <row r="150" spans="1:76" x14ac:dyDescent="0.25">
      <c r="A150" s="181"/>
      <c r="B150" s="182"/>
      <c r="C150" s="183" t="s">
        <v>312</v>
      </c>
      <c r="D150" s="184" t="s">
        <v>52</v>
      </c>
      <c r="E150" s="182"/>
      <c r="F150" s="185">
        <v>1.08283</v>
      </c>
      <c r="G150" s="182"/>
      <c r="H150" s="182"/>
      <c r="I150" s="182"/>
      <c r="J150" s="182"/>
      <c r="K150" s="186"/>
    </row>
    <row r="151" spans="1:76" x14ac:dyDescent="0.25">
      <c r="A151" s="207" t="s">
        <v>313</v>
      </c>
      <c r="B151" s="208" t="s">
        <v>314</v>
      </c>
      <c r="C151" s="209" t="s">
        <v>315</v>
      </c>
      <c r="D151" s="210"/>
      <c r="E151" s="208" t="s">
        <v>300</v>
      </c>
      <c r="F151" s="211">
        <v>113.69750000000001</v>
      </c>
      <c r="G151" s="211">
        <v>0</v>
      </c>
      <c r="H151" s="211">
        <f>F151*AO151</f>
        <v>0</v>
      </c>
      <c r="I151" s="211">
        <f>F151*AP151</f>
        <v>0</v>
      </c>
      <c r="J151" s="211">
        <f>F151*G151</f>
        <v>0</v>
      </c>
      <c r="K151" s="212" t="s">
        <v>215</v>
      </c>
      <c r="Z151" s="5">
        <f>IF(AQ151="5",BJ151,0)</f>
        <v>0</v>
      </c>
      <c r="AB151" s="5">
        <f>IF(AQ151="1",BH151,0)</f>
        <v>0</v>
      </c>
      <c r="AC151" s="5">
        <f>IF(AQ151="1",BI151,0)</f>
        <v>0</v>
      </c>
      <c r="AD151" s="5">
        <f>IF(AQ151="7",BH151,0)</f>
        <v>0</v>
      </c>
      <c r="AE151" s="5">
        <f>IF(AQ151="7",BI151,0)</f>
        <v>0</v>
      </c>
      <c r="AF151" s="5">
        <f>IF(AQ151="2",BH151,0)</f>
        <v>0</v>
      </c>
      <c r="AG151" s="5">
        <f>IF(AQ151="2",BI151,0)</f>
        <v>0</v>
      </c>
      <c r="AH151" s="5">
        <f>IF(AQ151="0",BJ151,0)</f>
        <v>0</v>
      </c>
      <c r="AI151" s="3" t="s">
        <v>176</v>
      </c>
      <c r="AJ151" s="9">
        <f>IF(AN151=0,J151,0)</f>
        <v>0</v>
      </c>
      <c r="AK151" s="9">
        <f>IF(AN151=12,J151,0)</f>
        <v>0</v>
      </c>
      <c r="AL151" s="9">
        <f>IF(AN151=21,J151,0)</f>
        <v>0</v>
      </c>
      <c r="AN151" s="5">
        <v>21</v>
      </c>
      <c r="AO151" s="5">
        <f>G151*1</f>
        <v>0</v>
      </c>
      <c r="AP151" s="5">
        <f>G151*(1-1)</f>
        <v>0</v>
      </c>
      <c r="AQ151" s="10" t="s">
        <v>105</v>
      </c>
      <c r="AV151" s="5">
        <f>AW151+AX151</f>
        <v>0</v>
      </c>
      <c r="AW151" s="5">
        <f>F151*AO151</f>
        <v>0</v>
      </c>
      <c r="AX151" s="5">
        <f>F151*AP151</f>
        <v>0</v>
      </c>
      <c r="AY151" s="6" t="s">
        <v>242</v>
      </c>
      <c r="AZ151" s="6" t="s">
        <v>181</v>
      </c>
      <c r="BA151" s="3" t="s">
        <v>182</v>
      </c>
      <c r="BC151" s="5">
        <f>AW151+AX151</f>
        <v>0</v>
      </c>
      <c r="BD151" s="5">
        <f>G151/(100-BE151)*100</f>
        <v>0</v>
      </c>
      <c r="BE151" s="5">
        <v>0</v>
      </c>
      <c r="BF151" s="5">
        <f>151</f>
        <v>151</v>
      </c>
      <c r="BH151" s="9">
        <f>F151*AO151</f>
        <v>0</v>
      </c>
      <c r="BI151" s="9">
        <f>F151*AP151</f>
        <v>0</v>
      </c>
      <c r="BJ151" s="9">
        <f>F151*G151</f>
        <v>0</v>
      </c>
      <c r="BK151" s="9"/>
      <c r="BL151" s="5">
        <v>764</v>
      </c>
      <c r="BW151" s="5">
        <v>21</v>
      </c>
      <c r="BX151" s="8" t="s">
        <v>315</v>
      </c>
    </row>
    <row r="152" spans="1:76" x14ac:dyDescent="0.25">
      <c r="A152" s="181"/>
      <c r="B152" s="182"/>
      <c r="C152" s="183" t="s">
        <v>301</v>
      </c>
      <c r="D152" s="184" t="s">
        <v>52</v>
      </c>
      <c r="E152" s="182"/>
      <c r="F152" s="185">
        <v>108.28333000000001</v>
      </c>
      <c r="G152" s="182"/>
      <c r="H152" s="182"/>
      <c r="I152" s="182"/>
      <c r="J152" s="182"/>
      <c r="K152" s="186"/>
    </row>
    <row r="153" spans="1:76" x14ac:dyDescent="0.25">
      <c r="A153" s="181"/>
      <c r="B153" s="182"/>
      <c r="C153" s="183" t="s">
        <v>316</v>
      </c>
      <c r="D153" s="184" t="s">
        <v>52</v>
      </c>
      <c r="E153" s="182"/>
      <c r="F153" s="185">
        <v>5.4141700000000004</v>
      </c>
      <c r="G153" s="182"/>
      <c r="H153" s="182"/>
      <c r="I153" s="182"/>
      <c r="J153" s="182"/>
      <c r="K153" s="186"/>
    </row>
    <row r="154" spans="1:76" x14ac:dyDescent="0.25">
      <c r="A154" s="213" t="s">
        <v>317</v>
      </c>
      <c r="B154" s="214" t="s">
        <v>318</v>
      </c>
      <c r="C154" s="215" t="s">
        <v>319</v>
      </c>
      <c r="D154" s="216"/>
      <c r="E154" s="214" t="s">
        <v>197</v>
      </c>
      <c r="F154" s="217">
        <v>14.4</v>
      </c>
      <c r="G154" s="217">
        <v>0</v>
      </c>
      <c r="H154" s="217">
        <f>F154*AO154</f>
        <v>0</v>
      </c>
      <c r="I154" s="217">
        <f>F154*AP154</f>
        <v>0</v>
      </c>
      <c r="J154" s="217">
        <f>F154*G154</f>
        <v>0</v>
      </c>
      <c r="K154" s="218" t="s">
        <v>70</v>
      </c>
      <c r="Z154" s="5">
        <f>IF(AQ154="5",BJ154,0)</f>
        <v>0</v>
      </c>
      <c r="AB154" s="5">
        <f>IF(AQ154="1",BH154,0)</f>
        <v>0</v>
      </c>
      <c r="AC154" s="5">
        <f>IF(AQ154="1",BI154,0)</f>
        <v>0</v>
      </c>
      <c r="AD154" s="5">
        <f>IF(AQ154="7",BH154,0)</f>
        <v>0</v>
      </c>
      <c r="AE154" s="5">
        <f>IF(AQ154="7",BI154,0)</f>
        <v>0</v>
      </c>
      <c r="AF154" s="5">
        <f>IF(AQ154="2",BH154,0)</f>
        <v>0</v>
      </c>
      <c r="AG154" s="5">
        <f>IF(AQ154="2",BI154,0)</f>
        <v>0</v>
      </c>
      <c r="AH154" s="5">
        <f>IF(AQ154="0",BJ154,0)</f>
        <v>0</v>
      </c>
      <c r="AI154" s="3" t="s">
        <v>176</v>
      </c>
      <c r="AJ154" s="5">
        <f>IF(AN154=0,J154,0)</f>
        <v>0</v>
      </c>
      <c r="AK154" s="5">
        <f>IF(AN154=12,J154,0)</f>
        <v>0</v>
      </c>
      <c r="AL154" s="5">
        <f>IF(AN154=21,J154,0)</f>
        <v>0</v>
      </c>
      <c r="AN154" s="5">
        <v>21</v>
      </c>
      <c r="AO154" s="5">
        <f>G154*0.42548583</f>
        <v>0</v>
      </c>
      <c r="AP154" s="5">
        <f>G154*(1-0.42548583)</f>
        <v>0</v>
      </c>
      <c r="AQ154" s="6" t="s">
        <v>105</v>
      </c>
      <c r="AV154" s="5">
        <f>AW154+AX154</f>
        <v>0</v>
      </c>
      <c r="AW154" s="5">
        <f>F154*AO154</f>
        <v>0</v>
      </c>
      <c r="AX154" s="5">
        <f>F154*AP154</f>
        <v>0</v>
      </c>
      <c r="AY154" s="6" t="s">
        <v>242</v>
      </c>
      <c r="AZ154" s="6" t="s">
        <v>181</v>
      </c>
      <c r="BA154" s="3" t="s">
        <v>182</v>
      </c>
      <c r="BC154" s="5">
        <f>AW154+AX154</f>
        <v>0</v>
      </c>
      <c r="BD154" s="5">
        <f>G154/(100-BE154)*100</f>
        <v>0</v>
      </c>
      <c r="BE154" s="5">
        <v>0</v>
      </c>
      <c r="BF154" s="5">
        <f>154</f>
        <v>154</v>
      </c>
      <c r="BH154" s="5">
        <f>F154*AO154</f>
        <v>0</v>
      </c>
      <c r="BI154" s="5">
        <f>F154*AP154</f>
        <v>0</v>
      </c>
      <c r="BJ154" s="5">
        <f>F154*G154</f>
        <v>0</v>
      </c>
      <c r="BK154" s="5"/>
      <c r="BL154" s="5">
        <v>764</v>
      </c>
      <c r="BW154" s="5">
        <v>21</v>
      </c>
      <c r="BX154" s="2" t="s">
        <v>319</v>
      </c>
    </row>
    <row r="155" spans="1:76" ht="13.5" customHeight="1" x14ac:dyDescent="0.25">
      <c r="A155" s="187"/>
      <c r="B155" s="155"/>
      <c r="C155" s="189" t="s">
        <v>320</v>
      </c>
      <c r="D155" s="190"/>
      <c r="E155" s="190"/>
      <c r="F155" s="190"/>
      <c r="G155" s="190"/>
      <c r="H155" s="190"/>
      <c r="I155" s="190"/>
      <c r="J155" s="190"/>
      <c r="K155" s="191"/>
    </row>
    <row r="156" spans="1:76" x14ac:dyDescent="0.25">
      <c r="A156" s="201"/>
      <c r="B156" s="202"/>
      <c r="C156" s="203" t="s">
        <v>321</v>
      </c>
      <c r="D156" s="204" t="s">
        <v>322</v>
      </c>
      <c r="E156" s="202"/>
      <c r="F156" s="205">
        <v>14.4</v>
      </c>
      <c r="G156" s="202"/>
      <c r="H156" s="202"/>
      <c r="I156" s="202"/>
      <c r="J156" s="202"/>
      <c r="K156" s="206"/>
    </row>
    <row r="157" spans="1:76" ht="38.25" x14ac:dyDescent="0.25">
      <c r="A157" s="187"/>
      <c r="B157" s="188" t="s">
        <v>85</v>
      </c>
      <c r="C157" s="189" t="s">
        <v>323</v>
      </c>
      <c r="D157" s="190"/>
      <c r="E157" s="190"/>
      <c r="F157" s="190"/>
      <c r="G157" s="190"/>
      <c r="H157" s="190"/>
      <c r="I157" s="190"/>
      <c r="J157" s="190"/>
      <c r="K157" s="191"/>
      <c r="BX157" s="7" t="s">
        <v>323</v>
      </c>
    </row>
    <row r="158" spans="1:76" x14ac:dyDescent="0.25">
      <c r="A158" s="175" t="s">
        <v>324</v>
      </c>
      <c r="B158" s="176" t="s">
        <v>325</v>
      </c>
      <c r="C158" s="177" t="s">
        <v>326</v>
      </c>
      <c r="D158" s="178"/>
      <c r="E158" s="176" t="s">
        <v>197</v>
      </c>
      <c r="F158" s="179">
        <v>25.7</v>
      </c>
      <c r="G158" s="179">
        <v>0</v>
      </c>
      <c r="H158" s="179">
        <f>F158*AO158</f>
        <v>0</v>
      </c>
      <c r="I158" s="179">
        <f>F158*AP158</f>
        <v>0</v>
      </c>
      <c r="J158" s="179">
        <f>F158*G158</f>
        <v>0</v>
      </c>
      <c r="K158" s="180" t="s">
        <v>70</v>
      </c>
      <c r="Z158" s="5">
        <f>IF(AQ158="5",BJ158,0)</f>
        <v>0</v>
      </c>
      <c r="AB158" s="5">
        <f>IF(AQ158="1",BH158,0)</f>
        <v>0</v>
      </c>
      <c r="AC158" s="5">
        <f>IF(AQ158="1",BI158,0)</f>
        <v>0</v>
      </c>
      <c r="AD158" s="5">
        <f>IF(AQ158="7",BH158,0)</f>
        <v>0</v>
      </c>
      <c r="AE158" s="5">
        <f>IF(AQ158="7",BI158,0)</f>
        <v>0</v>
      </c>
      <c r="AF158" s="5">
        <f>IF(AQ158="2",BH158,0)</f>
        <v>0</v>
      </c>
      <c r="AG158" s="5">
        <f>IF(AQ158="2",BI158,0)</f>
        <v>0</v>
      </c>
      <c r="AH158" s="5">
        <f>IF(AQ158="0",BJ158,0)</f>
        <v>0</v>
      </c>
      <c r="AI158" s="3" t="s">
        <v>176</v>
      </c>
      <c r="AJ158" s="5">
        <f>IF(AN158=0,J158,0)</f>
        <v>0</v>
      </c>
      <c r="AK158" s="5">
        <f>IF(AN158=12,J158,0)</f>
        <v>0</v>
      </c>
      <c r="AL158" s="5">
        <f>IF(AN158=21,J158,0)</f>
        <v>0</v>
      </c>
      <c r="AN158" s="5">
        <v>21</v>
      </c>
      <c r="AO158" s="5">
        <f>G158*0.688877709</f>
        <v>0</v>
      </c>
      <c r="AP158" s="5">
        <f>G158*(1-0.688877709)</f>
        <v>0</v>
      </c>
      <c r="AQ158" s="6" t="s">
        <v>105</v>
      </c>
      <c r="AV158" s="5">
        <f>AW158+AX158</f>
        <v>0</v>
      </c>
      <c r="AW158" s="5">
        <f>F158*AO158</f>
        <v>0</v>
      </c>
      <c r="AX158" s="5">
        <f>F158*AP158</f>
        <v>0</v>
      </c>
      <c r="AY158" s="6" t="s">
        <v>242</v>
      </c>
      <c r="AZ158" s="6" t="s">
        <v>181</v>
      </c>
      <c r="BA158" s="3" t="s">
        <v>182</v>
      </c>
      <c r="BC158" s="5">
        <f>AW158+AX158</f>
        <v>0</v>
      </c>
      <c r="BD158" s="5">
        <f>G158/(100-BE158)*100</f>
        <v>0</v>
      </c>
      <c r="BE158" s="5">
        <v>0</v>
      </c>
      <c r="BF158" s="5">
        <f>158</f>
        <v>158</v>
      </c>
      <c r="BH158" s="5">
        <f>F158*AO158</f>
        <v>0</v>
      </c>
      <c r="BI158" s="5">
        <f>F158*AP158</f>
        <v>0</v>
      </c>
      <c r="BJ158" s="5">
        <f>F158*G158</f>
        <v>0</v>
      </c>
      <c r="BK158" s="5"/>
      <c r="BL158" s="5">
        <v>764</v>
      </c>
      <c r="BW158" s="5">
        <v>21</v>
      </c>
      <c r="BX158" s="2" t="s">
        <v>326</v>
      </c>
    </row>
    <row r="159" spans="1:76" ht="27" customHeight="1" x14ac:dyDescent="0.25">
      <c r="A159" s="187"/>
      <c r="B159" s="155"/>
      <c r="C159" s="189" t="s">
        <v>327</v>
      </c>
      <c r="D159" s="190"/>
      <c r="E159" s="190"/>
      <c r="F159" s="190"/>
      <c r="G159" s="190"/>
      <c r="H159" s="190"/>
      <c r="I159" s="190"/>
      <c r="J159" s="190"/>
      <c r="K159" s="191"/>
    </row>
    <row r="160" spans="1:76" x14ac:dyDescent="0.25">
      <c r="A160" s="201"/>
      <c r="B160" s="202"/>
      <c r="C160" s="203" t="s">
        <v>328</v>
      </c>
      <c r="D160" s="204" t="s">
        <v>329</v>
      </c>
      <c r="E160" s="202"/>
      <c r="F160" s="205">
        <v>12</v>
      </c>
      <c r="G160" s="202"/>
      <c r="H160" s="202"/>
      <c r="I160" s="202"/>
      <c r="J160" s="202"/>
      <c r="K160" s="206"/>
    </row>
    <row r="161" spans="1:76" x14ac:dyDescent="0.25">
      <c r="A161" s="181"/>
      <c r="B161" s="182"/>
      <c r="C161" s="183" t="s">
        <v>330</v>
      </c>
      <c r="D161" s="184" t="s">
        <v>331</v>
      </c>
      <c r="E161" s="182"/>
      <c r="F161" s="185">
        <v>13.7</v>
      </c>
      <c r="G161" s="182"/>
      <c r="H161" s="182"/>
      <c r="I161" s="182"/>
      <c r="J161" s="182"/>
      <c r="K161" s="186"/>
    </row>
    <row r="162" spans="1:76" x14ac:dyDescent="0.25">
      <c r="A162" s="213" t="s">
        <v>332</v>
      </c>
      <c r="B162" s="214" t="s">
        <v>333</v>
      </c>
      <c r="C162" s="215" t="s">
        <v>334</v>
      </c>
      <c r="D162" s="216"/>
      <c r="E162" s="214" t="s">
        <v>197</v>
      </c>
      <c r="F162" s="217">
        <v>57.04</v>
      </c>
      <c r="G162" s="217">
        <v>0</v>
      </c>
      <c r="H162" s="217">
        <f>F162*AO162</f>
        <v>0</v>
      </c>
      <c r="I162" s="217">
        <f>F162*AP162</f>
        <v>0</v>
      </c>
      <c r="J162" s="217">
        <f>F162*G162</f>
        <v>0</v>
      </c>
      <c r="K162" s="218" t="s">
        <v>70</v>
      </c>
      <c r="Z162" s="5">
        <f>IF(AQ162="5",BJ162,0)</f>
        <v>0</v>
      </c>
      <c r="AB162" s="5">
        <f>IF(AQ162="1",BH162,0)</f>
        <v>0</v>
      </c>
      <c r="AC162" s="5">
        <f>IF(AQ162="1",BI162,0)</f>
        <v>0</v>
      </c>
      <c r="AD162" s="5">
        <f>IF(AQ162="7",BH162,0)</f>
        <v>0</v>
      </c>
      <c r="AE162" s="5">
        <f>IF(AQ162="7",BI162,0)</f>
        <v>0</v>
      </c>
      <c r="AF162" s="5">
        <f>IF(AQ162="2",BH162,0)</f>
        <v>0</v>
      </c>
      <c r="AG162" s="5">
        <f>IF(AQ162="2",BI162,0)</f>
        <v>0</v>
      </c>
      <c r="AH162" s="5">
        <f>IF(AQ162="0",BJ162,0)</f>
        <v>0</v>
      </c>
      <c r="AI162" s="3" t="s">
        <v>176</v>
      </c>
      <c r="AJ162" s="5">
        <f>IF(AN162=0,J162,0)</f>
        <v>0</v>
      </c>
      <c r="AK162" s="5">
        <f>IF(AN162=12,J162,0)</f>
        <v>0</v>
      </c>
      <c r="AL162" s="5">
        <f>IF(AN162=21,J162,0)</f>
        <v>0</v>
      </c>
      <c r="AN162" s="5">
        <v>21</v>
      </c>
      <c r="AO162" s="5">
        <f>G162*0.683254237</f>
        <v>0</v>
      </c>
      <c r="AP162" s="5">
        <f>G162*(1-0.683254237)</f>
        <v>0</v>
      </c>
      <c r="AQ162" s="6" t="s">
        <v>105</v>
      </c>
      <c r="AV162" s="5">
        <f>AW162+AX162</f>
        <v>0</v>
      </c>
      <c r="AW162" s="5">
        <f>F162*AO162</f>
        <v>0</v>
      </c>
      <c r="AX162" s="5">
        <f>F162*AP162</f>
        <v>0</v>
      </c>
      <c r="AY162" s="6" t="s">
        <v>242</v>
      </c>
      <c r="AZ162" s="6" t="s">
        <v>181</v>
      </c>
      <c r="BA162" s="3" t="s">
        <v>182</v>
      </c>
      <c r="BC162" s="5">
        <f>AW162+AX162</f>
        <v>0</v>
      </c>
      <c r="BD162" s="5">
        <f>G162/(100-BE162)*100</f>
        <v>0</v>
      </c>
      <c r="BE162" s="5">
        <v>0</v>
      </c>
      <c r="BF162" s="5">
        <f>162</f>
        <v>162</v>
      </c>
      <c r="BH162" s="5">
        <f>F162*AO162</f>
        <v>0</v>
      </c>
      <c r="BI162" s="5">
        <f>F162*AP162</f>
        <v>0</v>
      </c>
      <c r="BJ162" s="5">
        <f>F162*G162</f>
        <v>0</v>
      </c>
      <c r="BK162" s="5"/>
      <c r="BL162" s="5">
        <v>764</v>
      </c>
      <c r="BW162" s="5">
        <v>21</v>
      </c>
      <c r="BX162" s="2" t="s">
        <v>334</v>
      </c>
    </row>
    <row r="163" spans="1:76" ht="13.5" customHeight="1" x14ac:dyDescent="0.25">
      <c r="A163" s="187"/>
      <c r="B163" s="155"/>
      <c r="C163" s="189" t="s">
        <v>335</v>
      </c>
      <c r="D163" s="190"/>
      <c r="E163" s="190"/>
      <c r="F163" s="190"/>
      <c r="G163" s="190"/>
      <c r="H163" s="190"/>
      <c r="I163" s="190"/>
      <c r="J163" s="190"/>
      <c r="K163" s="191"/>
    </row>
    <row r="164" spans="1:76" x14ac:dyDescent="0.25">
      <c r="A164" s="201"/>
      <c r="B164" s="202"/>
      <c r="C164" s="203" t="s">
        <v>198</v>
      </c>
      <c r="D164" s="204" t="s">
        <v>336</v>
      </c>
      <c r="E164" s="202"/>
      <c r="F164" s="205">
        <v>35.799999999999997</v>
      </c>
      <c r="G164" s="202"/>
      <c r="H164" s="202"/>
      <c r="I164" s="202"/>
      <c r="J164" s="202"/>
      <c r="K164" s="206"/>
    </row>
    <row r="165" spans="1:76" x14ac:dyDescent="0.25">
      <c r="A165" s="181"/>
      <c r="B165" s="182"/>
      <c r="C165" s="183" t="s">
        <v>200</v>
      </c>
      <c r="D165" s="184" t="s">
        <v>201</v>
      </c>
      <c r="E165" s="182"/>
      <c r="F165" s="185">
        <v>13.8</v>
      </c>
      <c r="G165" s="182"/>
      <c r="H165" s="182"/>
      <c r="I165" s="182"/>
      <c r="J165" s="182"/>
      <c r="K165" s="186"/>
    </row>
    <row r="166" spans="1:76" x14ac:dyDescent="0.25">
      <c r="A166" s="181"/>
      <c r="B166" s="182"/>
      <c r="C166" s="183" t="s">
        <v>337</v>
      </c>
      <c r="D166" s="184" t="s">
        <v>52</v>
      </c>
      <c r="E166" s="182"/>
      <c r="F166" s="185">
        <v>7.44</v>
      </c>
      <c r="G166" s="182"/>
      <c r="H166" s="182"/>
      <c r="I166" s="182"/>
      <c r="J166" s="182"/>
      <c r="K166" s="186"/>
    </row>
    <row r="167" spans="1:76" x14ac:dyDescent="0.25">
      <c r="A167" s="213" t="s">
        <v>338</v>
      </c>
      <c r="B167" s="214" t="s">
        <v>339</v>
      </c>
      <c r="C167" s="215" t="s">
        <v>340</v>
      </c>
      <c r="D167" s="216"/>
      <c r="E167" s="214" t="s">
        <v>197</v>
      </c>
      <c r="F167" s="217">
        <v>49.6</v>
      </c>
      <c r="G167" s="217">
        <v>0</v>
      </c>
      <c r="H167" s="217">
        <f>F167*AO167</f>
        <v>0</v>
      </c>
      <c r="I167" s="217">
        <f>F167*AP167</f>
        <v>0</v>
      </c>
      <c r="J167" s="217">
        <f>F167*G167</f>
        <v>0</v>
      </c>
      <c r="K167" s="218" t="s">
        <v>70</v>
      </c>
      <c r="Z167" s="5">
        <f>IF(AQ167="5",BJ167,0)</f>
        <v>0</v>
      </c>
      <c r="AB167" s="5">
        <f>IF(AQ167="1",BH167,0)</f>
        <v>0</v>
      </c>
      <c r="AC167" s="5">
        <f>IF(AQ167="1",BI167,0)</f>
        <v>0</v>
      </c>
      <c r="AD167" s="5">
        <f>IF(AQ167="7",BH167,0)</f>
        <v>0</v>
      </c>
      <c r="AE167" s="5">
        <f>IF(AQ167="7",BI167,0)</f>
        <v>0</v>
      </c>
      <c r="AF167" s="5">
        <f>IF(AQ167="2",BH167,0)</f>
        <v>0</v>
      </c>
      <c r="AG167" s="5">
        <f>IF(AQ167="2",BI167,0)</f>
        <v>0</v>
      </c>
      <c r="AH167" s="5">
        <f>IF(AQ167="0",BJ167,0)</f>
        <v>0</v>
      </c>
      <c r="AI167" s="3" t="s">
        <v>176</v>
      </c>
      <c r="AJ167" s="5">
        <f>IF(AN167=0,J167,0)</f>
        <v>0</v>
      </c>
      <c r="AK167" s="5">
        <f>IF(AN167=12,J167,0)</f>
        <v>0</v>
      </c>
      <c r="AL167" s="5">
        <f>IF(AN167=21,J167,0)</f>
        <v>0</v>
      </c>
      <c r="AN167" s="5">
        <v>21</v>
      </c>
      <c r="AO167" s="5">
        <f>G167*0.101510791</f>
        <v>0</v>
      </c>
      <c r="AP167" s="5">
        <f>G167*(1-0.101510791)</f>
        <v>0</v>
      </c>
      <c r="AQ167" s="6" t="s">
        <v>105</v>
      </c>
      <c r="AV167" s="5">
        <f>AW167+AX167</f>
        <v>0</v>
      </c>
      <c r="AW167" s="5">
        <f>F167*AO167</f>
        <v>0</v>
      </c>
      <c r="AX167" s="5">
        <f>F167*AP167</f>
        <v>0</v>
      </c>
      <c r="AY167" s="6" t="s">
        <v>242</v>
      </c>
      <c r="AZ167" s="6" t="s">
        <v>181</v>
      </c>
      <c r="BA167" s="3" t="s">
        <v>182</v>
      </c>
      <c r="BC167" s="5">
        <f>AW167+AX167</f>
        <v>0</v>
      </c>
      <c r="BD167" s="5">
        <f>G167/(100-BE167)*100</f>
        <v>0</v>
      </c>
      <c r="BE167" s="5">
        <v>0</v>
      </c>
      <c r="BF167" s="5">
        <f>167</f>
        <v>167</v>
      </c>
      <c r="BH167" s="5">
        <f>F167*AO167</f>
        <v>0</v>
      </c>
      <c r="BI167" s="5">
        <f>F167*AP167</f>
        <v>0</v>
      </c>
      <c r="BJ167" s="5">
        <f>F167*G167</f>
        <v>0</v>
      </c>
      <c r="BK167" s="5"/>
      <c r="BL167" s="5">
        <v>764</v>
      </c>
      <c r="BW167" s="5">
        <v>21</v>
      </c>
      <c r="BX167" s="2" t="s">
        <v>340</v>
      </c>
    </row>
    <row r="168" spans="1:76" x14ac:dyDescent="0.25">
      <c r="A168" s="181"/>
      <c r="B168" s="182"/>
      <c r="C168" s="183" t="s">
        <v>198</v>
      </c>
      <c r="D168" s="184" t="s">
        <v>199</v>
      </c>
      <c r="E168" s="182"/>
      <c r="F168" s="185">
        <v>35.799999999999997</v>
      </c>
      <c r="G168" s="182"/>
      <c r="H168" s="182"/>
      <c r="I168" s="182"/>
      <c r="J168" s="182"/>
      <c r="K168" s="186"/>
    </row>
    <row r="169" spans="1:76" x14ac:dyDescent="0.25">
      <c r="A169" s="181"/>
      <c r="B169" s="182"/>
      <c r="C169" s="183" t="s">
        <v>200</v>
      </c>
      <c r="D169" s="184" t="s">
        <v>341</v>
      </c>
      <c r="E169" s="182"/>
      <c r="F169" s="185">
        <v>13.8</v>
      </c>
      <c r="G169" s="182"/>
      <c r="H169" s="182"/>
      <c r="I169" s="182"/>
      <c r="J169" s="182"/>
      <c r="K169" s="186"/>
    </row>
    <row r="170" spans="1:76" x14ac:dyDescent="0.25">
      <c r="A170" s="207" t="s">
        <v>342</v>
      </c>
      <c r="B170" s="208" t="s">
        <v>281</v>
      </c>
      <c r="C170" s="209" t="s">
        <v>343</v>
      </c>
      <c r="D170" s="210"/>
      <c r="E170" s="208" t="s">
        <v>197</v>
      </c>
      <c r="F170" s="211">
        <v>57.04</v>
      </c>
      <c r="G170" s="211">
        <v>0</v>
      </c>
      <c r="H170" s="211">
        <f>F170*AO170</f>
        <v>0</v>
      </c>
      <c r="I170" s="211">
        <f>F170*AP170</f>
        <v>0</v>
      </c>
      <c r="J170" s="211">
        <f>F170*G170</f>
        <v>0</v>
      </c>
      <c r="K170" s="212" t="s">
        <v>70</v>
      </c>
      <c r="Z170" s="5">
        <f>IF(AQ170="5",BJ170,0)</f>
        <v>0</v>
      </c>
      <c r="AB170" s="5">
        <f>IF(AQ170="1",BH170,0)</f>
        <v>0</v>
      </c>
      <c r="AC170" s="5">
        <f>IF(AQ170="1",BI170,0)</f>
        <v>0</v>
      </c>
      <c r="AD170" s="5">
        <f>IF(AQ170="7",BH170,0)</f>
        <v>0</v>
      </c>
      <c r="AE170" s="5">
        <f>IF(AQ170="7",BI170,0)</f>
        <v>0</v>
      </c>
      <c r="AF170" s="5">
        <f>IF(AQ170="2",BH170,0)</f>
        <v>0</v>
      </c>
      <c r="AG170" s="5">
        <f>IF(AQ170="2",BI170,0)</f>
        <v>0</v>
      </c>
      <c r="AH170" s="5">
        <f>IF(AQ170="0",BJ170,0)</f>
        <v>0</v>
      </c>
      <c r="AI170" s="3" t="s">
        <v>176</v>
      </c>
      <c r="AJ170" s="9">
        <f>IF(AN170=0,J170,0)</f>
        <v>0</v>
      </c>
      <c r="AK170" s="9">
        <f>IF(AN170=12,J170,0)</f>
        <v>0</v>
      </c>
      <c r="AL170" s="9">
        <f>IF(AN170=21,J170,0)</f>
        <v>0</v>
      </c>
      <c r="AN170" s="5">
        <v>21</v>
      </c>
      <c r="AO170" s="5">
        <f>G170*1</f>
        <v>0</v>
      </c>
      <c r="AP170" s="5">
        <f>G170*(1-1)</f>
        <v>0</v>
      </c>
      <c r="AQ170" s="10" t="s">
        <v>105</v>
      </c>
      <c r="AV170" s="5">
        <f>AW170+AX170</f>
        <v>0</v>
      </c>
      <c r="AW170" s="5">
        <f>F170*AO170</f>
        <v>0</v>
      </c>
      <c r="AX170" s="5">
        <f>F170*AP170</f>
        <v>0</v>
      </c>
      <c r="AY170" s="6" t="s">
        <v>242</v>
      </c>
      <c r="AZ170" s="6" t="s">
        <v>181</v>
      </c>
      <c r="BA170" s="3" t="s">
        <v>182</v>
      </c>
      <c r="BC170" s="5">
        <f>AW170+AX170</f>
        <v>0</v>
      </c>
      <c r="BD170" s="5">
        <f>G170/(100-BE170)*100</f>
        <v>0</v>
      </c>
      <c r="BE170" s="5">
        <v>0</v>
      </c>
      <c r="BF170" s="5">
        <f>170</f>
        <v>170</v>
      </c>
      <c r="BH170" s="9">
        <f>F170*AO170</f>
        <v>0</v>
      </c>
      <c r="BI170" s="9">
        <f>F170*AP170</f>
        <v>0</v>
      </c>
      <c r="BJ170" s="9">
        <f>F170*G170</f>
        <v>0</v>
      </c>
      <c r="BK170" s="9"/>
      <c r="BL170" s="5">
        <v>764</v>
      </c>
      <c r="BW170" s="5">
        <v>21</v>
      </c>
      <c r="BX170" s="8" t="s">
        <v>343</v>
      </c>
    </row>
    <row r="171" spans="1:76" x14ac:dyDescent="0.25">
      <c r="A171" s="181"/>
      <c r="B171" s="182"/>
      <c r="C171" s="183" t="s">
        <v>198</v>
      </c>
      <c r="D171" s="184" t="s">
        <v>199</v>
      </c>
      <c r="E171" s="182"/>
      <c r="F171" s="185">
        <v>35.799999999999997</v>
      </c>
      <c r="G171" s="182"/>
      <c r="H171" s="182"/>
      <c r="I171" s="182"/>
      <c r="J171" s="182"/>
      <c r="K171" s="186"/>
    </row>
    <row r="172" spans="1:76" x14ac:dyDescent="0.25">
      <c r="A172" s="181"/>
      <c r="B172" s="182"/>
      <c r="C172" s="183" t="s">
        <v>200</v>
      </c>
      <c r="D172" s="184" t="s">
        <v>341</v>
      </c>
      <c r="E172" s="182"/>
      <c r="F172" s="185">
        <v>13.8</v>
      </c>
      <c r="G172" s="182"/>
      <c r="H172" s="182"/>
      <c r="I172" s="182"/>
      <c r="J172" s="182"/>
      <c r="K172" s="186"/>
    </row>
    <row r="173" spans="1:76" x14ac:dyDescent="0.25">
      <c r="A173" s="181"/>
      <c r="B173" s="182"/>
      <c r="C173" s="183" t="s">
        <v>337</v>
      </c>
      <c r="D173" s="184" t="s">
        <v>52</v>
      </c>
      <c r="E173" s="182"/>
      <c r="F173" s="185">
        <v>7.44</v>
      </c>
      <c r="G173" s="182"/>
      <c r="H173" s="182"/>
      <c r="I173" s="182"/>
      <c r="J173" s="182"/>
      <c r="K173" s="186"/>
    </row>
    <row r="174" spans="1:76" x14ac:dyDescent="0.25">
      <c r="A174" s="213" t="s">
        <v>344</v>
      </c>
      <c r="B174" s="214" t="s">
        <v>345</v>
      </c>
      <c r="C174" s="215" t="s">
        <v>346</v>
      </c>
      <c r="D174" s="216"/>
      <c r="E174" s="214" t="s">
        <v>197</v>
      </c>
      <c r="F174" s="217">
        <v>36.299999999999997</v>
      </c>
      <c r="G174" s="217">
        <v>0</v>
      </c>
      <c r="H174" s="217">
        <f>F174*AO174</f>
        <v>0</v>
      </c>
      <c r="I174" s="217">
        <f>F174*AP174</f>
        <v>0</v>
      </c>
      <c r="J174" s="217">
        <f>F174*G174</f>
        <v>0</v>
      </c>
      <c r="K174" s="218" t="s">
        <v>70</v>
      </c>
      <c r="Z174" s="5">
        <f>IF(AQ174="5",BJ174,0)</f>
        <v>0</v>
      </c>
      <c r="AB174" s="5">
        <f>IF(AQ174="1",BH174,0)</f>
        <v>0</v>
      </c>
      <c r="AC174" s="5">
        <f>IF(AQ174="1",BI174,0)</f>
        <v>0</v>
      </c>
      <c r="AD174" s="5">
        <f>IF(AQ174="7",BH174,0)</f>
        <v>0</v>
      </c>
      <c r="AE174" s="5">
        <f>IF(AQ174="7",BI174,0)</f>
        <v>0</v>
      </c>
      <c r="AF174" s="5">
        <f>IF(AQ174="2",BH174,0)</f>
        <v>0</v>
      </c>
      <c r="AG174" s="5">
        <f>IF(AQ174="2",BI174,0)</f>
        <v>0</v>
      </c>
      <c r="AH174" s="5">
        <f>IF(AQ174="0",BJ174,0)</f>
        <v>0</v>
      </c>
      <c r="AI174" s="3" t="s">
        <v>176</v>
      </c>
      <c r="AJ174" s="5">
        <f>IF(AN174=0,J174,0)</f>
        <v>0</v>
      </c>
      <c r="AK174" s="5">
        <f>IF(AN174=12,J174,0)</f>
        <v>0</v>
      </c>
      <c r="AL174" s="5">
        <f>IF(AN174=21,J174,0)</f>
        <v>0</v>
      </c>
      <c r="AN174" s="5">
        <v>21</v>
      </c>
      <c r="AO174" s="5">
        <f>G174*0.619883761</f>
        <v>0</v>
      </c>
      <c r="AP174" s="5">
        <f>G174*(1-0.619883761)</f>
        <v>0</v>
      </c>
      <c r="AQ174" s="6" t="s">
        <v>105</v>
      </c>
      <c r="AV174" s="5">
        <f>AW174+AX174</f>
        <v>0</v>
      </c>
      <c r="AW174" s="5">
        <f>F174*AO174</f>
        <v>0</v>
      </c>
      <c r="AX174" s="5">
        <f>F174*AP174</f>
        <v>0</v>
      </c>
      <c r="AY174" s="6" t="s">
        <v>242</v>
      </c>
      <c r="AZ174" s="6" t="s">
        <v>181</v>
      </c>
      <c r="BA174" s="3" t="s">
        <v>182</v>
      </c>
      <c r="BC174" s="5">
        <f>AW174+AX174</f>
        <v>0</v>
      </c>
      <c r="BD174" s="5">
        <f>G174/(100-BE174)*100</f>
        <v>0</v>
      </c>
      <c r="BE174" s="5">
        <v>0</v>
      </c>
      <c r="BF174" s="5">
        <f>174</f>
        <v>174</v>
      </c>
      <c r="BH174" s="5">
        <f>F174*AO174</f>
        <v>0</v>
      </c>
      <c r="BI174" s="5">
        <f>F174*AP174</f>
        <v>0</v>
      </c>
      <c r="BJ174" s="5">
        <f>F174*G174</f>
        <v>0</v>
      </c>
      <c r="BK174" s="5"/>
      <c r="BL174" s="5">
        <v>764</v>
      </c>
      <c r="BW174" s="5">
        <v>21</v>
      </c>
      <c r="BX174" s="2" t="s">
        <v>346</v>
      </c>
    </row>
    <row r="175" spans="1:76" ht="27" customHeight="1" x14ac:dyDescent="0.25">
      <c r="A175" s="187"/>
      <c r="B175" s="155"/>
      <c r="C175" s="189" t="s">
        <v>347</v>
      </c>
      <c r="D175" s="190"/>
      <c r="E175" s="190"/>
      <c r="F175" s="190"/>
      <c r="G175" s="190"/>
      <c r="H175" s="190"/>
      <c r="I175" s="190"/>
      <c r="J175" s="190"/>
      <c r="K175" s="191"/>
    </row>
    <row r="176" spans="1:76" x14ac:dyDescent="0.25">
      <c r="A176" s="201"/>
      <c r="B176" s="202"/>
      <c r="C176" s="203" t="s">
        <v>348</v>
      </c>
      <c r="D176" s="204" t="s">
        <v>349</v>
      </c>
      <c r="E176" s="202"/>
      <c r="F176" s="205">
        <v>33.4</v>
      </c>
      <c r="G176" s="202"/>
      <c r="H176" s="202"/>
      <c r="I176" s="202"/>
      <c r="J176" s="202"/>
      <c r="K176" s="206"/>
    </row>
    <row r="177" spans="1:76" x14ac:dyDescent="0.25">
      <c r="A177" s="181"/>
      <c r="B177" s="182"/>
      <c r="C177" s="183" t="s">
        <v>350</v>
      </c>
      <c r="D177" s="184" t="s">
        <v>351</v>
      </c>
      <c r="E177" s="182"/>
      <c r="F177" s="185">
        <v>2.9</v>
      </c>
      <c r="G177" s="182"/>
      <c r="H177" s="182"/>
      <c r="I177" s="182"/>
      <c r="J177" s="182"/>
      <c r="K177" s="186"/>
    </row>
    <row r="178" spans="1:76" x14ac:dyDescent="0.25">
      <c r="A178" s="213" t="s">
        <v>352</v>
      </c>
      <c r="B178" s="214" t="s">
        <v>285</v>
      </c>
      <c r="C178" s="215" t="s">
        <v>353</v>
      </c>
      <c r="D178" s="216"/>
      <c r="E178" s="214" t="s">
        <v>197</v>
      </c>
      <c r="F178" s="217">
        <v>73.2</v>
      </c>
      <c r="G178" s="217">
        <v>0</v>
      </c>
      <c r="H178" s="217">
        <f>F178*AO178</f>
        <v>0</v>
      </c>
      <c r="I178" s="217">
        <f>F178*AP178</f>
        <v>0</v>
      </c>
      <c r="J178" s="217">
        <f>F178*G178</f>
        <v>0</v>
      </c>
      <c r="K178" s="218" t="s">
        <v>70</v>
      </c>
      <c r="Z178" s="5">
        <f>IF(AQ178="5",BJ178,0)</f>
        <v>0</v>
      </c>
      <c r="AB178" s="5">
        <f>IF(AQ178="1",BH178,0)</f>
        <v>0</v>
      </c>
      <c r="AC178" s="5">
        <f>IF(AQ178="1",BI178,0)</f>
        <v>0</v>
      </c>
      <c r="AD178" s="5">
        <f>IF(AQ178="7",BH178,0)</f>
        <v>0</v>
      </c>
      <c r="AE178" s="5">
        <f>IF(AQ178="7",BI178,0)</f>
        <v>0</v>
      </c>
      <c r="AF178" s="5">
        <f>IF(AQ178="2",BH178,0)</f>
        <v>0</v>
      </c>
      <c r="AG178" s="5">
        <f>IF(AQ178="2",BI178,0)</f>
        <v>0</v>
      </c>
      <c r="AH178" s="5">
        <f>IF(AQ178="0",BJ178,0)</f>
        <v>0</v>
      </c>
      <c r="AI178" s="3" t="s">
        <v>176</v>
      </c>
      <c r="AJ178" s="5">
        <f>IF(AN178=0,J178,0)</f>
        <v>0</v>
      </c>
      <c r="AK178" s="5">
        <f>IF(AN178=12,J178,0)</f>
        <v>0</v>
      </c>
      <c r="AL178" s="5">
        <f>IF(AN178=21,J178,0)</f>
        <v>0</v>
      </c>
      <c r="AN178" s="5">
        <v>21</v>
      </c>
      <c r="AO178" s="5">
        <f>G178*0.666380952</f>
        <v>0</v>
      </c>
      <c r="AP178" s="5">
        <f>G178*(1-0.666380952)</f>
        <v>0</v>
      </c>
      <c r="AQ178" s="6" t="s">
        <v>105</v>
      </c>
      <c r="AV178" s="5">
        <f>AW178+AX178</f>
        <v>0</v>
      </c>
      <c r="AW178" s="5">
        <f>F178*AO178</f>
        <v>0</v>
      </c>
      <c r="AX178" s="5">
        <f>F178*AP178</f>
        <v>0</v>
      </c>
      <c r="AY178" s="6" t="s">
        <v>242</v>
      </c>
      <c r="AZ178" s="6" t="s">
        <v>181</v>
      </c>
      <c r="BA178" s="3" t="s">
        <v>182</v>
      </c>
      <c r="BC178" s="5">
        <f>AW178+AX178</f>
        <v>0</v>
      </c>
      <c r="BD178" s="5">
        <f>G178/(100-BE178)*100</f>
        <v>0</v>
      </c>
      <c r="BE178" s="5">
        <v>0</v>
      </c>
      <c r="BF178" s="5">
        <f>178</f>
        <v>178</v>
      </c>
      <c r="BH178" s="5">
        <f>F178*AO178</f>
        <v>0</v>
      </c>
      <c r="BI178" s="5">
        <f>F178*AP178</f>
        <v>0</v>
      </c>
      <c r="BJ178" s="5">
        <f>F178*G178</f>
        <v>0</v>
      </c>
      <c r="BK178" s="5"/>
      <c r="BL178" s="5">
        <v>764</v>
      </c>
      <c r="BW178" s="5">
        <v>21</v>
      </c>
      <c r="BX178" s="2" t="s">
        <v>353</v>
      </c>
    </row>
    <row r="179" spans="1:76" ht="13.5" customHeight="1" x14ac:dyDescent="0.25">
      <c r="A179" s="187"/>
      <c r="B179" s="155"/>
      <c r="C179" s="189" t="s">
        <v>354</v>
      </c>
      <c r="D179" s="190"/>
      <c r="E179" s="190"/>
      <c r="F179" s="190"/>
      <c r="G179" s="190"/>
      <c r="H179" s="190"/>
      <c r="I179" s="190"/>
      <c r="J179" s="190"/>
      <c r="K179" s="191"/>
    </row>
    <row r="180" spans="1:76" x14ac:dyDescent="0.25">
      <c r="A180" s="201"/>
      <c r="B180" s="202"/>
      <c r="C180" s="203" t="s">
        <v>355</v>
      </c>
      <c r="D180" s="204" t="s">
        <v>356</v>
      </c>
      <c r="E180" s="202"/>
      <c r="F180" s="205">
        <v>59.6</v>
      </c>
      <c r="G180" s="202"/>
      <c r="H180" s="202"/>
      <c r="I180" s="202"/>
      <c r="J180" s="202"/>
      <c r="K180" s="206"/>
    </row>
    <row r="181" spans="1:76" x14ac:dyDescent="0.25">
      <c r="A181" s="181"/>
      <c r="B181" s="182"/>
      <c r="C181" s="183" t="s">
        <v>357</v>
      </c>
      <c r="D181" s="184" t="s">
        <v>358</v>
      </c>
      <c r="E181" s="182"/>
      <c r="F181" s="185">
        <v>7.2</v>
      </c>
      <c r="G181" s="182"/>
      <c r="H181" s="182"/>
      <c r="I181" s="182"/>
      <c r="J181" s="182"/>
      <c r="K181" s="186"/>
    </row>
    <row r="182" spans="1:76" x14ac:dyDescent="0.25">
      <c r="A182" s="181"/>
      <c r="B182" s="182"/>
      <c r="C182" s="183" t="s">
        <v>359</v>
      </c>
      <c r="D182" s="184" t="s">
        <v>360</v>
      </c>
      <c r="E182" s="182"/>
      <c r="F182" s="185">
        <v>6.4</v>
      </c>
      <c r="G182" s="182"/>
      <c r="H182" s="182"/>
      <c r="I182" s="182"/>
      <c r="J182" s="182"/>
      <c r="K182" s="186"/>
    </row>
    <row r="183" spans="1:76" x14ac:dyDescent="0.25">
      <c r="A183" s="213" t="s">
        <v>361</v>
      </c>
      <c r="B183" s="214" t="s">
        <v>362</v>
      </c>
      <c r="C183" s="215" t="s">
        <v>363</v>
      </c>
      <c r="D183" s="216"/>
      <c r="E183" s="214" t="s">
        <v>300</v>
      </c>
      <c r="F183" s="217">
        <v>3</v>
      </c>
      <c r="G183" s="217">
        <v>0</v>
      </c>
      <c r="H183" s="217">
        <f>F183*AO183</f>
        <v>0</v>
      </c>
      <c r="I183" s="217">
        <f>F183*AP183</f>
        <v>0</v>
      </c>
      <c r="J183" s="217">
        <f>F183*G183</f>
        <v>0</v>
      </c>
      <c r="K183" s="218" t="s">
        <v>215</v>
      </c>
      <c r="Z183" s="5">
        <f>IF(AQ183="5",BJ183,0)</f>
        <v>0</v>
      </c>
      <c r="AB183" s="5">
        <f>IF(AQ183="1",BH183,0)</f>
        <v>0</v>
      </c>
      <c r="AC183" s="5">
        <f>IF(AQ183="1",BI183,0)</f>
        <v>0</v>
      </c>
      <c r="AD183" s="5">
        <f>IF(AQ183="7",BH183,0)</f>
        <v>0</v>
      </c>
      <c r="AE183" s="5">
        <f>IF(AQ183="7",BI183,0)</f>
        <v>0</v>
      </c>
      <c r="AF183" s="5">
        <f>IF(AQ183="2",BH183,0)</f>
        <v>0</v>
      </c>
      <c r="AG183" s="5">
        <f>IF(AQ183="2",BI183,0)</f>
        <v>0</v>
      </c>
      <c r="AH183" s="5">
        <f>IF(AQ183="0",BJ183,0)</f>
        <v>0</v>
      </c>
      <c r="AI183" s="3" t="s">
        <v>176</v>
      </c>
      <c r="AJ183" s="5">
        <f>IF(AN183=0,J183,0)</f>
        <v>0</v>
      </c>
      <c r="AK183" s="5">
        <f>IF(AN183=12,J183,0)</f>
        <v>0</v>
      </c>
      <c r="AL183" s="5">
        <f>IF(AN183=21,J183,0)</f>
        <v>0</v>
      </c>
      <c r="AN183" s="5">
        <v>21</v>
      </c>
      <c r="AO183" s="5">
        <f>G183*0.048454259</f>
        <v>0</v>
      </c>
      <c r="AP183" s="5">
        <f>G183*(1-0.048454259)</f>
        <v>0</v>
      </c>
      <c r="AQ183" s="6" t="s">
        <v>105</v>
      </c>
      <c r="AV183" s="5">
        <f>AW183+AX183</f>
        <v>0</v>
      </c>
      <c r="AW183" s="5">
        <f>F183*AO183</f>
        <v>0</v>
      </c>
      <c r="AX183" s="5">
        <f>F183*AP183</f>
        <v>0</v>
      </c>
      <c r="AY183" s="6" t="s">
        <v>242</v>
      </c>
      <c r="AZ183" s="6" t="s">
        <v>181</v>
      </c>
      <c r="BA183" s="3" t="s">
        <v>182</v>
      </c>
      <c r="BC183" s="5">
        <f>AW183+AX183</f>
        <v>0</v>
      </c>
      <c r="BD183" s="5">
        <f>G183/(100-BE183)*100</f>
        <v>0</v>
      </c>
      <c r="BE183" s="5">
        <v>0</v>
      </c>
      <c r="BF183" s="5">
        <f>183</f>
        <v>183</v>
      </c>
      <c r="BH183" s="5">
        <f>F183*AO183</f>
        <v>0</v>
      </c>
      <c r="BI183" s="5">
        <f>F183*AP183</f>
        <v>0</v>
      </c>
      <c r="BJ183" s="5">
        <f>F183*G183</f>
        <v>0</v>
      </c>
      <c r="BK183" s="5"/>
      <c r="BL183" s="5">
        <v>764</v>
      </c>
      <c r="BW183" s="5">
        <v>21</v>
      </c>
      <c r="BX183" s="2" t="s">
        <v>363</v>
      </c>
    </row>
    <row r="184" spans="1:76" x14ac:dyDescent="0.25">
      <c r="A184" s="181"/>
      <c r="B184" s="182"/>
      <c r="C184" s="183" t="s">
        <v>87</v>
      </c>
      <c r="D184" s="184" t="s">
        <v>364</v>
      </c>
      <c r="E184" s="182"/>
      <c r="F184" s="185">
        <v>3</v>
      </c>
      <c r="G184" s="182"/>
      <c r="H184" s="182"/>
      <c r="I184" s="182"/>
      <c r="J184" s="182"/>
      <c r="K184" s="186"/>
    </row>
    <row r="185" spans="1:76" x14ac:dyDescent="0.25">
      <c r="A185" s="207" t="s">
        <v>365</v>
      </c>
      <c r="B185" s="208" t="s">
        <v>366</v>
      </c>
      <c r="C185" s="209" t="s">
        <v>367</v>
      </c>
      <c r="D185" s="210"/>
      <c r="E185" s="208" t="s">
        <v>197</v>
      </c>
      <c r="F185" s="211">
        <v>1.5</v>
      </c>
      <c r="G185" s="211">
        <v>0</v>
      </c>
      <c r="H185" s="211">
        <f>F185*AO185</f>
        <v>0</v>
      </c>
      <c r="I185" s="211">
        <f>F185*AP185</f>
        <v>0</v>
      </c>
      <c r="J185" s="211">
        <f>F185*G185</f>
        <v>0</v>
      </c>
      <c r="K185" s="212" t="s">
        <v>215</v>
      </c>
      <c r="Z185" s="5">
        <f>IF(AQ185="5",BJ185,0)</f>
        <v>0</v>
      </c>
      <c r="AB185" s="5">
        <f>IF(AQ185="1",BH185,0)</f>
        <v>0</v>
      </c>
      <c r="AC185" s="5">
        <f>IF(AQ185="1",BI185,0)</f>
        <v>0</v>
      </c>
      <c r="AD185" s="5">
        <f>IF(AQ185="7",BH185,0)</f>
        <v>0</v>
      </c>
      <c r="AE185" s="5">
        <f>IF(AQ185="7",BI185,0)</f>
        <v>0</v>
      </c>
      <c r="AF185" s="5">
        <f>IF(AQ185="2",BH185,0)</f>
        <v>0</v>
      </c>
      <c r="AG185" s="5">
        <f>IF(AQ185="2",BI185,0)</f>
        <v>0</v>
      </c>
      <c r="AH185" s="5">
        <f>IF(AQ185="0",BJ185,0)</f>
        <v>0</v>
      </c>
      <c r="AI185" s="3" t="s">
        <v>176</v>
      </c>
      <c r="AJ185" s="9">
        <f>IF(AN185=0,J185,0)</f>
        <v>0</v>
      </c>
      <c r="AK185" s="9">
        <f>IF(AN185=12,J185,0)</f>
        <v>0</v>
      </c>
      <c r="AL185" s="9">
        <f>IF(AN185=21,J185,0)</f>
        <v>0</v>
      </c>
      <c r="AN185" s="5">
        <v>21</v>
      </c>
      <c r="AO185" s="5">
        <f>G185*1</f>
        <v>0</v>
      </c>
      <c r="AP185" s="5">
        <f>G185*(1-1)</f>
        <v>0</v>
      </c>
      <c r="AQ185" s="10" t="s">
        <v>105</v>
      </c>
      <c r="AV185" s="5">
        <f>AW185+AX185</f>
        <v>0</v>
      </c>
      <c r="AW185" s="5">
        <f>F185*AO185</f>
        <v>0</v>
      </c>
      <c r="AX185" s="5">
        <f>F185*AP185</f>
        <v>0</v>
      </c>
      <c r="AY185" s="6" t="s">
        <v>242</v>
      </c>
      <c r="AZ185" s="6" t="s">
        <v>181</v>
      </c>
      <c r="BA185" s="3" t="s">
        <v>182</v>
      </c>
      <c r="BC185" s="5">
        <f>AW185+AX185</f>
        <v>0</v>
      </c>
      <c r="BD185" s="5">
        <f>G185/(100-BE185)*100</f>
        <v>0</v>
      </c>
      <c r="BE185" s="5">
        <v>0</v>
      </c>
      <c r="BF185" s="5">
        <f>185</f>
        <v>185</v>
      </c>
      <c r="BH185" s="9">
        <f>F185*AO185</f>
        <v>0</v>
      </c>
      <c r="BI185" s="9">
        <f>F185*AP185</f>
        <v>0</v>
      </c>
      <c r="BJ185" s="9">
        <f>F185*G185</f>
        <v>0</v>
      </c>
      <c r="BK185" s="9"/>
      <c r="BL185" s="5">
        <v>764</v>
      </c>
      <c r="BW185" s="5">
        <v>21</v>
      </c>
      <c r="BX185" s="8" t="s">
        <v>367</v>
      </c>
    </row>
    <row r="186" spans="1:76" x14ac:dyDescent="0.25">
      <c r="A186" s="181"/>
      <c r="B186" s="182"/>
      <c r="C186" s="183" t="s">
        <v>368</v>
      </c>
      <c r="D186" s="184" t="s">
        <v>364</v>
      </c>
      <c r="E186" s="182"/>
      <c r="F186" s="185">
        <v>1.5</v>
      </c>
      <c r="G186" s="182"/>
      <c r="H186" s="182"/>
      <c r="I186" s="182"/>
      <c r="J186" s="182"/>
      <c r="K186" s="186"/>
    </row>
    <row r="187" spans="1:76" x14ac:dyDescent="0.25">
      <c r="A187" s="219" t="s">
        <v>369</v>
      </c>
      <c r="B187" s="220" t="s">
        <v>370</v>
      </c>
      <c r="C187" s="221" t="s">
        <v>371</v>
      </c>
      <c r="D187" s="222"/>
      <c r="E187" s="220" t="s">
        <v>372</v>
      </c>
      <c r="F187" s="223">
        <v>20620</v>
      </c>
      <c r="G187" s="223">
        <v>0</v>
      </c>
      <c r="H187" s="223">
        <f>F187*AO187</f>
        <v>0</v>
      </c>
      <c r="I187" s="223">
        <f>F187*AP187</f>
        <v>0</v>
      </c>
      <c r="J187" s="223">
        <f>F187*G187</f>
        <v>0</v>
      </c>
      <c r="K187" s="224" t="s">
        <v>70</v>
      </c>
      <c r="Z187" s="5">
        <f>IF(AQ187="5",BJ187,0)</f>
        <v>0</v>
      </c>
      <c r="AB187" s="5">
        <f>IF(AQ187="1",BH187,0)</f>
        <v>0</v>
      </c>
      <c r="AC187" s="5">
        <f>IF(AQ187="1",BI187,0)</f>
        <v>0</v>
      </c>
      <c r="AD187" s="5">
        <f>IF(AQ187="7",BH187,0)</f>
        <v>0</v>
      </c>
      <c r="AE187" s="5">
        <f>IF(AQ187="7",BI187,0)</f>
        <v>0</v>
      </c>
      <c r="AF187" s="5">
        <f>IF(AQ187="2",BH187,0)</f>
        <v>0</v>
      </c>
      <c r="AG187" s="5">
        <f>IF(AQ187="2",BI187,0)</f>
        <v>0</v>
      </c>
      <c r="AH187" s="5">
        <f>IF(AQ187="0",BJ187,0)</f>
        <v>0</v>
      </c>
      <c r="AI187" s="3" t="s">
        <v>176</v>
      </c>
      <c r="AJ187" s="5">
        <f>IF(AN187=0,J187,0)</f>
        <v>0</v>
      </c>
      <c r="AK187" s="5">
        <f>IF(AN187=12,J187,0)</f>
        <v>0</v>
      </c>
      <c r="AL187" s="5">
        <f>IF(AN187=21,J187,0)</f>
        <v>0</v>
      </c>
      <c r="AN187" s="5">
        <v>21</v>
      </c>
      <c r="AO187" s="5">
        <f>G187*0</f>
        <v>0</v>
      </c>
      <c r="AP187" s="5">
        <f>G187*(1-0)</f>
        <v>0</v>
      </c>
      <c r="AQ187" s="6" t="s">
        <v>96</v>
      </c>
      <c r="AV187" s="5">
        <f>AW187+AX187</f>
        <v>0</v>
      </c>
      <c r="AW187" s="5">
        <f>F187*AO187</f>
        <v>0</v>
      </c>
      <c r="AX187" s="5">
        <f>F187*AP187</f>
        <v>0</v>
      </c>
      <c r="AY187" s="6" t="s">
        <v>242</v>
      </c>
      <c r="AZ187" s="6" t="s">
        <v>181</v>
      </c>
      <c r="BA187" s="3" t="s">
        <v>182</v>
      </c>
      <c r="BC187" s="5">
        <f>AW187+AX187</f>
        <v>0</v>
      </c>
      <c r="BD187" s="5">
        <f>G187/(100-BE187)*100</f>
        <v>0</v>
      </c>
      <c r="BE187" s="5">
        <v>0</v>
      </c>
      <c r="BF187" s="5">
        <f>187</f>
        <v>187</v>
      </c>
      <c r="BH187" s="5">
        <f>F187*AO187</f>
        <v>0</v>
      </c>
      <c r="BI187" s="5">
        <f>F187*AP187</f>
        <v>0</v>
      </c>
      <c r="BJ187" s="5">
        <f>F187*G187</f>
        <v>0</v>
      </c>
      <c r="BK187" s="5"/>
      <c r="BL187" s="5">
        <v>764</v>
      </c>
      <c r="BW187" s="5">
        <v>21</v>
      </c>
      <c r="BX187" s="2" t="s">
        <v>371</v>
      </c>
    </row>
    <row r="188" spans="1:76" x14ac:dyDescent="0.25">
      <c r="A188" s="154"/>
      <c r="B188" s="155"/>
      <c r="C188" s="159" t="s">
        <v>373</v>
      </c>
      <c r="D188" s="160" t="s">
        <v>52</v>
      </c>
      <c r="E188" s="155"/>
      <c r="F188" s="161">
        <v>20620</v>
      </c>
      <c r="G188" s="155"/>
      <c r="H188" s="155"/>
      <c r="I188" s="155"/>
      <c r="J188" s="155"/>
      <c r="K188" s="162"/>
    </row>
    <row r="189" spans="1:76" x14ac:dyDescent="0.25">
      <c r="A189" s="146" t="s">
        <v>52</v>
      </c>
      <c r="B189" s="147" t="s">
        <v>374</v>
      </c>
      <c r="C189" s="148" t="s">
        <v>375</v>
      </c>
      <c r="D189" s="113"/>
      <c r="E189" s="149" t="s">
        <v>33</v>
      </c>
      <c r="F189" s="149" t="s">
        <v>33</v>
      </c>
      <c r="G189" s="149" t="s">
        <v>33</v>
      </c>
      <c r="H189" s="150">
        <f>SUM(H190:H202)</f>
        <v>0</v>
      </c>
      <c r="I189" s="150">
        <f>SUM(I190:I202)</f>
        <v>0</v>
      </c>
      <c r="J189" s="150">
        <f>SUM(J190:J202)</f>
        <v>0</v>
      </c>
      <c r="K189" s="151" t="s">
        <v>52</v>
      </c>
      <c r="AI189" s="3" t="s">
        <v>176</v>
      </c>
      <c r="AS189" s="1">
        <f>SUM(AJ190:AJ202)</f>
        <v>0</v>
      </c>
      <c r="AT189" s="1">
        <f>SUM(AK190:AK202)</f>
        <v>0</v>
      </c>
      <c r="AU189" s="1">
        <f>SUM(AL190:AL202)</f>
        <v>0</v>
      </c>
    </row>
    <row r="190" spans="1:76" x14ac:dyDescent="0.25">
      <c r="A190" s="146" t="s">
        <v>376</v>
      </c>
      <c r="B190" s="149" t="s">
        <v>377</v>
      </c>
      <c r="C190" s="116" t="s">
        <v>378</v>
      </c>
      <c r="D190" s="112"/>
      <c r="E190" s="149" t="s">
        <v>69</v>
      </c>
      <c r="F190" s="152">
        <v>588.79999999999995</v>
      </c>
      <c r="G190" s="152">
        <v>0</v>
      </c>
      <c r="H190" s="152">
        <f>F190*AO190</f>
        <v>0</v>
      </c>
      <c r="I190" s="152">
        <f>F190*AP190</f>
        <v>0</v>
      </c>
      <c r="J190" s="152">
        <f>F190*G190</f>
        <v>0</v>
      </c>
      <c r="K190" s="153" t="s">
        <v>70</v>
      </c>
      <c r="Z190" s="5">
        <f>IF(AQ190="5",BJ190,0)</f>
        <v>0</v>
      </c>
      <c r="AB190" s="5">
        <f>IF(AQ190="1",BH190,0)</f>
        <v>0</v>
      </c>
      <c r="AC190" s="5">
        <f>IF(AQ190="1",BI190,0)</f>
        <v>0</v>
      </c>
      <c r="AD190" s="5">
        <f>IF(AQ190="7",BH190,0)</f>
        <v>0</v>
      </c>
      <c r="AE190" s="5">
        <f>IF(AQ190="7",BI190,0)</f>
        <v>0</v>
      </c>
      <c r="AF190" s="5">
        <f>IF(AQ190="2",BH190,0)</f>
        <v>0</v>
      </c>
      <c r="AG190" s="5">
        <f>IF(AQ190="2",BI190,0)</f>
        <v>0</v>
      </c>
      <c r="AH190" s="5">
        <f>IF(AQ190="0",BJ190,0)</f>
        <v>0</v>
      </c>
      <c r="AI190" s="3" t="s">
        <v>176</v>
      </c>
      <c r="AJ190" s="5">
        <f>IF(AN190=0,J190,0)</f>
        <v>0</v>
      </c>
      <c r="AK190" s="5">
        <f>IF(AN190=12,J190,0)</f>
        <v>0</v>
      </c>
      <c r="AL190" s="5">
        <f>IF(AN190=21,J190,0)</f>
        <v>0</v>
      </c>
      <c r="AN190" s="5">
        <v>21</v>
      </c>
      <c r="AO190" s="5">
        <f>G190*0</f>
        <v>0</v>
      </c>
      <c r="AP190" s="5">
        <f>G190*(1-0)</f>
        <v>0</v>
      </c>
      <c r="AQ190" s="6" t="s">
        <v>105</v>
      </c>
      <c r="AV190" s="5">
        <f>AW190+AX190</f>
        <v>0</v>
      </c>
      <c r="AW190" s="5">
        <f>F190*AO190</f>
        <v>0</v>
      </c>
      <c r="AX190" s="5">
        <f>F190*AP190</f>
        <v>0</v>
      </c>
      <c r="AY190" s="6" t="s">
        <v>379</v>
      </c>
      <c r="AZ190" s="6" t="s">
        <v>181</v>
      </c>
      <c r="BA190" s="3" t="s">
        <v>182</v>
      </c>
      <c r="BC190" s="5">
        <f>AW190+AX190</f>
        <v>0</v>
      </c>
      <c r="BD190" s="5">
        <f>G190/(100-BE190)*100</f>
        <v>0</v>
      </c>
      <c r="BE190" s="5">
        <v>0</v>
      </c>
      <c r="BF190" s="5">
        <f>190</f>
        <v>190</v>
      </c>
      <c r="BH190" s="5">
        <f>F190*AO190</f>
        <v>0</v>
      </c>
      <c r="BI190" s="5">
        <f>F190*AP190</f>
        <v>0</v>
      </c>
      <c r="BJ190" s="5">
        <f>F190*G190</f>
        <v>0</v>
      </c>
      <c r="BK190" s="5"/>
      <c r="BL190" s="5">
        <v>765</v>
      </c>
      <c r="BW190" s="5">
        <v>21</v>
      </c>
      <c r="BX190" s="2" t="s">
        <v>378</v>
      </c>
    </row>
    <row r="191" spans="1:76" ht="13.5" customHeight="1" x14ac:dyDescent="0.25">
      <c r="A191" s="154"/>
      <c r="B191" s="155"/>
      <c r="C191" s="156" t="s">
        <v>380</v>
      </c>
      <c r="D191" s="157"/>
      <c r="E191" s="157"/>
      <c r="F191" s="157"/>
      <c r="G191" s="157"/>
      <c r="H191" s="157"/>
      <c r="I191" s="157"/>
      <c r="J191" s="157"/>
      <c r="K191" s="158"/>
    </row>
    <row r="192" spans="1:76" x14ac:dyDescent="0.25">
      <c r="A192" s="170"/>
      <c r="B192" s="155"/>
      <c r="C192" s="171" t="s">
        <v>264</v>
      </c>
      <c r="D192" s="172" t="s">
        <v>381</v>
      </c>
      <c r="E192" s="155"/>
      <c r="F192" s="173">
        <v>588.79999999999995</v>
      </c>
      <c r="G192" s="155"/>
      <c r="H192" s="155"/>
      <c r="I192" s="155"/>
      <c r="J192" s="155"/>
      <c r="K192" s="174"/>
    </row>
    <row r="193" spans="1:76" x14ac:dyDescent="0.25">
      <c r="A193" s="175" t="s">
        <v>382</v>
      </c>
      <c r="B193" s="176" t="s">
        <v>383</v>
      </c>
      <c r="C193" s="177" t="s">
        <v>384</v>
      </c>
      <c r="D193" s="178"/>
      <c r="E193" s="176" t="s">
        <v>197</v>
      </c>
      <c r="F193" s="179">
        <v>171.47</v>
      </c>
      <c r="G193" s="179">
        <v>0</v>
      </c>
      <c r="H193" s="179">
        <f>F193*AO193</f>
        <v>0</v>
      </c>
      <c r="I193" s="179">
        <f>F193*AP193</f>
        <v>0</v>
      </c>
      <c r="J193" s="179">
        <f>F193*G193</f>
        <v>0</v>
      </c>
      <c r="K193" s="180" t="s">
        <v>70</v>
      </c>
      <c r="Z193" s="5">
        <f>IF(AQ193="5",BJ193,0)</f>
        <v>0</v>
      </c>
      <c r="AB193" s="5">
        <f>IF(AQ193="1",BH193,0)</f>
        <v>0</v>
      </c>
      <c r="AC193" s="5">
        <f>IF(AQ193="1",BI193,0)</f>
        <v>0</v>
      </c>
      <c r="AD193" s="5">
        <f>IF(AQ193="7",BH193,0)</f>
        <v>0</v>
      </c>
      <c r="AE193" s="5">
        <f>IF(AQ193="7",BI193,0)</f>
        <v>0</v>
      </c>
      <c r="AF193" s="5">
        <f>IF(AQ193="2",BH193,0)</f>
        <v>0</v>
      </c>
      <c r="AG193" s="5">
        <f>IF(AQ193="2",BI193,0)</f>
        <v>0</v>
      </c>
      <c r="AH193" s="5">
        <f>IF(AQ193="0",BJ193,0)</f>
        <v>0</v>
      </c>
      <c r="AI193" s="3" t="s">
        <v>176</v>
      </c>
      <c r="AJ193" s="5">
        <f>IF(AN193=0,J193,0)</f>
        <v>0</v>
      </c>
      <c r="AK193" s="5">
        <f>IF(AN193=12,J193,0)</f>
        <v>0</v>
      </c>
      <c r="AL193" s="5">
        <f>IF(AN193=21,J193,0)</f>
        <v>0</v>
      </c>
      <c r="AN193" s="5">
        <v>21</v>
      </c>
      <c r="AO193" s="5">
        <f>G193*0.306990291</f>
        <v>0</v>
      </c>
      <c r="AP193" s="5">
        <f>G193*(1-0.306990291)</f>
        <v>0</v>
      </c>
      <c r="AQ193" s="6" t="s">
        <v>105</v>
      </c>
      <c r="AV193" s="5">
        <f>AW193+AX193</f>
        <v>0</v>
      </c>
      <c r="AW193" s="5">
        <f>F193*AO193</f>
        <v>0</v>
      </c>
      <c r="AX193" s="5">
        <f>F193*AP193</f>
        <v>0</v>
      </c>
      <c r="AY193" s="6" t="s">
        <v>379</v>
      </c>
      <c r="AZ193" s="6" t="s">
        <v>181</v>
      </c>
      <c r="BA193" s="3" t="s">
        <v>182</v>
      </c>
      <c r="BC193" s="5">
        <f>AW193+AX193</f>
        <v>0</v>
      </c>
      <c r="BD193" s="5">
        <f>G193/(100-BE193)*100</f>
        <v>0</v>
      </c>
      <c r="BE193" s="5">
        <v>0</v>
      </c>
      <c r="BF193" s="5">
        <f>193</f>
        <v>193</v>
      </c>
      <c r="BH193" s="5">
        <f>F193*AO193</f>
        <v>0</v>
      </c>
      <c r="BI193" s="5">
        <f>F193*AP193</f>
        <v>0</v>
      </c>
      <c r="BJ193" s="5">
        <f>F193*G193</f>
        <v>0</v>
      </c>
      <c r="BK193" s="5"/>
      <c r="BL193" s="5">
        <v>765</v>
      </c>
      <c r="BW193" s="5">
        <v>21</v>
      </c>
      <c r="BX193" s="2" t="s">
        <v>384</v>
      </c>
    </row>
    <row r="194" spans="1:76" x14ac:dyDescent="0.25">
      <c r="A194" s="181"/>
      <c r="B194" s="182"/>
      <c r="C194" s="183" t="s">
        <v>278</v>
      </c>
      <c r="D194" s="184" t="s">
        <v>385</v>
      </c>
      <c r="E194" s="182"/>
      <c r="F194" s="185">
        <v>98.87</v>
      </c>
      <c r="G194" s="182"/>
      <c r="H194" s="182"/>
      <c r="I194" s="182"/>
      <c r="J194" s="182"/>
      <c r="K194" s="186"/>
    </row>
    <row r="195" spans="1:76" x14ac:dyDescent="0.25">
      <c r="A195" s="181"/>
      <c r="B195" s="182"/>
      <c r="C195" s="183" t="s">
        <v>386</v>
      </c>
      <c r="D195" s="184" t="s">
        <v>387</v>
      </c>
      <c r="E195" s="182"/>
      <c r="F195" s="185">
        <v>66.8</v>
      </c>
      <c r="G195" s="182"/>
      <c r="H195" s="182"/>
      <c r="I195" s="182"/>
      <c r="J195" s="182"/>
      <c r="K195" s="186"/>
    </row>
    <row r="196" spans="1:76" x14ac:dyDescent="0.25">
      <c r="A196" s="181"/>
      <c r="B196" s="182"/>
      <c r="C196" s="183" t="s">
        <v>388</v>
      </c>
      <c r="D196" s="184" t="s">
        <v>389</v>
      </c>
      <c r="E196" s="182"/>
      <c r="F196" s="185">
        <v>5.8</v>
      </c>
      <c r="G196" s="182"/>
      <c r="H196" s="182"/>
      <c r="I196" s="182"/>
      <c r="J196" s="182"/>
      <c r="K196" s="186"/>
    </row>
    <row r="197" spans="1:76" x14ac:dyDescent="0.25">
      <c r="A197" s="207" t="s">
        <v>390</v>
      </c>
      <c r="B197" s="208" t="s">
        <v>391</v>
      </c>
      <c r="C197" s="209" t="s">
        <v>392</v>
      </c>
      <c r="D197" s="210"/>
      <c r="E197" s="208" t="s">
        <v>197</v>
      </c>
      <c r="F197" s="211">
        <v>188.61699999999999</v>
      </c>
      <c r="G197" s="211">
        <v>0</v>
      </c>
      <c r="H197" s="211">
        <f>F197*AO197</f>
        <v>0</v>
      </c>
      <c r="I197" s="211">
        <f>F197*AP197</f>
        <v>0</v>
      </c>
      <c r="J197" s="211">
        <f>F197*G197</f>
        <v>0</v>
      </c>
      <c r="K197" s="212" t="s">
        <v>215</v>
      </c>
      <c r="Z197" s="5">
        <f>IF(AQ197="5",BJ197,0)</f>
        <v>0</v>
      </c>
      <c r="AB197" s="5">
        <f>IF(AQ197="1",BH197,0)</f>
        <v>0</v>
      </c>
      <c r="AC197" s="5">
        <f>IF(AQ197="1",BI197,0)</f>
        <v>0</v>
      </c>
      <c r="AD197" s="5">
        <f>IF(AQ197="7",BH197,0)</f>
        <v>0</v>
      </c>
      <c r="AE197" s="5">
        <f>IF(AQ197="7",BI197,0)</f>
        <v>0</v>
      </c>
      <c r="AF197" s="5">
        <f>IF(AQ197="2",BH197,0)</f>
        <v>0</v>
      </c>
      <c r="AG197" s="5">
        <f>IF(AQ197="2",BI197,0)</f>
        <v>0</v>
      </c>
      <c r="AH197" s="5">
        <f>IF(AQ197="0",BJ197,0)</f>
        <v>0</v>
      </c>
      <c r="AI197" s="3" t="s">
        <v>176</v>
      </c>
      <c r="AJ197" s="9">
        <f>IF(AN197=0,J197,0)</f>
        <v>0</v>
      </c>
      <c r="AK197" s="9">
        <f>IF(AN197=12,J197,0)</f>
        <v>0</v>
      </c>
      <c r="AL197" s="9">
        <f>IF(AN197=21,J197,0)</f>
        <v>0</v>
      </c>
      <c r="AN197" s="5">
        <v>21</v>
      </c>
      <c r="AO197" s="5">
        <f>G197*1</f>
        <v>0</v>
      </c>
      <c r="AP197" s="5">
        <f>G197*(1-1)</f>
        <v>0</v>
      </c>
      <c r="AQ197" s="10" t="s">
        <v>105</v>
      </c>
      <c r="AV197" s="5">
        <f>AW197+AX197</f>
        <v>0</v>
      </c>
      <c r="AW197" s="5">
        <f>F197*AO197</f>
        <v>0</v>
      </c>
      <c r="AX197" s="5">
        <f>F197*AP197</f>
        <v>0</v>
      </c>
      <c r="AY197" s="6" t="s">
        <v>379</v>
      </c>
      <c r="AZ197" s="6" t="s">
        <v>181</v>
      </c>
      <c r="BA197" s="3" t="s">
        <v>182</v>
      </c>
      <c r="BC197" s="5">
        <f>AW197+AX197</f>
        <v>0</v>
      </c>
      <c r="BD197" s="5">
        <f>G197/(100-BE197)*100</f>
        <v>0</v>
      </c>
      <c r="BE197" s="5">
        <v>0</v>
      </c>
      <c r="BF197" s="5">
        <f>197</f>
        <v>197</v>
      </c>
      <c r="BH197" s="9">
        <f>F197*AO197</f>
        <v>0</v>
      </c>
      <c r="BI197" s="9">
        <f>F197*AP197</f>
        <v>0</v>
      </c>
      <c r="BJ197" s="9">
        <f>F197*G197</f>
        <v>0</v>
      </c>
      <c r="BK197" s="9"/>
      <c r="BL197" s="5">
        <v>765</v>
      </c>
      <c r="BW197" s="5">
        <v>21</v>
      </c>
      <c r="BX197" s="8" t="s">
        <v>392</v>
      </c>
    </row>
    <row r="198" spans="1:76" x14ac:dyDescent="0.25">
      <c r="A198" s="181"/>
      <c r="B198" s="182"/>
      <c r="C198" s="183" t="s">
        <v>278</v>
      </c>
      <c r="D198" s="184" t="s">
        <v>385</v>
      </c>
      <c r="E198" s="182"/>
      <c r="F198" s="185">
        <v>98.87</v>
      </c>
      <c r="G198" s="182"/>
      <c r="H198" s="182"/>
      <c r="I198" s="182"/>
      <c r="J198" s="182"/>
      <c r="K198" s="186"/>
    </row>
    <row r="199" spans="1:76" x14ac:dyDescent="0.25">
      <c r="A199" s="181"/>
      <c r="B199" s="182"/>
      <c r="C199" s="183" t="s">
        <v>386</v>
      </c>
      <c r="D199" s="184" t="s">
        <v>387</v>
      </c>
      <c r="E199" s="182"/>
      <c r="F199" s="185">
        <v>66.8</v>
      </c>
      <c r="G199" s="182"/>
      <c r="H199" s="182"/>
      <c r="I199" s="182"/>
      <c r="J199" s="182"/>
      <c r="K199" s="186"/>
    </row>
    <row r="200" spans="1:76" x14ac:dyDescent="0.25">
      <c r="A200" s="181"/>
      <c r="B200" s="182"/>
      <c r="C200" s="183" t="s">
        <v>388</v>
      </c>
      <c r="D200" s="184" t="s">
        <v>389</v>
      </c>
      <c r="E200" s="182"/>
      <c r="F200" s="185">
        <v>5.8</v>
      </c>
      <c r="G200" s="182"/>
      <c r="H200" s="182"/>
      <c r="I200" s="182"/>
      <c r="J200" s="182"/>
      <c r="K200" s="186"/>
    </row>
    <row r="201" spans="1:76" x14ac:dyDescent="0.25">
      <c r="A201" s="181"/>
      <c r="B201" s="182"/>
      <c r="C201" s="183" t="s">
        <v>393</v>
      </c>
      <c r="D201" s="184" t="s">
        <v>52</v>
      </c>
      <c r="E201" s="182"/>
      <c r="F201" s="185">
        <v>17.146999999999998</v>
      </c>
      <c r="G201" s="182"/>
      <c r="H201" s="182"/>
      <c r="I201" s="182"/>
      <c r="J201" s="182"/>
      <c r="K201" s="186"/>
    </row>
    <row r="202" spans="1:76" x14ac:dyDescent="0.25">
      <c r="A202" s="219" t="s">
        <v>394</v>
      </c>
      <c r="B202" s="220" t="s">
        <v>395</v>
      </c>
      <c r="C202" s="221" t="s">
        <v>396</v>
      </c>
      <c r="D202" s="222"/>
      <c r="E202" s="220" t="s">
        <v>372</v>
      </c>
      <c r="F202" s="223">
        <v>2300</v>
      </c>
      <c r="G202" s="223">
        <v>0</v>
      </c>
      <c r="H202" s="223">
        <f>F202*AO202</f>
        <v>0</v>
      </c>
      <c r="I202" s="223">
        <f>F202*AP202</f>
        <v>0</v>
      </c>
      <c r="J202" s="223">
        <f>F202*G202</f>
        <v>0</v>
      </c>
      <c r="K202" s="224" t="s">
        <v>70</v>
      </c>
      <c r="Z202" s="5">
        <f>IF(AQ202="5",BJ202,0)</f>
        <v>0</v>
      </c>
      <c r="AB202" s="5">
        <f>IF(AQ202="1",BH202,0)</f>
        <v>0</v>
      </c>
      <c r="AC202" s="5">
        <f>IF(AQ202="1",BI202,0)</f>
        <v>0</v>
      </c>
      <c r="AD202" s="5">
        <f>IF(AQ202="7",BH202,0)</f>
        <v>0</v>
      </c>
      <c r="AE202" s="5">
        <f>IF(AQ202="7",BI202,0)</f>
        <v>0</v>
      </c>
      <c r="AF202" s="5">
        <f>IF(AQ202="2",BH202,0)</f>
        <v>0</v>
      </c>
      <c r="AG202" s="5">
        <f>IF(AQ202="2",BI202,0)</f>
        <v>0</v>
      </c>
      <c r="AH202" s="5">
        <f>IF(AQ202="0",BJ202,0)</f>
        <v>0</v>
      </c>
      <c r="AI202" s="3" t="s">
        <v>176</v>
      </c>
      <c r="AJ202" s="5">
        <f>IF(AN202=0,J202,0)</f>
        <v>0</v>
      </c>
      <c r="AK202" s="5">
        <f>IF(AN202=12,J202,0)</f>
        <v>0</v>
      </c>
      <c r="AL202" s="5">
        <f>IF(AN202=21,J202,0)</f>
        <v>0</v>
      </c>
      <c r="AN202" s="5">
        <v>21</v>
      </c>
      <c r="AO202" s="5">
        <f>G202*0</f>
        <v>0</v>
      </c>
      <c r="AP202" s="5">
        <f>G202*(1-0)</f>
        <v>0</v>
      </c>
      <c r="AQ202" s="6" t="s">
        <v>96</v>
      </c>
      <c r="AV202" s="5">
        <f>AW202+AX202</f>
        <v>0</v>
      </c>
      <c r="AW202" s="5">
        <f>F202*AO202</f>
        <v>0</v>
      </c>
      <c r="AX202" s="5">
        <f>F202*AP202</f>
        <v>0</v>
      </c>
      <c r="AY202" s="6" t="s">
        <v>379</v>
      </c>
      <c r="AZ202" s="6" t="s">
        <v>181</v>
      </c>
      <c r="BA202" s="3" t="s">
        <v>182</v>
      </c>
      <c r="BC202" s="5">
        <f>AW202+AX202</f>
        <v>0</v>
      </c>
      <c r="BD202" s="5">
        <f>G202/(100-BE202)*100</f>
        <v>0</v>
      </c>
      <c r="BE202" s="5">
        <v>0</v>
      </c>
      <c r="BF202" s="5">
        <f>202</f>
        <v>202</v>
      </c>
      <c r="BH202" s="5">
        <f>F202*AO202</f>
        <v>0</v>
      </c>
      <c r="BI202" s="5">
        <f>F202*AP202</f>
        <v>0</v>
      </c>
      <c r="BJ202" s="5">
        <f>F202*G202</f>
        <v>0</v>
      </c>
      <c r="BK202" s="5"/>
      <c r="BL202" s="5">
        <v>765</v>
      </c>
      <c r="BW202" s="5">
        <v>21</v>
      </c>
      <c r="BX202" s="2" t="s">
        <v>396</v>
      </c>
    </row>
    <row r="203" spans="1:76" x14ac:dyDescent="0.25">
      <c r="A203" s="154"/>
      <c r="B203" s="155"/>
      <c r="C203" s="159" t="s">
        <v>397</v>
      </c>
      <c r="D203" s="160" t="s">
        <v>52</v>
      </c>
      <c r="E203" s="155"/>
      <c r="F203" s="161">
        <v>2300</v>
      </c>
      <c r="G203" s="155"/>
      <c r="H203" s="155"/>
      <c r="I203" s="155"/>
      <c r="J203" s="155"/>
      <c r="K203" s="162"/>
    </row>
    <row r="204" spans="1:76" x14ac:dyDescent="0.25">
      <c r="A204" s="146" t="s">
        <v>52</v>
      </c>
      <c r="B204" s="147" t="s">
        <v>52</v>
      </c>
      <c r="C204" s="148" t="s">
        <v>398</v>
      </c>
      <c r="D204" s="113"/>
      <c r="E204" s="149" t="s">
        <v>33</v>
      </c>
      <c r="F204" s="149" t="s">
        <v>33</v>
      </c>
      <c r="G204" s="149" t="s">
        <v>33</v>
      </c>
      <c r="H204" s="150">
        <f>H205+H229+H301+H390+H418+H422+H435+H438</f>
        <v>0</v>
      </c>
      <c r="I204" s="150">
        <f>I205+I229+I301+I390+I418+I422+I435+I438</f>
        <v>0</v>
      </c>
      <c r="J204" s="150">
        <f>J205+J229+J301+J390+J418+J422+J435+J438</f>
        <v>0</v>
      </c>
      <c r="K204" s="151" t="s">
        <v>52</v>
      </c>
    </row>
    <row r="205" spans="1:76" x14ac:dyDescent="0.25">
      <c r="A205" s="225" t="s">
        <v>52</v>
      </c>
      <c r="B205" s="226" t="s">
        <v>399</v>
      </c>
      <c r="C205" s="227" t="s">
        <v>400</v>
      </c>
      <c r="D205" s="228"/>
      <c r="E205" s="229" t="s">
        <v>33</v>
      </c>
      <c r="F205" s="229" t="s">
        <v>33</v>
      </c>
      <c r="G205" s="229" t="s">
        <v>33</v>
      </c>
      <c r="H205" s="230">
        <f>SUM(H206:H227)</f>
        <v>0</v>
      </c>
      <c r="I205" s="230">
        <f>SUM(I206:I227)</f>
        <v>0</v>
      </c>
      <c r="J205" s="230">
        <f>SUM(J206:J227)</f>
        <v>0</v>
      </c>
      <c r="K205" s="231" t="s">
        <v>52</v>
      </c>
      <c r="AI205" s="3" t="s">
        <v>401</v>
      </c>
      <c r="AS205" s="1">
        <f>SUM(AJ206:AJ227)</f>
        <v>0</v>
      </c>
      <c r="AT205" s="1">
        <f>SUM(AK206:AK227)</f>
        <v>0</v>
      </c>
      <c r="AU205" s="1">
        <f>SUM(AL206:AL227)</f>
        <v>0</v>
      </c>
    </row>
    <row r="206" spans="1:76" ht="25.5" x14ac:dyDescent="0.25">
      <c r="A206" s="175" t="s">
        <v>402</v>
      </c>
      <c r="B206" s="176" t="s">
        <v>403</v>
      </c>
      <c r="C206" s="177" t="s">
        <v>404</v>
      </c>
      <c r="D206" s="178"/>
      <c r="E206" s="176" t="s">
        <v>69</v>
      </c>
      <c r="F206" s="179">
        <v>619.23479999999995</v>
      </c>
      <c r="G206" s="179">
        <v>0</v>
      </c>
      <c r="H206" s="179">
        <f>F206*AO206</f>
        <v>0</v>
      </c>
      <c r="I206" s="179">
        <f>F206*AP206</f>
        <v>0</v>
      </c>
      <c r="J206" s="179">
        <f>F206*G206</f>
        <v>0</v>
      </c>
      <c r="K206" s="180" t="s">
        <v>70</v>
      </c>
      <c r="Z206" s="5">
        <f>IF(AQ206="5",BJ206,0)</f>
        <v>0</v>
      </c>
      <c r="AB206" s="5">
        <f>IF(AQ206="1",BH206,0)</f>
        <v>0</v>
      </c>
      <c r="AC206" s="5">
        <f>IF(AQ206="1",BI206,0)</f>
        <v>0</v>
      </c>
      <c r="AD206" s="5">
        <f>IF(AQ206="7",BH206,0)</f>
        <v>0</v>
      </c>
      <c r="AE206" s="5">
        <f>IF(AQ206="7",BI206,0)</f>
        <v>0</v>
      </c>
      <c r="AF206" s="5">
        <f>IF(AQ206="2",BH206,0)</f>
        <v>0</v>
      </c>
      <c r="AG206" s="5">
        <f>IF(AQ206="2",BI206,0)</f>
        <v>0</v>
      </c>
      <c r="AH206" s="5">
        <f>IF(AQ206="0",BJ206,0)</f>
        <v>0</v>
      </c>
      <c r="AI206" s="3" t="s">
        <v>401</v>
      </c>
      <c r="AJ206" s="5">
        <f>IF(AN206=0,J206,0)</f>
        <v>0</v>
      </c>
      <c r="AK206" s="5">
        <f>IF(AN206=12,J206,0)</f>
        <v>0</v>
      </c>
      <c r="AL206" s="5">
        <f>IF(AN206=21,J206,0)</f>
        <v>0</v>
      </c>
      <c r="AN206" s="5">
        <v>21</v>
      </c>
      <c r="AO206" s="5">
        <f>G206*0</f>
        <v>0</v>
      </c>
      <c r="AP206" s="5">
        <f>G206*(1-0)</f>
        <v>0</v>
      </c>
      <c r="AQ206" s="6" t="s">
        <v>105</v>
      </c>
      <c r="AV206" s="5">
        <f>AW206+AX206</f>
        <v>0</v>
      </c>
      <c r="AW206" s="5">
        <f>F206*AO206</f>
        <v>0</v>
      </c>
      <c r="AX206" s="5">
        <f>F206*AP206</f>
        <v>0</v>
      </c>
      <c r="AY206" s="6" t="s">
        <v>405</v>
      </c>
      <c r="AZ206" s="6" t="s">
        <v>406</v>
      </c>
      <c r="BA206" s="3" t="s">
        <v>407</v>
      </c>
      <c r="BC206" s="5">
        <f>AW206+AX206</f>
        <v>0</v>
      </c>
      <c r="BD206" s="5">
        <f>G206/(100-BE206)*100</f>
        <v>0</v>
      </c>
      <c r="BE206" s="5">
        <v>0</v>
      </c>
      <c r="BF206" s="5">
        <f>206</f>
        <v>206</v>
      </c>
      <c r="BH206" s="5">
        <f>F206*AO206</f>
        <v>0</v>
      </c>
      <c r="BI206" s="5">
        <f>F206*AP206</f>
        <v>0</v>
      </c>
      <c r="BJ206" s="5">
        <f>F206*G206</f>
        <v>0</v>
      </c>
      <c r="BK206" s="5"/>
      <c r="BL206" s="5">
        <v>713</v>
      </c>
      <c r="BW206" s="5">
        <v>21</v>
      </c>
      <c r="BX206" s="2" t="s">
        <v>404</v>
      </c>
    </row>
    <row r="207" spans="1:76" x14ac:dyDescent="0.25">
      <c r="A207" s="181"/>
      <c r="B207" s="182"/>
      <c r="C207" s="183" t="s">
        <v>408</v>
      </c>
      <c r="D207" s="184" t="s">
        <v>409</v>
      </c>
      <c r="E207" s="182"/>
      <c r="F207" s="185">
        <v>762.28679999999997</v>
      </c>
      <c r="G207" s="182"/>
      <c r="H207" s="182"/>
      <c r="I207" s="182"/>
      <c r="J207" s="182"/>
      <c r="K207" s="186"/>
    </row>
    <row r="208" spans="1:76" x14ac:dyDescent="0.25">
      <c r="A208" s="181"/>
      <c r="B208" s="182"/>
      <c r="C208" s="183" t="s">
        <v>410</v>
      </c>
      <c r="D208" s="184" t="s">
        <v>411</v>
      </c>
      <c r="E208" s="182"/>
      <c r="F208" s="185">
        <v>-143.05199999999999</v>
      </c>
      <c r="G208" s="182"/>
      <c r="H208" s="182"/>
      <c r="I208" s="182"/>
      <c r="J208" s="182"/>
      <c r="K208" s="186"/>
    </row>
    <row r="209" spans="1:76" x14ac:dyDescent="0.25">
      <c r="A209" s="213" t="s">
        <v>412</v>
      </c>
      <c r="B209" s="214" t="s">
        <v>413</v>
      </c>
      <c r="C209" s="215" t="s">
        <v>414</v>
      </c>
      <c r="D209" s="216"/>
      <c r="E209" s="214" t="s">
        <v>69</v>
      </c>
      <c r="F209" s="217">
        <v>762.28679999999997</v>
      </c>
      <c r="G209" s="217">
        <v>0</v>
      </c>
      <c r="H209" s="217">
        <f>F209*AO209</f>
        <v>0</v>
      </c>
      <c r="I209" s="217">
        <f>F209*AP209</f>
        <v>0</v>
      </c>
      <c r="J209" s="217">
        <f>F209*G209</f>
        <v>0</v>
      </c>
      <c r="K209" s="218" t="s">
        <v>70</v>
      </c>
      <c r="Z209" s="5">
        <f>IF(AQ209="5",BJ209,0)</f>
        <v>0</v>
      </c>
      <c r="AB209" s="5">
        <f>IF(AQ209="1",BH209,0)</f>
        <v>0</v>
      </c>
      <c r="AC209" s="5">
        <f>IF(AQ209="1",BI209,0)</f>
        <v>0</v>
      </c>
      <c r="AD209" s="5">
        <f>IF(AQ209="7",BH209,0)</f>
        <v>0</v>
      </c>
      <c r="AE209" s="5">
        <f>IF(AQ209="7",BI209,0)</f>
        <v>0</v>
      </c>
      <c r="AF209" s="5">
        <f>IF(AQ209="2",BH209,0)</f>
        <v>0</v>
      </c>
      <c r="AG209" s="5">
        <f>IF(AQ209="2",BI209,0)</f>
        <v>0</v>
      </c>
      <c r="AH209" s="5">
        <f>IF(AQ209="0",BJ209,0)</f>
        <v>0</v>
      </c>
      <c r="AI209" s="3" t="s">
        <v>401</v>
      </c>
      <c r="AJ209" s="5">
        <f>IF(AN209=0,J209,0)</f>
        <v>0</v>
      </c>
      <c r="AK209" s="5">
        <f>IF(AN209=12,J209,0)</f>
        <v>0</v>
      </c>
      <c r="AL209" s="5">
        <f>IF(AN209=21,J209,0)</f>
        <v>0</v>
      </c>
      <c r="AN209" s="5">
        <v>21</v>
      </c>
      <c r="AO209" s="5">
        <f>G209*0.055186722</f>
        <v>0</v>
      </c>
      <c r="AP209" s="5">
        <f>G209*(1-0.055186722)</f>
        <v>0</v>
      </c>
      <c r="AQ209" s="6" t="s">
        <v>105</v>
      </c>
      <c r="AV209" s="5">
        <f>AW209+AX209</f>
        <v>0</v>
      </c>
      <c r="AW209" s="5">
        <f>F209*AO209</f>
        <v>0</v>
      </c>
      <c r="AX209" s="5">
        <f>F209*AP209</f>
        <v>0</v>
      </c>
      <c r="AY209" s="6" t="s">
        <v>405</v>
      </c>
      <c r="AZ209" s="6" t="s">
        <v>406</v>
      </c>
      <c r="BA209" s="3" t="s">
        <v>407</v>
      </c>
      <c r="BC209" s="5">
        <f>AW209+AX209</f>
        <v>0</v>
      </c>
      <c r="BD209" s="5">
        <f>G209/(100-BE209)*100</f>
        <v>0</v>
      </c>
      <c r="BE209" s="5">
        <v>0</v>
      </c>
      <c r="BF209" s="5">
        <f>209</f>
        <v>209</v>
      </c>
      <c r="BH209" s="5">
        <f>F209*AO209</f>
        <v>0</v>
      </c>
      <c r="BI209" s="5">
        <f>F209*AP209</f>
        <v>0</v>
      </c>
      <c r="BJ209" s="5">
        <f>F209*G209</f>
        <v>0</v>
      </c>
      <c r="BK209" s="5"/>
      <c r="BL209" s="5">
        <v>713</v>
      </c>
      <c r="BW209" s="5">
        <v>21</v>
      </c>
      <c r="BX209" s="2" t="s">
        <v>414</v>
      </c>
    </row>
    <row r="210" spans="1:76" x14ac:dyDescent="0.25">
      <c r="A210" s="181"/>
      <c r="B210" s="182"/>
      <c r="C210" s="183" t="s">
        <v>408</v>
      </c>
      <c r="D210" s="184" t="s">
        <v>415</v>
      </c>
      <c r="E210" s="182"/>
      <c r="F210" s="185">
        <v>762.28679999999997</v>
      </c>
      <c r="G210" s="182"/>
      <c r="H210" s="182"/>
      <c r="I210" s="182"/>
      <c r="J210" s="182"/>
      <c r="K210" s="186"/>
    </row>
    <row r="211" spans="1:76" x14ac:dyDescent="0.25">
      <c r="A211" s="207" t="s">
        <v>416</v>
      </c>
      <c r="B211" s="208" t="s">
        <v>417</v>
      </c>
      <c r="C211" s="209" t="s">
        <v>418</v>
      </c>
      <c r="D211" s="210"/>
      <c r="E211" s="208" t="s">
        <v>69</v>
      </c>
      <c r="F211" s="211">
        <v>838.51548000000003</v>
      </c>
      <c r="G211" s="211">
        <v>0</v>
      </c>
      <c r="H211" s="211">
        <f>F211*AO211</f>
        <v>0</v>
      </c>
      <c r="I211" s="211">
        <f>F211*AP211</f>
        <v>0</v>
      </c>
      <c r="J211" s="211">
        <f>F211*G211</f>
        <v>0</v>
      </c>
      <c r="K211" s="212" t="s">
        <v>70</v>
      </c>
      <c r="Z211" s="5">
        <f>IF(AQ211="5",BJ211,0)</f>
        <v>0</v>
      </c>
      <c r="AB211" s="5">
        <f>IF(AQ211="1",BH211,0)</f>
        <v>0</v>
      </c>
      <c r="AC211" s="5">
        <f>IF(AQ211="1",BI211,0)</f>
        <v>0</v>
      </c>
      <c r="AD211" s="5">
        <f>IF(AQ211="7",BH211,0)</f>
        <v>0</v>
      </c>
      <c r="AE211" s="5">
        <f>IF(AQ211="7",BI211,0)</f>
        <v>0</v>
      </c>
      <c r="AF211" s="5">
        <f>IF(AQ211="2",BH211,0)</f>
        <v>0</v>
      </c>
      <c r="AG211" s="5">
        <f>IF(AQ211="2",BI211,0)</f>
        <v>0</v>
      </c>
      <c r="AH211" s="5">
        <f>IF(AQ211="0",BJ211,0)</f>
        <v>0</v>
      </c>
      <c r="AI211" s="3" t="s">
        <v>401</v>
      </c>
      <c r="AJ211" s="9">
        <f>IF(AN211=0,J211,0)</f>
        <v>0</v>
      </c>
      <c r="AK211" s="9">
        <f>IF(AN211=12,J211,0)</f>
        <v>0</v>
      </c>
      <c r="AL211" s="9">
        <f>IF(AN211=21,J211,0)</f>
        <v>0</v>
      </c>
      <c r="AN211" s="5">
        <v>21</v>
      </c>
      <c r="AO211" s="5">
        <f>G211*1</f>
        <v>0</v>
      </c>
      <c r="AP211" s="5">
        <f>G211*(1-1)</f>
        <v>0</v>
      </c>
      <c r="AQ211" s="10" t="s">
        <v>105</v>
      </c>
      <c r="AV211" s="5">
        <f>AW211+AX211</f>
        <v>0</v>
      </c>
      <c r="AW211" s="5">
        <f>F211*AO211</f>
        <v>0</v>
      </c>
      <c r="AX211" s="5">
        <f>F211*AP211</f>
        <v>0</v>
      </c>
      <c r="AY211" s="6" t="s">
        <v>405</v>
      </c>
      <c r="AZ211" s="6" t="s">
        <v>406</v>
      </c>
      <c r="BA211" s="3" t="s">
        <v>407</v>
      </c>
      <c r="BC211" s="5">
        <f>AW211+AX211</f>
        <v>0</v>
      </c>
      <c r="BD211" s="5">
        <f>G211/(100-BE211)*100</f>
        <v>0</v>
      </c>
      <c r="BE211" s="5">
        <v>0</v>
      </c>
      <c r="BF211" s="5">
        <f>211</f>
        <v>211</v>
      </c>
      <c r="BH211" s="9">
        <f>F211*AO211</f>
        <v>0</v>
      </c>
      <c r="BI211" s="9">
        <f>F211*AP211</f>
        <v>0</v>
      </c>
      <c r="BJ211" s="9">
        <f>F211*G211</f>
        <v>0</v>
      </c>
      <c r="BK211" s="9"/>
      <c r="BL211" s="5">
        <v>713</v>
      </c>
      <c r="BW211" s="5">
        <v>21</v>
      </c>
      <c r="BX211" s="8" t="s">
        <v>418</v>
      </c>
    </row>
    <row r="212" spans="1:76" x14ac:dyDescent="0.25">
      <c r="A212" s="181"/>
      <c r="B212" s="182"/>
      <c r="C212" s="183" t="s">
        <v>408</v>
      </c>
      <c r="D212" s="184" t="s">
        <v>415</v>
      </c>
      <c r="E212" s="182"/>
      <c r="F212" s="185">
        <v>762.28679999999997</v>
      </c>
      <c r="G212" s="182"/>
      <c r="H212" s="182"/>
      <c r="I212" s="182"/>
      <c r="J212" s="182"/>
      <c r="K212" s="186"/>
    </row>
    <row r="213" spans="1:76" x14ac:dyDescent="0.25">
      <c r="A213" s="181"/>
      <c r="B213" s="182"/>
      <c r="C213" s="183" t="s">
        <v>419</v>
      </c>
      <c r="D213" s="184" t="s">
        <v>52</v>
      </c>
      <c r="E213" s="182"/>
      <c r="F213" s="185">
        <v>76.228679999999997</v>
      </c>
      <c r="G213" s="182"/>
      <c r="H213" s="182"/>
      <c r="I213" s="182"/>
      <c r="J213" s="182"/>
      <c r="K213" s="186"/>
    </row>
    <row r="214" spans="1:76" ht="127.5" x14ac:dyDescent="0.25">
      <c r="A214" s="187"/>
      <c r="B214" s="188" t="s">
        <v>85</v>
      </c>
      <c r="C214" s="189" t="s">
        <v>420</v>
      </c>
      <c r="D214" s="190"/>
      <c r="E214" s="190"/>
      <c r="F214" s="190"/>
      <c r="G214" s="190"/>
      <c r="H214" s="190"/>
      <c r="I214" s="190"/>
      <c r="J214" s="190"/>
      <c r="K214" s="191"/>
      <c r="BX214" s="11" t="s">
        <v>420</v>
      </c>
    </row>
    <row r="215" spans="1:76" ht="25.5" x14ac:dyDescent="0.25">
      <c r="A215" s="175" t="s">
        <v>421</v>
      </c>
      <c r="B215" s="176" t="s">
        <v>422</v>
      </c>
      <c r="C215" s="177" t="s">
        <v>423</v>
      </c>
      <c r="D215" s="178"/>
      <c r="E215" s="176" t="s">
        <v>69</v>
      </c>
      <c r="F215" s="179">
        <v>1423.54</v>
      </c>
      <c r="G215" s="179">
        <v>0</v>
      </c>
      <c r="H215" s="179">
        <f>F215*AO215</f>
        <v>0</v>
      </c>
      <c r="I215" s="179">
        <f>F215*AP215</f>
        <v>0</v>
      </c>
      <c r="J215" s="179">
        <f>F215*G215</f>
        <v>0</v>
      </c>
      <c r="K215" s="180" t="s">
        <v>70</v>
      </c>
      <c r="Z215" s="5">
        <f>IF(AQ215="5",BJ215,0)</f>
        <v>0</v>
      </c>
      <c r="AB215" s="5">
        <f>IF(AQ215="1",BH215,0)</f>
        <v>0</v>
      </c>
      <c r="AC215" s="5">
        <f>IF(AQ215="1",BI215,0)</f>
        <v>0</v>
      </c>
      <c r="AD215" s="5">
        <f>IF(AQ215="7",BH215,0)</f>
        <v>0</v>
      </c>
      <c r="AE215" s="5">
        <f>IF(AQ215="7",BI215,0)</f>
        <v>0</v>
      </c>
      <c r="AF215" s="5">
        <f>IF(AQ215="2",BH215,0)</f>
        <v>0</v>
      </c>
      <c r="AG215" s="5">
        <f>IF(AQ215="2",BI215,0)</f>
        <v>0</v>
      </c>
      <c r="AH215" s="5">
        <f>IF(AQ215="0",BJ215,0)</f>
        <v>0</v>
      </c>
      <c r="AI215" s="3" t="s">
        <v>401</v>
      </c>
      <c r="AJ215" s="5">
        <f>IF(AN215=0,J215,0)</f>
        <v>0</v>
      </c>
      <c r="AK215" s="5">
        <f>IF(AN215=12,J215,0)</f>
        <v>0</v>
      </c>
      <c r="AL215" s="5">
        <f>IF(AN215=21,J215,0)</f>
        <v>0</v>
      </c>
      <c r="AN215" s="5">
        <v>21</v>
      </c>
      <c r="AO215" s="5">
        <f>G215*0.413067227</f>
        <v>0</v>
      </c>
      <c r="AP215" s="5">
        <f>G215*(1-0.413067227)</f>
        <v>0</v>
      </c>
      <c r="AQ215" s="6" t="s">
        <v>105</v>
      </c>
      <c r="AV215" s="5">
        <f>AW215+AX215</f>
        <v>0</v>
      </c>
      <c r="AW215" s="5">
        <f>F215*AO215</f>
        <v>0</v>
      </c>
      <c r="AX215" s="5">
        <f>F215*AP215</f>
        <v>0</v>
      </c>
      <c r="AY215" s="6" t="s">
        <v>405</v>
      </c>
      <c r="AZ215" s="6" t="s">
        <v>406</v>
      </c>
      <c r="BA215" s="3" t="s">
        <v>407</v>
      </c>
      <c r="BC215" s="5">
        <f>AW215+AX215</f>
        <v>0</v>
      </c>
      <c r="BD215" s="5">
        <f>G215/(100-BE215)*100</f>
        <v>0</v>
      </c>
      <c r="BE215" s="5">
        <v>0</v>
      </c>
      <c r="BF215" s="5">
        <f>215</f>
        <v>215</v>
      </c>
      <c r="BH215" s="5">
        <f>F215*AO215</f>
        <v>0</v>
      </c>
      <c r="BI215" s="5">
        <f>F215*AP215</f>
        <v>0</v>
      </c>
      <c r="BJ215" s="5">
        <f>F215*G215</f>
        <v>0</v>
      </c>
      <c r="BK215" s="5"/>
      <c r="BL215" s="5">
        <v>713</v>
      </c>
      <c r="BW215" s="5">
        <v>21</v>
      </c>
      <c r="BX215" s="2" t="s">
        <v>423</v>
      </c>
    </row>
    <row r="216" spans="1:76" ht="13.5" customHeight="1" x14ac:dyDescent="0.25">
      <c r="A216" s="187"/>
      <c r="B216" s="155"/>
      <c r="C216" s="189" t="s">
        <v>424</v>
      </c>
      <c r="D216" s="190"/>
      <c r="E216" s="190"/>
      <c r="F216" s="190"/>
      <c r="G216" s="190"/>
      <c r="H216" s="190"/>
      <c r="I216" s="190"/>
      <c r="J216" s="190"/>
      <c r="K216" s="191"/>
    </row>
    <row r="217" spans="1:76" x14ac:dyDescent="0.25">
      <c r="A217" s="201"/>
      <c r="B217" s="202"/>
      <c r="C217" s="203" t="s">
        <v>425</v>
      </c>
      <c r="D217" s="204" t="s">
        <v>415</v>
      </c>
      <c r="E217" s="202"/>
      <c r="F217" s="205">
        <v>1423.54</v>
      </c>
      <c r="G217" s="202"/>
      <c r="H217" s="202"/>
      <c r="I217" s="202"/>
      <c r="J217" s="202"/>
      <c r="K217" s="206"/>
    </row>
    <row r="218" spans="1:76" ht="51" x14ac:dyDescent="0.25">
      <c r="A218" s="187"/>
      <c r="B218" s="188" t="s">
        <v>85</v>
      </c>
      <c r="C218" s="189" t="s">
        <v>426</v>
      </c>
      <c r="D218" s="190"/>
      <c r="E218" s="190"/>
      <c r="F218" s="190"/>
      <c r="G218" s="190"/>
      <c r="H218" s="190"/>
      <c r="I218" s="190"/>
      <c r="J218" s="190"/>
      <c r="K218" s="191"/>
      <c r="BX218" s="7" t="s">
        <v>426</v>
      </c>
    </row>
    <row r="219" spans="1:76" x14ac:dyDescent="0.25">
      <c r="A219" s="232" t="s">
        <v>427</v>
      </c>
      <c r="B219" s="233" t="s">
        <v>428</v>
      </c>
      <c r="C219" s="234" t="s">
        <v>429</v>
      </c>
      <c r="D219" s="235"/>
      <c r="E219" s="233" t="s">
        <v>69</v>
      </c>
      <c r="F219" s="236">
        <v>1452.0108</v>
      </c>
      <c r="G219" s="236">
        <v>0</v>
      </c>
      <c r="H219" s="236">
        <f>F219*AO219</f>
        <v>0</v>
      </c>
      <c r="I219" s="236">
        <f>F219*AP219</f>
        <v>0</v>
      </c>
      <c r="J219" s="236">
        <f>F219*G219</f>
        <v>0</v>
      </c>
      <c r="K219" s="237" t="s">
        <v>70</v>
      </c>
      <c r="Z219" s="5">
        <f>IF(AQ219="5",BJ219,0)</f>
        <v>0</v>
      </c>
      <c r="AB219" s="5">
        <f>IF(AQ219="1",BH219,0)</f>
        <v>0</v>
      </c>
      <c r="AC219" s="5">
        <f>IF(AQ219="1",BI219,0)</f>
        <v>0</v>
      </c>
      <c r="AD219" s="5">
        <f>IF(AQ219="7",BH219,0)</f>
        <v>0</v>
      </c>
      <c r="AE219" s="5">
        <f>IF(AQ219="7",BI219,0)</f>
        <v>0</v>
      </c>
      <c r="AF219" s="5">
        <f>IF(AQ219="2",BH219,0)</f>
        <v>0</v>
      </c>
      <c r="AG219" s="5">
        <f>IF(AQ219="2",BI219,0)</f>
        <v>0</v>
      </c>
      <c r="AH219" s="5">
        <f>IF(AQ219="0",BJ219,0)</f>
        <v>0</v>
      </c>
      <c r="AI219" s="3" t="s">
        <v>401</v>
      </c>
      <c r="AJ219" s="9">
        <f>IF(AN219=0,J219,0)</f>
        <v>0</v>
      </c>
      <c r="AK219" s="9">
        <f>IF(AN219=12,J219,0)</f>
        <v>0</v>
      </c>
      <c r="AL219" s="9">
        <f>IF(AN219=21,J219,0)</f>
        <v>0</v>
      </c>
      <c r="AN219" s="5">
        <v>21</v>
      </c>
      <c r="AO219" s="5">
        <f>G219*1</f>
        <v>0</v>
      </c>
      <c r="AP219" s="5">
        <f>G219*(1-1)</f>
        <v>0</v>
      </c>
      <c r="AQ219" s="10" t="s">
        <v>105</v>
      </c>
      <c r="AV219" s="5">
        <f>AW219+AX219</f>
        <v>0</v>
      </c>
      <c r="AW219" s="5">
        <f>F219*AO219</f>
        <v>0</v>
      </c>
      <c r="AX219" s="5">
        <f>F219*AP219</f>
        <v>0</v>
      </c>
      <c r="AY219" s="6" t="s">
        <v>405</v>
      </c>
      <c r="AZ219" s="6" t="s">
        <v>406</v>
      </c>
      <c r="BA219" s="3" t="s">
        <v>407</v>
      </c>
      <c r="BC219" s="5">
        <f>AW219+AX219</f>
        <v>0</v>
      </c>
      <c r="BD219" s="5">
        <f>G219/(100-BE219)*100</f>
        <v>0</v>
      </c>
      <c r="BE219" s="5">
        <v>0</v>
      </c>
      <c r="BF219" s="5">
        <f>219</f>
        <v>219</v>
      </c>
      <c r="BH219" s="9">
        <f>F219*AO219</f>
        <v>0</v>
      </c>
      <c r="BI219" s="9">
        <f>F219*AP219</f>
        <v>0</v>
      </c>
      <c r="BJ219" s="9">
        <f>F219*G219</f>
        <v>0</v>
      </c>
      <c r="BK219" s="9"/>
      <c r="BL219" s="5">
        <v>713</v>
      </c>
      <c r="BW219" s="5">
        <v>21</v>
      </c>
      <c r="BX219" s="8" t="s">
        <v>429</v>
      </c>
    </row>
    <row r="220" spans="1:76" x14ac:dyDescent="0.25">
      <c r="A220" s="181"/>
      <c r="B220" s="182"/>
      <c r="C220" s="183" t="s">
        <v>425</v>
      </c>
      <c r="D220" s="184" t="s">
        <v>415</v>
      </c>
      <c r="E220" s="182"/>
      <c r="F220" s="185">
        <v>1423.54</v>
      </c>
      <c r="G220" s="182"/>
      <c r="H220" s="182"/>
      <c r="I220" s="182"/>
      <c r="J220" s="182"/>
      <c r="K220" s="186"/>
    </row>
    <row r="221" spans="1:76" x14ac:dyDescent="0.25">
      <c r="A221" s="181"/>
      <c r="B221" s="182"/>
      <c r="C221" s="183" t="s">
        <v>430</v>
      </c>
      <c r="D221" s="184" t="s">
        <v>52</v>
      </c>
      <c r="E221" s="182"/>
      <c r="F221" s="185">
        <v>28.470800000000001</v>
      </c>
      <c r="G221" s="182"/>
      <c r="H221" s="182"/>
      <c r="I221" s="182"/>
      <c r="J221" s="182"/>
      <c r="K221" s="186"/>
    </row>
    <row r="222" spans="1:76" ht="51" x14ac:dyDescent="0.25">
      <c r="A222" s="187"/>
      <c r="B222" s="188" t="s">
        <v>85</v>
      </c>
      <c r="C222" s="189" t="s">
        <v>431</v>
      </c>
      <c r="D222" s="190"/>
      <c r="E222" s="190"/>
      <c r="F222" s="190"/>
      <c r="G222" s="190"/>
      <c r="H222" s="190"/>
      <c r="I222" s="190"/>
      <c r="J222" s="190"/>
      <c r="K222" s="191"/>
      <c r="BX222" s="11" t="s">
        <v>431</v>
      </c>
    </row>
    <row r="223" spans="1:76" x14ac:dyDescent="0.25">
      <c r="A223" s="232" t="s">
        <v>432</v>
      </c>
      <c r="B223" s="233" t="s">
        <v>433</v>
      </c>
      <c r="C223" s="234" t="s">
        <v>434</v>
      </c>
      <c r="D223" s="235"/>
      <c r="E223" s="233" t="s">
        <v>69</v>
      </c>
      <c r="F223" s="236">
        <v>1608.6002000000001</v>
      </c>
      <c r="G223" s="236">
        <v>0</v>
      </c>
      <c r="H223" s="236">
        <f>F223*AO223</f>
        <v>0</v>
      </c>
      <c r="I223" s="236">
        <f>F223*AP223</f>
        <v>0</v>
      </c>
      <c r="J223" s="236">
        <f>F223*G223</f>
        <v>0</v>
      </c>
      <c r="K223" s="237" t="s">
        <v>70</v>
      </c>
      <c r="Z223" s="5">
        <f>IF(AQ223="5",BJ223,0)</f>
        <v>0</v>
      </c>
      <c r="AB223" s="5">
        <f>IF(AQ223="1",BH223,0)</f>
        <v>0</v>
      </c>
      <c r="AC223" s="5">
        <f>IF(AQ223="1",BI223,0)</f>
        <v>0</v>
      </c>
      <c r="AD223" s="5">
        <f>IF(AQ223="7",BH223,0)</f>
        <v>0</v>
      </c>
      <c r="AE223" s="5">
        <f>IF(AQ223="7",BI223,0)</f>
        <v>0</v>
      </c>
      <c r="AF223" s="5">
        <f>IF(AQ223="2",BH223,0)</f>
        <v>0</v>
      </c>
      <c r="AG223" s="5">
        <f>IF(AQ223="2",BI223,0)</f>
        <v>0</v>
      </c>
      <c r="AH223" s="5">
        <f>IF(AQ223="0",BJ223,0)</f>
        <v>0</v>
      </c>
      <c r="AI223" s="3" t="s">
        <v>401</v>
      </c>
      <c r="AJ223" s="9">
        <f>IF(AN223=0,J223,0)</f>
        <v>0</v>
      </c>
      <c r="AK223" s="9">
        <f>IF(AN223=12,J223,0)</f>
        <v>0</v>
      </c>
      <c r="AL223" s="9">
        <f>IF(AN223=21,J223,0)</f>
        <v>0</v>
      </c>
      <c r="AN223" s="5">
        <v>21</v>
      </c>
      <c r="AO223" s="5">
        <f>G223*1</f>
        <v>0</v>
      </c>
      <c r="AP223" s="5">
        <f>G223*(1-1)</f>
        <v>0</v>
      </c>
      <c r="AQ223" s="10" t="s">
        <v>105</v>
      </c>
      <c r="AV223" s="5">
        <f>AW223+AX223</f>
        <v>0</v>
      </c>
      <c r="AW223" s="5">
        <f>F223*AO223</f>
        <v>0</v>
      </c>
      <c r="AX223" s="5">
        <f>F223*AP223</f>
        <v>0</v>
      </c>
      <c r="AY223" s="6" t="s">
        <v>405</v>
      </c>
      <c r="AZ223" s="6" t="s">
        <v>406</v>
      </c>
      <c r="BA223" s="3" t="s">
        <v>407</v>
      </c>
      <c r="BC223" s="5">
        <f>AW223+AX223</f>
        <v>0</v>
      </c>
      <c r="BD223" s="5">
        <f>G223/(100-BE223)*100</f>
        <v>0</v>
      </c>
      <c r="BE223" s="5">
        <v>0</v>
      </c>
      <c r="BF223" s="5">
        <f>223</f>
        <v>223</v>
      </c>
      <c r="BH223" s="9">
        <f>F223*AO223</f>
        <v>0</v>
      </c>
      <c r="BI223" s="9">
        <f>F223*AP223</f>
        <v>0</v>
      </c>
      <c r="BJ223" s="9">
        <f>F223*G223</f>
        <v>0</v>
      </c>
      <c r="BK223" s="9"/>
      <c r="BL223" s="5">
        <v>713</v>
      </c>
      <c r="BW223" s="5">
        <v>21</v>
      </c>
      <c r="BX223" s="8" t="s">
        <v>434</v>
      </c>
    </row>
    <row r="224" spans="1:76" x14ac:dyDescent="0.25">
      <c r="A224" s="181"/>
      <c r="B224" s="182"/>
      <c r="C224" s="183" t="s">
        <v>425</v>
      </c>
      <c r="D224" s="184" t="s">
        <v>415</v>
      </c>
      <c r="E224" s="182"/>
      <c r="F224" s="185">
        <v>1423.54</v>
      </c>
      <c r="G224" s="182"/>
      <c r="H224" s="182"/>
      <c r="I224" s="182"/>
      <c r="J224" s="182"/>
      <c r="K224" s="186"/>
    </row>
    <row r="225" spans="1:76" x14ac:dyDescent="0.25">
      <c r="A225" s="181"/>
      <c r="B225" s="182"/>
      <c r="C225" s="183" t="s">
        <v>435</v>
      </c>
      <c r="D225" s="184" t="s">
        <v>52</v>
      </c>
      <c r="E225" s="182"/>
      <c r="F225" s="185">
        <v>185.06020000000001</v>
      </c>
      <c r="G225" s="182"/>
      <c r="H225" s="182"/>
      <c r="I225" s="182"/>
      <c r="J225" s="182"/>
      <c r="K225" s="186"/>
    </row>
    <row r="226" spans="1:76" ht="51" x14ac:dyDescent="0.25">
      <c r="A226" s="192"/>
      <c r="B226" s="193" t="s">
        <v>85</v>
      </c>
      <c r="C226" s="194" t="s">
        <v>436</v>
      </c>
      <c r="D226" s="195"/>
      <c r="E226" s="195"/>
      <c r="F226" s="195"/>
      <c r="G226" s="195"/>
      <c r="H226" s="195"/>
      <c r="I226" s="195"/>
      <c r="J226" s="195"/>
      <c r="K226" s="196"/>
      <c r="BX226" s="11" t="s">
        <v>436</v>
      </c>
    </row>
    <row r="227" spans="1:76" x14ac:dyDescent="0.25">
      <c r="A227" s="146" t="s">
        <v>437</v>
      </c>
      <c r="B227" s="149" t="s">
        <v>438</v>
      </c>
      <c r="C227" s="116" t="s">
        <v>439</v>
      </c>
      <c r="D227" s="112"/>
      <c r="E227" s="149" t="s">
        <v>372</v>
      </c>
      <c r="F227" s="152">
        <v>21890</v>
      </c>
      <c r="G227" s="152">
        <v>0</v>
      </c>
      <c r="H227" s="152">
        <f>F227*AO227</f>
        <v>0</v>
      </c>
      <c r="I227" s="152">
        <f>F227*AP227</f>
        <v>0</v>
      </c>
      <c r="J227" s="152">
        <f>F227*G227</f>
        <v>0</v>
      </c>
      <c r="K227" s="153" t="s">
        <v>70</v>
      </c>
      <c r="Z227" s="5">
        <f>IF(AQ227="5",BJ227,0)</f>
        <v>0</v>
      </c>
      <c r="AB227" s="5">
        <f>IF(AQ227="1",BH227,0)</f>
        <v>0</v>
      </c>
      <c r="AC227" s="5">
        <f>IF(AQ227="1",BI227,0)</f>
        <v>0</v>
      </c>
      <c r="AD227" s="5">
        <f>IF(AQ227="7",BH227,0)</f>
        <v>0</v>
      </c>
      <c r="AE227" s="5">
        <f>IF(AQ227="7",BI227,0)</f>
        <v>0</v>
      </c>
      <c r="AF227" s="5">
        <f>IF(AQ227="2",BH227,0)</f>
        <v>0</v>
      </c>
      <c r="AG227" s="5">
        <f>IF(AQ227="2",BI227,0)</f>
        <v>0</v>
      </c>
      <c r="AH227" s="5">
        <f>IF(AQ227="0",BJ227,0)</f>
        <v>0</v>
      </c>
      <c r="AI227" s="3" t="s">
        <v>401</v>
      </c>
      <c r="AJ227" s="5">
        <f>IF(AN227=0,J227,0)</f>
        <v>0</v>
      </c>
      <c r="AK227" s="5">
        <f>IF(AN227=12,J227,0)</f>
        <v>0</v>
      </c>
      <c r="AL227" s="5">
        <f>IF(AN227=21,J227,0)</f>
        <v>0</v>
      </c>
      <c r="AN227" s="5">
        <v>21</v>
      </c>
      <c r="AO227" s="5">
        <f>G227*0</f>
        <v>0</v>
      </c>
      <c r="AP227" s="5">
        <f>G227*(1-0)</f>
        <v>0</v>
      </c>
      <c r="AQ227" s="6" t="s">
        <v>96</v>
      </c>
      <c r="AV227" s="5">
        <f>AW227+AX227</f>
        <v>0</v>
      </c>
      <c r="AW227" s="5">
        <f>F227*AO227</f>
        <v>0</v>
      </c>
      <c r="AX227" s="5">
        <f>F227*AP227</f>
        <v>0</v>
      </c>
      <c r="AY227" s="6" t="s">
        <v>405</v>
      </c>
      <c r="AZ227" s="6" t="s">
        <v>406</v>
      </c>
      <c r="BA227" s="3" t="s">
        <v>407</v>
      </c>
      <c r="BC227" s="5">
        <f>AW227+AX227</f>
        <v>0</v>
      </c>
      <c r="BD227" s="5">
        <f>G227/(100-BE227)*100</f>
        <v>0</v>
      </c>
      <c r="BE227" s="5">
        <v>0</v>
      </c>
      <c r="BF227" s="5">
        <f>227</f>
        <v>227</v>
      </c>
      <c r="BH227" s="5">
        <f>F227*AO227</f>
        <v>0</v>
      </c>
      <c r="BI227" s="5">
        <f>F227*AP227</f>
        <v>0</v>
      </c>
      <c r="BJ227" s="5">
        <f>F227*G227</f>
        <v>0</v>
      </c>
      <c r="BK227" s="5"/>
      <c r="BL227" s="5">
        <v>713</v>
      </c>
      <c r="BW227" s="5">
        <v>21</v>
      </c>
      <c r="BX227" s="2" t="s">
        <v>439</v>
      </c>
    </row>
    <row r="228" spans="1:76" x14ac:dyDescent="0.25">
      <c r="A228" s="154"/>
      <c r="B228" s="155"/>
      <c r="C228" s="159" t="s">
        <v>440</v>
      </c>
      <c r="D228" s="160" t="s">
        <v>52</v>
      </c>
      <c r="E228" s="155"/>
      <c r="F228" s="161">
        <v>21890</v>
      </c>
      <c r="G228" s="155"/>
      <c r="H228" s="155"/>
      <c r="I228" s="155"/>
      <c r="J228" s="155"/>
      <c r="K228" s="162"/>
    </row>
    <row r="229" spans="1:76" x14ac:dyDescent="0.25">
      <c r="A229" s="225" t="s">
        <v>52</v>
      </c>
      <c r="B229" s="226" t="s">
        <v>174</v>
      </c>
      <c r="C229" s="227" t="s">
        <v>175</v>
      </c>
      <c r="D229" s="228"/>
      <c r="E229" s="229" t="s">
        <v>33</v>
      </c>
      <c r="F229" s="229" t="s">
        <v>33</v>
      </c>
      <c r="G229" s="229" t="s">
        <v>33</v>
      </c>
      <c r="H229" s="230">
        <f>SUM(H230:H299)</f>
        <v>0</v>
      </c>
      <c r="I229" s="230">
        <f>SUM(I230:I299)</f>
        <v>0</v>
      </c>
      <c r="J229" s="230">
        <f>SUM(J230:J299)</f>
        <v>0</v>
      </c>
      <c r="K229" s="231" t="s">
        <v>52</v>
      </c>
      <c r="AI229" s="3" t="s">
        <v>401</v>
      </c>
      <c r="AS229" s="1">
        <f>SUM(AJ230:AJ299)</f>
        <v>0</v>
      </c>
      <c r="AT229" s="1">
        <f>SUM(AK230:AK299)</f>
        <v>0</v>
      </c>
      <c r="AU229" s="1">
        <f>SUM(AL230:AL299)</f>
        <v>0</v>
      </c>
    </row>
    <row r="230" spans="1:76" x14ac:dyDescent="0.25">
      <c r="A230" s="175" t="s">
        <v>441</v>
      </c>
      <c r="B230" s="176" t="s">
        <v>178</v>
      </c>
      <c r="C230" s="177" t="s">
        <v>442</v>
      </c>
      <c r="D230" s="178"/>
      <c r="E230" s="176" t="s">
        <v>69</v>
      </c>
      <c r="F230" s="179">
        <v>1423.54</v>
      </c>
      <c r="G230" s="179">
        <v>0</v>
      </c>
      <c r="H230" s="179">
        <f>F230*AO230</f>
        <v>0</v>
      </c>
      <c r="I230" s="179">
        <f>F230*AP230</f>
        <v>0</v>
      </c>
      <c r="J230" s="179">
        <f>F230*G230</f>
        <v>0</v>
      </c>
      <c r="K230" s="180" t="s">
        <v>70</v>
      </c>
      <c r="Z230" s="5">
        <f>IF(AQ230="5",BJ230,0)</f>
        <v>0</v>
      </c>
      <c r="AB230" s="5">
        <f>IF(AQ230="1",BH230,0)</f>
        <v>0</v>
      </c>
      <c r="AC230" s="5">
        <f>IF(AQ230="1",BI230,0)</f>
        <v>0</v>
      </c>
      <c r="AD230" s="5">
        <f>IF(AQ230="7",BH230,0)</f>
        <v>0</v>
      </c>
      <c r="AE230" s="5">
        <f>IF(AQ230="7",BI230,0)</f>
        <v>0</v>
      </c>
      <c r="AF230" s="5">
        <f>IF(AQ230="2",BH230,0)</f>
        <v>0</v>
      </c>
      <c r="AG230" s="5">
        <f>IF(AQ230="2",BI230,0)</f>
        <v>0</v>
      </c>
      <c r="AH230" s="5">
        <f>IF(AQ230="0",BJ230,0)</f>
        <v>0</v>
      </c>
      <c r="AI230" s="3" t="s">
        <v>401</v>
      </c>
      <c r="AJ230" s="5">
        <f>IF(AN230=0,J230,0)</f>
        <v>0</v>
      </c>
      <c r="AK230" s="5">
        <f>IF(AN230=12,J230,0)</f>
        <v>0</v>
      </c>
      <c r="AL230" s="5">
        <f>IF(AN230=21,J230,0)</f>
        <v>0</v>
      </c>
      <c r="AN230" s="5">
        <v>21</v>
      </c>
      <c r="AO230" s="5">
        <f>G230*0</f>
        <v>0</v>
      </c>
      <c r="AP230" s="5">
        <f>G230*(1-0)</f>
        <v>0</v>
      </c>
      <c r="AQ230" s="6" t="s">
        <v>105</v>
      </c>
      <c r="AV230" s="5">
        <f>AW230+AX230</f>
        <v>0</v>
      </c>
      <c r="AW230" s="5">
        <f>F230*AO230</f>
        <v>0</v>
      </c>
      <c r="AX230" s="5">
        <f>F230*AP230</f>
        <v>0</v>
      </c>
      <c r="AY230" s="6" t="s">
        <v>180</v>
      </c>
      <c r="AZ230" s="6" t="s">
        <v>443</v>
      </c>
      <c r="BA230" s="3" t="s">
        <v>407</v>
      </c>
      <c r="BC230" s="5">
        <f>AW230+AX230</f>
        <v>0</v>
      </c>
      <c r="BD230" s="5">
        <f>G230/(100-BE230)*100</f>
        <v>0</v>
      </c>
      <c r="BE230" s="5">
        <v>0</v>
      </c>
      <c r="BF230" s="5">
        <f>230</f>
        <v>230</v>
      </c>
      <c r="BH230" s="5">
        <f>F230*AO230</f>
        <v>0</v>
      </c>
      <c r="BI230" s="5">
        <f>F230*AP230</f>
        <v>0</v>
      </c>
      <c r="BJ230" s="5">
        <f>F230*G230</f>
        <v>0</v>
      </c>
      <c r="BK230" s="5"/>
      <c r="BL230" s="5">
        <v>762</v>
      </c>
      <c r="BW230" s="5">
        <v>21</v>
      </c>
      <c r="BX230" s="2" t="s">
        <v>442</v>
      </c>
    </row>
    <row r="231" spans="1:76" x14ac:dyDescent="0.25">
      <c r="A231" s="181"/>
      <c r="B231" s="182"/>
      <c r="C231" s="183" t="s">
        <v>425</v>
      </c>
      <c r="D231" s="184" t="s">
        <v>409</v>
      </c>
      <c r="E231" s="182"/>
      <c r="F231" s="185">
        <v>1423.54</v>
      </c>
      <c r="G231" s="182"/>
      <c r="H231" s="182"/>
      <c r="I231" s="182"/>
      <c r="J231" s="182"/>
      <c r="K231" s="186"/>
    </row>
    <row r="232" spans="1:76" x14ac:dyDescent="0.25">
      <c r="A232" s="213" t="s">
        <v>444</v>
      </c>
      <c r="B232" s="214" t="s">
        <v>195</v>
      </c>
      <c r="C232" s="215" t="s">
        <v>196</v>
      </c>
      <c r="D232" s="216"/>
      <c r="E232" s="214" t="s">
        <v>197</v>
      </c>
      <c r="F232" s="217">
        <v>98.9</v>
      </c>
      <c r="G232" s="217">
        <v>0</v>
      </c>
      <c r="H232" s="217">
        <f>F232*AO232</f>
        <v>0</v>
      </c>
      <c r="I232" s="217">
        <f>F232*AP232</f>
        <v>0</v>
      </c>
      <c r="J232" s="217">
        <f>F232*G232</f>
        <v>0</v>
      </c>
      <c r="K232" s="218" t="s">
        <v>70</v>
      </c>
      <c r="Z232" s="5">
        <f>IF(AQ232="5",BJ232,0)</f>
        <v>0</v>
      </c>
      <c r="AB232" s="5">
        <f>IF(AQ232="1",BH232,0)</f>
        <v>0</v>
      </c>
      <c r="AC232" s="5">
        <f>IF(AQ232="1",BI232,0)</f>
        <v>0</v>
      </c>
      <c r="AD232" s="5">
        <f>IF(AQ232="7",BH232,0)</f>
        <v>0</v>
      </c>
      <c r="AE232" s="5">
        <f>IF(AQ232="7",BI232,0)</f>
        <v>0</v>
      </c>
      <c r="AF232" s="5">
        <f>IF(AQ232="2",BH232,0)</f>
        <v>0</v>
      </c>
      <c r="AG232" s="5">
        <f>IF(AQ232="2",BI232,0)</f>
        <v>0</v>
      </c>
      <c r="AH232" s="5">
        <f>IF(AQ232="0",BJ232,0)</f>
        <v>0</v>
      </c>
      <c r="AI232" s="3" t="s">
        <v>401</v>
      </c>
      <c r="AJ232" s="5">
        <f>IF(AN232=0,J232,0)</f>
        <v>0</v>
      </c>
      <c r="AK232" s="5">
        <f>IF(AN232=12,J232,0)</f>
        <v>0</v>
      </c>
      <c r="AL232" s="5">
        <f>IF(AN232=21,J232,0)</f>
        <v>0</v>
      </c>
      <c r="AN232" s="5">
        <v>21</v>
      </c>
      <c r="AO232" s="5">
        <f>G232*0</f>
        <v>0</v>
      </c>
      <c r="AP232" s="5">
        <f>G232*(1-0)</f>
        <v>0</v>
      </c>
      <c r="AQ232" s="6" t="s">
        <v>105</v>
      </c>
      <c r="AV232" s="5">
        <f>AW232+AX232</f>
        <v>0</v>
      </c>
      <c r="AW232" s="5">
        <f>F232*AO232</f>
        <v>0</v>
      </c>
      <c r="AX232" s="5">
        <f>F232*AP232</f>
        <v>0</v>
      </c>
      <c r="AY232" s="6" t="s">
        <v>180</v>
      </c>
      <c r="AZ232" s="6" t="s">
        <v>443</v>
      </c>
      <c r="BA232" s="3" t="s">
        <v>407</v>
      </c>
      <c r="BC232" s="5">
        <f>AW232+AX232</f>
        <v>0</v>
      </c>
      <c r="BD232" s="5">
        <f>G232/(100-BE232)*100</f>
        <v>0</v>
      </c>
      <c r="BE232" s="5">
        <v>0</v>
      </c>
      <c r="BF232" s="5">
        <f>232</f>
        <v>232</v>
      </c>
      <c r="BH232" s="5">
        <f>F232*AO232</f>
        <v>0</v>
      </c>
      <c r="BI232" s="5">
        <f>F232*AP232</f>
        <v>0</v>
      </c>
      <c r="BJ232" s="5">
        <f>F232*G232</f>
        <v>0</v>
      </c>
      <c r="BK232" s="5"/>
      <c r="BL232" s="5">
        <v>762</v>
      </c>
      <c r="BW232" s="5">
        <v>21</v>
      </c>
      <c r="BX232" s="2" t="s">
        <v>196</v>
      </c>
    </row>
    <row r="233" spans="1:76" x14ac:dyDescent="0.25">
      <c r="A233" s="181"/>
      <c r="B233" s="182"/>
      <c r="C233" s="183" t="s">
        <v>198</v>
      </c>
      <c r="D233" s="184" t="s">
        <v>199</v>
      </c>
      <c r="E233" s="182"/>
      <c r="F233" s="185">
        <v>35.799999999999997</v>
      </c>
      <c r="G233" s="182"/>
      <c r="H233" s="182"/>
      <c r="I233" s="182"/>
      <c r="J233" s="182"/>
      <c r="K233" s="186"/>
    </row>
    <row r="234" spans="1:76" x14ac:dyDescent="0.25">
      <c r="A234" s="181"/>
      <c r="B234" s="182"/>
      <c r="C234" s="183" t="s">
        <v>200</v>
      </c>
      <c r="D234" s="184" t="s">
        <v>201</v>
      </c>
      <c r="E234" s="182"/>
      <c r="F234" s="185">
        <v>13.8</v>
      </c>
      <c r="G234" s="182"/>
      <c r="H234" s="182"/>
      <c r="I234" s="182"/>
      <c r="J234" s="182"/>
      <c r="K234" s="186"/>
    </row>
    <row r="235" spans="1:76" x14ac:dyDescent="0.25">
      <c r="A235" s="181"/>
      <c r="B235" s="182"/>
      <c r="C235" s="183" t="s">
        <v>445</v>
      </c>
      <c r="D235" s="184" t="s">
        <v>446</v>
      </c>
      <c r="E235" s="182"/>
      <c r="F235" s="185">
        <v>49.3</v>
      </c>
      <c r="G235" s="182"/>
      <c r="H235" s="182"/>
      <c r="I235" s="182"/>
      <c r="J235" s="182"/>
      <c r="K235" s="186"/>
    </row>
    <row r="236" spans="1:76" x14ac:dyDescent="0.25">
      <c r="A236" s="207" t="s">
        <v>447</v>
      </c>
      <c r="B236" s="208" t="s">
        <v>204</v>
      </c>
      <c r="C236" s="209" t="s">
        <v>205</v>
      </c>
      <c r="D236" s="210"/>
      <c r="E236" s="208" t="s">
        <v>206</v>
      </c>
      <c r="F236" s="211">
        <v>0.40944999999999998</v>
      </c>
      <c r="G236" s="211">
        <v>0</v>
      </c>
      <c r="H236" s="211">
        <f>F236*AO236</f>
        <v>0</v>
      </c>
      <c r="I236" s="211">
        <f>F236*AP236</f>
        <v>0</v>
      </c>
      <c r="J236" s="211">
        <f>F236*G236</f>
        <v>0</v>
      </c>
      <c r="K236" s="212" t="s">
        <v>70</v>
      </c>
      <c r="Z236" s="5">
        <f>IF(AQ236="5",BJ236,0)</f>
        <v>0</v>
      </c>
      <c r="AB236" s="5">
        <f>IF(AQ236="1",BH236,0)</f>
        <v>0</v>
      </c>
      <c r="AC236" s="5">
        <f>IF(AQ236="1",BI236,0)</f>
        <v>0</v>
      </c>
      <c r="AD236" s="5">
        <f>IF(AQ236="7",BH236,0)</f>
        <v>0</v>
      </c>
      <c r="AE236" s="5">
        <f>IF(AQ236="7",BI236,0)</f>
        <v>0</v>
      </c>
      <c r="AF236" s="5">
        <f>IF(AQ236="2",BH236,0)</f>
        <v>0</v>
      </c>
      <c r="AG236" s="5">
        <f>IF(AQ236="2",BI236,0)</f>
        <v>0</v>
      </c>
      <c r="AH236" s="5">
        <f>IF(AQ236="0",BJ236,0)</f>
        <v>0</v>
      </c>
      <c r="AI236" s="3" t="s">
        <v>401</v>
      </c>
      <c r="AJ236" s="9">
        <f>IF(AN236=0,J236,0)</f>
        <v>0</v>
      </c>
      <c r="AK236" s="9">
        <f>IF(AN236=12,J236,0)</f>
        <v>0</v>
      </c>
      <c r="AL236" s="9">
        <f>IF(AN236=21,J236,0)</f>
        <v>0</v>
      </c>
      <c r="AN236" s="5">
        <v>21</v>
      </c>
      <c r="AO236" s="5">
        <f>G236*1</f>
        <v>0</v>
      </c>
      <c r="AP236" s="5">
        <f>G236*(1-1)</f>
        <v>0</v>
      </c>
      <c r="AQ236" s="10" t="s">
        <v>105</v>
      </c>
      <c r="AV236" s="5">
        <f>AW236+AX236</f>
        <v>0</v>
      </c>
      <c r="AW236" s="5">
        <f>F236*AO236</f>
        <v>0</v>
      </c>
      <c r="AX236" s="5">
        <f>F236*AP236</f>
        <v>0</v>
      </c>
      <c r="AY236" s="6" t="s">
        <v>180</v>
      </c>
      <c r="AZ236" s="6" t="s">
        <v>443</v>
      </c>
      <c r="BA236" s="3" t="s">
        <v>407</v>
      </c>
      <c r="BC236" s="5">
        <f>AW236+AX236</f>
        <v>0</v>
      </c>
      <c r="BD236" s="5">
        <f>G236/(100-BE236)*100</f>
        <v>0</v>
      </c>
      <c r="BE236" s="5">
        <v>0</v>
      </c>
      <c r="BF236" s="5">
        <f>236</f>
        <v>236</v>
      </c>
      <c r="BH236" s="9">
        <f>F236*AO236</f>
        <v>0</v>
      </c>
      <c r="BI236" s="9">
        <f>F236*AP236</f>
        <v>0</v>
      </c>
      <c r="BJ236" s="9">
        <f>F236*G236</f>
        <v>0</v>
      </c>
      <c r="BK236" s="9"/>
      <c r="BL236" s="5">
        <v>762</v>
      </c>
      <c r="BW236" s="5">
        <v>21</v>
      </c>
      <c r="BX236" s="8" t="s">
        <v>205</v>
      </c>
    </row>
    <row r="237" spans="1:76" x14ac:dyDescent="0.25">
      <c r="A237" s="181"/>
      <c r="B237" s="182"/>
      <c r="C237" s="183" t="s">
        <v>207</v>
      </c>
      <c r="D237" s="184" t="s">
        <v>199</v>
      </c>
      <c r="E237" s="182"/>
      <c r="F237" s="185">
        <v>0.12887999999999999</v>
      </c>
      <c r="G237" s="182"/>
      <c r="H237" s="182"/>
      <c r="I237" s="182"/>
      <c r="J237" s="182"/>
      <c r="K237" s="186"/>
    </row>
    <row r="238" spans="1:76" x14ac:dyDescent="0.25">
      <c r="A238" s="181"/>
      <c r="B238" s="182"/>
      <c r="C238" s="183" t="s">
        <v>208</v>
      </c>
      <c r="D238" s="184" t="s">
        <v>201</v>
      </c>
      <c r="E238" s="182"/>
      <c r="F238" s="185">
        <v>4.9680000000000002E-2</v>
      </c>
      <c r="G238" s="182"/>
      <c r="H238" s="182"/>
      <c r="I238" s="182"/>
      <c r="J238" s="182"/>
      <c r="K238" s="186"/>
    </row>
    <row r="239" spans="1:76" x14ac:dyDescent="0.25">
      <c r="A239" s="181"/>
      <c r="B239" s="182"/>
      <c r="C239" s="183" t="s">
        <v>448</v>
      </c>
      <c r="D239" s="184" t="s">
        <v>446</v>
      </c>
      <c r="E239" s="182"/>
      <c r="F239" s="185">
        <v>0.17748</v>
      </c>
      <c r="G239" s="182"/>
      <c r="H239" s="182"/>
      <c r="I239" s="182"/>
      <c r="J239" s="182"/>
      <c r="K239" s="186"/>
    </row>
    <row r="240" spans="1:76" x14ac:dyDescent="0.25">
      <c r="A240" s="181"/>
      <c r="B240" s="182"/>
      <c r="C240" s="183" t="s">
        <v>449</v>
      </c>
      <c r="D240" s="184" t="s">
        <v>52</v>
      </c>
      <c r="E240" s="182"/>
      <c r="F240" s="185">
        <v>5.3409999999999999E-2</v>
      </c>
      <c r="G240" s="182"/>
      <c r="H240" s="182"/>
      <c r="I240" s="182"/>
      <c r="J240" s="182"/>
      <c r="K240" s="186"/>
    </row>
    <row r="241" spans="1:76" x14ac:dyDescent="0.25">
      <c r="A241" s="213" t="s">
        <v>450</v>
      </c>
      <c r="B241" s="214" t="s">
        <v>212</v>
      </c>
      <c r="C241" s="215" t="s">
        <v>213</v>
      </c>
      <c r="D241" s="216"/>
      <c r="E241" s="214" t="s">
        <v>214</v>
      </c>
      <c r="F241" s="217">
        <v>166.4</v>
      </c>
      <c r="G241" s="217">
        <v>0</v>
      </c>
      <c r="H241" s="217">
        <f>F241*AO241</f>
        <v>0</v>
      </c>
      <c r="I241" s="217">
        <f>F241*AP241</f>
        <v>0</v>
      </c>
      <c r="J241" s="217">
        <f>F241*G241</f>
        <v>0</v>
      </c>
      <c r="K241" s="218" t="s">
        <v>215</v>
      </c>
      <c r="Z241" s="5">
        <f>IF(AQ241="5",BJ241,0)</f>
        <v>0</v>
      </c>
      <c r="AB241" s="5">
        <f>IF(AQ241="1",BH241,0)</f>
        <v>0</v>
      </c>
      <c r="AC241" s="5">
        <f>IF(AQ241="1",BI241,0)</f>
        <v>0</v>
      </c>
      <c r="AD241" s="5">
        <f>IF(AQ241="7",BH241,0)</f>
        <v>0</v>
      </c>
      <c r="AE241" s="5">
        <f>IF(AQ241="7",BI241,0)</f>
        <v>0</v>
      </c>
      <c r="AF241" s="5">
        <f>IF(AQ241="2",BH241,0)</f>
        <v>0</v>
      </c>
      <c r="AG241" s="5">
        <f>IF(AQ241="2",BI241,0)</f>
        <v>0</v>
      </c>
      <c r="AH241" s="5">
        <f>IF(AQ241="0",BJ241,0)</f>
        <v>0</v>
      </c>
      <c r="AI241" s="3" t="s">
        <v>401</v>
      </c>
      <c r="AJ241" s="5">
        <f>IF(AN241=0,J241,0)</f>
        <v>0</v>
      </c>
      <c r="AK241" s="5">
        <f>IF(AN241=12,J241,0)</f>
        <v>0</v>
      </c>
      <c r="AL241" s="5">
        <f>IF(AN241=21,J241,0)</f>
        <v>0</v>
      </c>
      <c r="AN241" s="5">
        <v>21</v>
      </c>
      <c r="AO241" s="5">
        <f>G241*0.199148148</f>
        <v>0</v>
      </c>
      <c r="AP241" s="5">
        <f>G241*(1-0.199148148)</f>
        <v>0</v>
      </c>
      <c r="AQ241" s="6" t="s">
        <v>105</v>
      </c>
      <c r="AV241" s="5">
        <f>AW241+AX241</f>
        <v>0</v>
      </c>
      <c r="AW241" s="5">
        <f>F241*AO241</f>
        <v>0</v>
      </c>
      <c r="AX241" s="5">
        <f>F241*AP241</f>
        <v>0</v>
      </c>
      <c r="AY241" s="6" t="s">
        <v>180</v>
      </c>
      <c r="AZ241" s="6" t="s">
        <v>443</v>
      </c>
      <c r="BA241" s="3" t="s">
        <v>407</v>
      </c>
      <c r="BC241" s="5">
        <f>AW241+AX241</f>
        <v>0</v>
      </c>
      <c r="BD241" s="5">
        <f>G241/(100-BE241)*100</f>
        <v>0</v>
      </c>
      <c r="BE241" s="5">
        <v>0</v>
      </c>
      <c r="BF241" s="5">
        <f>241</f>
        <v>241</v>
      </c>
      <c r="BH241" s="5">
        <f>F241*AO241</f>
        <v>0</v>
      </c>
      <c r="BI241" s="5">
        <f>F241*AP241</f>
        <v>0</v>
      </c>
      <c r="BJ241" s="5">
        <f>F241*G241</f>
        <v>0</v>
      </c>
      <c r="BK241" s="5"/>
      <c r="BL241" s="5">
        <v>762</v>
      </c>
      <c r="BW241" s="5">
        <v>21</v>
      </c>
      <c r="BX241" s="2" t="s">
        <v>213</v>
      </c>
    </row>
    <row r="242" spans="1:76" ht="13.5" customHeight="1" x14ac:dyDescent="0.25">
      <c r="A242" s="187"/>
      <c r="B242" s="155"/>
      <c r="C242" s="189" t="s">
        <v>451</v>
      </c>
      <c r="D242" s="190"/>
      <c r="E242" s="190"/>
      <c r="F242" s="190"/>
      <c r="G242" s="190"/>
      <c r="H242" s="190"/>
      <c r="I242" s="190"/>
      <c r="J242" s="190"/>
      <c r="K242" s="191"/>
    </row>
    <row r="243" spans="1:76" x14ac:dyDescent="0.25">
      <c r="A243" s="201"/>
      <c r="B243" s="202"/>
      <c r="C243" s="203" t="s">
        <v>452</v>
      </c>
      <c r="D243" s="204" t="s">
        <v>453</v>
      </c>
      <c r="E243" s="202"/>
      <c r="F243" s="205">
        <v>166.4</v>
      </c>
      <c r="G243" s="202"/>
      <c r="H243" s="202"/>
      <c r="I243" s="202"/>
      <c r="J243" s="202"/>
      <c r="K243" s="206"/>
    </row>
    <row r="244" spans="1:76" x14ac:dyDescent="0.25">
      <c r="A244" s="213" t="s">
        <v>454</v>
      </c>
      <c r="B244" s="214" t="s">
        <v>455</v>
      </c>
      <c r="C244" s="215" t="s">
        <v>456</v>
      </c>
      <c r="D244" s="216"/>
      <c r="E244" s="214" t="s">
        <v>69</v>
      </c>
      <c r="F244" s="217">
        <v>1470.9639999999999</v>
      </c>
      <c r="G244" s="217">
        <v>0</v>
      </c>
      <c r="H244" s="217">
        <f>F244*AO244</f>
        <v>0</v>
      </c>
      <c r="I244" s="217">
        <f>F244*AP244</f>
        <v>0</v>
      </c>
      <c r="J244" s="217">
        <f>F244*G244</f>
        <v>0</v>
      </c>
      <c r="K244" s="218" t="s">
        <v>70</v>
      </c>
      <c r="Z244" s="5">
        <f>IF(AQ244="5",BJ244,0)</f>
        <v>0</v>
      </c>
      <c r="AB244" s="5">
        <f>IF(AQ244="1",BH244,0)</f>
        <v>0</v>
      </c>
      <c r="AC244" s="5">
        <f>IF(AQ244="1",BI244,0)</f>
        <v>0</v>
      </c>
      <c r="AD244" s="5">
        <f>IF(AQ244="7",BH244,0)</f>
        <v>0</v>
      </c>
      <c r="AE244" s="5">
        <f>IF(AQ244="7",BI244,0)</f>
        <v>0</v>
      </c>
      <c r="AF244" s="5">
        <f>IF(AQ244="2",BH244,0)</f>
        <v>0</v>
      </c>
      <c r="AG244" s="5">
        <f>IF(AQ244="2",BI244,0)</f>
        <v>0</v>
      </c>
      <c r="AH244" s="5">
        <f>IF(AQ244="0",BJ244,0)</f>
        <v>0</v>
      </c>
      <c r="AI244" s="3" t="s">
        <v>401</v>
      </c>
      <c r="AJ244" s="5">
        <f>IF(AN244=0,J244,0)</f>
        <v>0</v>
      </c>
      <c r="AK244" s="5">
        <f>IF(AN244=12,J244,0)</f>
        <v>0</v>
      </c>
      <c r="AL244" s="5">
        <f>IF(AN244=21,J244,0)</f>
        <v>0</v>
      </c>
      <c r="AN244" s="5">
        <v>21</v>
      </c>
      <c r="AO244" s="5">
        <f>G244*0.191465882</f>
        <v>0</v>
      </c>
      <c r="AP244" s="5">
        <f>G244*(1-0.191465882)</f>
        <v>0</v>
      </c>
      <c r="AQ244" s="6" t="s">
        <v>105</v>
      </c>
      <c r="AV244" s="5">
        <f>AW244+AX244</f>
        <v>0</v>
      </c>
      <c r="AW244" s="5">
        <f>F244*AO244</f>
        <v>0</v>
      </c>
      <c r="AX244" s="5">
        <f>F244*AP244</f>
        <v>0</v>
      </c>
      <c r="AY244" s="6" t="s">
        <v>180</v>
      </c>
      <c r="AZ244" s="6" t="s">
        <v>443</v>
      </c>
      <c r="BA244" s="3" t="s">
        <v>407</v>
      </c>
      <c r="BC244" s="5">
        <f>AW244+AX244</f>
        <v>0</v>
      </c>
      <c r="BD244" s="5">
        <f>G244/(100-BE244)*100</f>
        <v>0</v>
      </c>
      <c r="BE244" s="5">
        <v>0</v>
      </c>
      <c r="BF244" s="5">
        <f>244</f>
        <v>244</v>
      </c>
      <c r="BH244" s="5">
        <f>F244*AO244</f>
        <v>0</v>
      </c>
      <c r="BI244" s="5">
        <f>F244*AP244</f>
        <v>0</v>
      </c>
      <c r="BJ244" s="5">
        <f>F244*G244</f>
        <v>0</v>
      </c>
      <c r="BK244" s="5"/>
      <c r="BL244" s="5">
        <v>762</v>
      </c>
      <c r="BW244" s="5">
        <v>21</v>
      </c>
      <c r="BX244" s="2" t="s">
        <v>456</v>
      </c>
    </row>
    <row r="245" spans="1:76" ht="13.5" customHeight="1" x14ac:dyDescent="0.25">
      <c r="A245" s="187"/>
      <c r="B245" s="155"/>
      <c r="C245" s="189" t="s">
        <v>457</v>
      </c>
      <c r="D245" s="190"/>
      <c r="E245" s="190"/>
      <c r="F245" s="190"/>
      <c r="G245" s="190"/>
      <c r="H245" s="190"/>
      <c r="I245" s="190"/>
      <c r="J245" s="190"/>
      <c r="K245" s="191"/>
    </row>
    <row r="246" spans="1:76" x14ac:dyDescent="0.25">
      <c r="A246" s="201"/>
      <c r="B246" s="202"/>
      <c r="C246" s="203" t="s">
        <v>425</v>
      </c>
      <c r="D246" s="204" t="s">
        <v>415</v>
      </c>
      <c r="E246" s="202"/>
      <c r="F246" s="205">
        <v>1423.54</v>
      </c>
      <c r="G246" s="202"/>
      <c r="H246" s="202"/>
      <c r="I246" s="202"/>
      <c r="J246" s="202"/>
      <c r="K246" s="206"/>
    </row>
    <row r="247" spans="1:76" x14ac:dyDescent="0.25">
      <c r="A247" s="181"/>
      <c r="B247" s="182"/>
      <c r="C247" s="183" t="s">
        <v>458</v>
      </c>
      <c r="D247" s="184" t="s">
        <v>453</v>
      </c>
      <c r="E247" s="182"/>
      <c r="F247" s="185">
        <v>47.423999999999999</v>
      </c>
      <c r="G247" s="182"/>
      <c r="H247" s="182"/>
      <c r="I247" s="182"/>
      <c r="J247" s="182"/>
      <c r="K247" s="186"/>
    </row>
    <row r="248" spans="1:76" x14ac:dyDescent="0.25">
      <c r="A248" s="207" t="s">
        <v>459</v>
      </c>
      <c r="B248" s="208" t="s">
        <v>460</v>
      </c>
      <c r="C248" s="209" t="s">
        <v>461</v>
      </c>
      <c r="D248" s="210"/>
      <c r="E248" s="208" t="s">
        <v>206</v>
      </c>
      <c r="F248" s="211">
        <v>37.068300000000001</v>
      </c>
      <c r="G248" s="211">
        <v>0</v>
      </c>
      <c r="H248" s="211">
        <f>F248*AO248</f>
        <v>0</v>
      </c>
      <c r="I248" s="211">
        <f>F248*AP248</f>
        <v>0</v>
      </c>
      <c r="J248" s="211">
        <f>F248*G248</f>
        <v>0</v>
      </c>
      <c r="K248" s="212" t="s">
        <v>70</v>
      </c>
      <c r="Z248" s="5">
        <f>IF(AQ248="5",BJ248,0)</f>
        <v>0</v>
      </c>
      <c r="AB248" s="5">
        <f>IF(AQ248="1",BH248,0)</f>
        <v>0</v>
      </c>
      <c r="AC248" s="5">
        <f>IF(AQ248="1",BI248,0)</f>
        <v>0</v>
      </c>
      <c r="AD248" s="5">
        <f>IF(AQ248="7",BH248,0)</f>
        <v>0</v>
      </c>
      <c r="AE248" s="5">
        <f>IF(AQ248="7",BI248,0)</f>
        <v>0</v>
      </c>
      <c r="AF248" s="5">
        <f>IF(AQ248="2",BH248,0)</f>
        <v>0</v>
      </c>
      <c r="AG248" s="5">
        <f>IF(AQ248="2",BI248,0)</f>
        <v>0</v>
      </c>
      <c r="AH248" s="5">
        <f>IF(AQ248="0",BJ248,0)</f>
        <v>0</v>
      </c>
      <c r="AI248" s="3" t="s">
        <v>401</v>
      </c>
      <c r="AJ248" s="9">
        <f>IF(AN248=0,J248,0)</f>
        <v>0</v>
      </c>
      <c r="AK248" s="9">
        <f>IF(AN248=12,J248,0)</f>
        <v>0</v>
      </c>
      <c r="AL248" s="9">
        <f>IF(AN248=21,J248,0)</f>
        <v>0</v>
      </c>
      <c r="AN248" s="5">
        <v>21</v>
      </c>
      <c r="AO248" s="5">
        <f>G248*1</f>
        <v>0</v>
      </c>
      <c r="AP248" s="5">
        <f>G248*(1-1)</f>
        <v>0</v>
      </c>
      <c r="AQ248" s="10" t="s">
        <v>105</v>
      </c>
      <c r="AV248" s="5">
        <f>AW248+AX248</f>
        <v>0</v>
      </c>
      <c r="AW248" s="5">
        <f>F248*AO248</f>
        <v>0</v>
      </c>
      <c r="AX248" s="5">
        <f>F248*AP248</f>
        <v>0</v>
      </c>
      <c r="AY248" s="6" t="s">
        <v>180</v>
      </c>
      <c r="AZ248" s="6" t="s">
        <v>443</v>
      </c>
      <c r="BA248" s="3" t="s">
        <v>407</v>
      </c>
      <c r="BC248" s="5">
        <f>AW248+AX248</f>
        <v>0</v>
      </c>
      <c r="BD248" s="5">
        <f>G248/(100-BE248)*100</f>
        <v>0</v>
      </c>
      <c r="BE248" s="5">
        <v>0</v>
      </c>
      <c r="BF248" s="5">
        <f>248</f>
        <v>248</v>
      </c>
      <c r="BH248" s="9">
        <f>F248*AO248</f>
        <v>0</v>
      </c>
      <c r="BI248" s="9">
        <f>F248*AP248</f>
        <v>0</v>
      </c>
      <c r="BJ248" s="9">
        <f>F248*G248</f>
        <v>0</v>
      </c>
      <c r="BK248" s="9"/>
      <c r="BL248" s="5">
        <v>762</v>
      </c>
      <c r="BW248" s="5">
        <v>21</v>
      </c>
      <c r="BX248" s="8" t="s">
        <v>461</v>
      </c>
    </row>
    <row r="249" spans="1:76" x14ac:dyDescent="0.25">
      <c r="A249" s="181"/>
      <c r="B249" s="182"/>
      <c r="C249" s="183" t="s">
        <v>462</v>
      </c>
      <c r="D249" s="184" t="s">
        <v>52</v>
      </c>
      <c r="E249" s="182"/>
      <c r="F249" s="185">
        <v>35.303139999999999</v>
      </c>
      <c r="G249" s="182"/>
      <c r="H249" s="182"/>
      <c r="I249" s="182"/>
      <c r="J249" s="182"/>
      <c r="K249" s="186"/>
    </row>
    <row r="250" spans="1:76" x14ac:dyDescent="0.25">
      <c r="A250" s="181"/>
      <c r="B250" s="182"/>
      <c r="C250" s="183" t="s">
        <v>463</v>
      </c>
      <c r="D250" s="184" t="s">
        <v>52</v>
      </c>
      <c r="E250" s="182"/>
      <c r="F250" s="185">
        <v>1.7651600000000001</v>
      </c>
      <c r="G250" s="182"/>
      <c r="H250" s="182"/>
      <c r="I250" s="182"/>
      <c r="J250" s="182"/>
      <c r="K250" s="186"/>
    </row>
    <row r="251" spans="1:76" x14ac:dyDescent="0.25">
      <c r="A251" s="213" t="s">
        <v>464</v>
      </c>
      <c r="B251" s="214" t="s">
        <v>465</v>
      </c>
      <c r="C251" s="215" t="s">
        <v>466</v>
      </c>
      <c r="D251" s="216"/>
      <c r="E251" s="214" t="s">
        <v>69</v>
      </c>
      <c r="F251" s="217">
        <v>181.83</v>
      </c>
      <c r="G251" s="217">
        <v>0</v>
      </c>
      <c r="H251" s="217">
        <f>F251*AO251</f>
        <v>0</v>
      </c>
      <c r="I251" s="217">
        <f>F251*AP251</f>
        <v>0</v>
      </c>
      <c r="J251" s="217">
        <f>F251*G251</f>
        <v>0</v>
      </c>
      <c r="K251" s="218" t="s">
        <v>100</v>
      </c>
      <c r="Z251" s="5">
        <f>IF(AQ251="5",BJ251,0)</f>
        <v>0</v>
      </c>
      <c r="AB251" s="5">
        <f>IF(AQ251="1",BH251,0)</f>
        <v>0</v>
      </c>
      <c r="AC251" s="5">
        <f>IF(AQ251="1",BI251,0)</f>
        <v>0</v>
      </c>
      <c r="AD251" s="5">
        <f>IF(AQ251="7",BH251,0)</f>
        <v>0</v>
      </c>
      <c r="AE251" s="5">
        <f>IF(AQ251="7",BI251,0)</f>
        <v>0</v>
      </c>
      <c r="AF251" s="5">
        <f>IF(AQ251="2",BH251,0)</f>
        <v>0</v>
      </c>
      <c r="AG251" s="5">
        <f>IF(AQ251="2",BI251,0)</f>
        <v>0</v>
      </c>
      <c r="AH251" s="5">
        <f>IF(AQ251="0",BJ251,0)</f>
        <v>0</v>
      </c>
      <c r="AI251" s="3" t="s">
        <v>401</v>
      </c>
      <c r="AJ251" s="5">
        <f>IF(AN251=0,J251,0)</f>
        <v>0</v>
      </c>
      <c r="AK251" s="5">
        <f>IF(AN251=12,J251,0)</f>
        <v>0</v>
      </c>
      <c r="AL251" s="5">
        <f>IF(AN251=21,J251,0)</f>
        <v>0</v>
      </c>
      <c r="AN251" s="5">
        <v>21</v>
      </c>
      <c r="AO251" s="5">
        <f>G251*0.297905202</f>
        <v>0</v>
      </c>
      <c r="AP251" s="5">
        <f>G251*(1-0.297905202)</f>
        <v>0</v>
      </c>
      <c r="AQ251" s="6" t="s">
        <v>105</v>
      </c>
      <c r="AV251" s="5">
        <f>AW251+AX251</f>
        <v>0</v>
      </c>
      <c r="AW251" s="5">
        <f>F251*AO251</f>
        <v>0</v>
      </c>
      <c r="AX251" s="5">
        <f>F251*AP251</f>
        <v>0</v>
      </c>
      <c r="AY251" s="6" t="s">
        <v>180</v>
      </c>
      <c r="AZ251" s="6" t="s">
        <v>443</v>
      </c>
      <c r="BA251" s="3" t="s">
        <v>407</v>
      </c>
      <c r="BC251" s="5">
        <f>AW251+AX251</f>
        <v>0</v>
      </c>
      <c r="BD251" s="5">
        <f>G251/(100-BE251)*100</f>
        <v>0</v>
      </c>
      <c r="BE251" s="5">
        <v>0</v>
      </c>
      <c r="BF251" s="5">
        <f>251</f>
        <v>251</v>
      </c>
      <c r="BH251" s="5">
        <f>F251*AO251</f>
        <v>0</v>
      </c>
      <c r="BI251" s="5">
        <f>F251*AP251</f>
        <v>0</v>
      </c>
      <c r="BJ251" s="5">
        <f>F251*G251</f>
        <v>0</v>
      </c>
      <c r="BK251" s="5"/>
      <c r="BL251" s="5">
        <v>762</v>
      </c>
      <c r="BW251" s="5">
        <v>21</v>
      </c>
      <c r="BX251" s="2" t="s">
        <v>466</v>
      </c>
    </row>
    <row r="252" spans="1:76" ht="27" customHeight="1" x14ac:dyDescent="0.25">
      <c r="A252" s="187"/>
      <c r="B252" s="155"/>
      <c r="C252" s="189" t="s">
        <v>467</v>
      </c>
      <c r="D252" s="190"/>
      <c r="E252" s="190"/>
      <c r="F252" s="190"/>
      <c r="G252" s="190"/>
      <c r="H252" s="190"/>
      <c r="I252" s="190"/>
      <c r="J252" s="190"/>
      <c r="K252" s="191"/>
    </row>
    <row r="253" spans="1:76" x14ac:dyDescent="0.25">
      <c r="A253" s="201"/>
      <c r="B253" s="202"/>
      <c r="C253" s="203" t="s">
        <v>468</v>
      </c>
      <c r="D253" s="204" t="s">
        <v>52</v>
      </c>
      <c r="E253" s="202"/>
      <c r="F253" s="205">
        <v>181.83</v>
      </c>
      <c r="G253" s="202"/>
      <c r="H253" s="202"/>
      <c r="I253" s="202"/>
      <c r="J253" s="202"/>
      <c r="K253" s="206"/>
    </row>
    <row r="254" spans="1:76" ht="38.25" x14ac:dyDescent="0.25">
      <c r="A254" s="187"/>
      <c r="B254" s="188" t="s">
        <v>85</v>
      </c>
      <c r="C254" s="189" t="s">
        <v>469</v>
      </c>
      <c r="D254" s="190"/>
      <c r="E254" s="190"/>
      <c r="F254" s="190"/>
      <c r="G254" s="190"/>
      <c r="H254" s="190"/>
      <c r="I254" s="190"/>
      <c r="J254" s="190"/>
      <c r="K254" s="191"/>
      <c r="BX254" s="7" t="s">
        <v>469</v>
      </c>
    </row>
    <row r="255" spans="1:76" x14ac:dyDescent="0.25">
      <c r="A255" s="232" t="s">
        <v>470</v>
      </c>
      <c r="B255" s="233" t="s">
        <v>471</v>
      </c>
      <c r="C255" s="234" t="s">
        <v>472</v>
      </c>
      <c r="D255" s="235"/>
      <c r="E255" s="233" t="s">
        <v>206</v>
      </c>
      <c r="F255" s="236">
        <v>1.2800800000000001</v>
      </c>
      <c r="G255" s="236">
        <v>0</v>
      </c>
      <c r="H255" s="236">
        <f>F255*AO255</f>
        <v>0</v>
      </c>
      <c r="I255" s="236">
        <f>F255*AP255</f>
        <v>0</v>
      </c>
      <c r="J255" s="236">
        <f>F255*G255</f>
        <v>0</v>
      </c>
      <c r="K255" s="237" t="s">
        <v>70</v>
      </c>
      <c r="Z255" s="5">
        <f>IF(AQ255="5",BJ255,0)</f>
        <v>0</v>
      </c>
      <c r="AB255" s="5">
        <f>IF(AQ255="1",BH255,0)</f>
        <v>0</v>
      </c>
      <c r="AC255" s="5">
        <f>IF(AQ255="1",BI255,0)</f>
        <v>0</v>
      </c>
      <c r="AD255" s="5">
        <f>IF(AQ255="7",BH255,0)</f>
        <v>0</v>
      </c>
      <c r="AE255" s="5">
        <f>IF(AQ255="7",BI255,0)</f>
        <v>0</v>
      </c>
      <c r="AF255" s="5">
        <f>IF(AQ255="2",BH255,0)</f>
        <v>0</v>
      </c>
      <c r="AG255" s="5">
        <f>IF(AQ255="2",BI255,0)</f>
        <v>0</v>
      </c>
      <c r="AH255" s="5">
        <f>IF(AQ255="0",BJ255,0)</f>
        <v>0</v>
      </c>
      <c r="AI255" s="3" t="s">
        <v>401</v>
      </c>
      <c r="AJ255" s="9">
        <f>IF(AN255=0,J255,0)</f>
        <v>0</v>
      </c>
      <c r="AK255" s="9">
        <f>IF(AN255=12,J255,0)</f>
        <v>0</v>
      </c>
      <c r="AL255" s="9">
        <f>IF(AN255=21,J255,0)</f>
        <v>0</v>
      </c>
      <c r="AN255" s="5">
        <v>21</v>
      </c>
      <c r="AO255" s="5">
        <f>G255*1</f>
        <v>0</v>
      </c>
      <c r="AP255" s="5">
        <f>G255*(1-1)</f>
        <v>0</v>
      </c>
      <c r="AQ255" s="10" t="s">
        <v>105</v>
      </c>
      <c r="AV255" s="5">
        <f>AW255+AX255</f>
        <v>0</v>
      </c>
      <c r="AW255" s="5">
        <f>F255*AO255</f>
        <v>0</v>
      </c>
      <c r="AX255" s="5">
        <f>F255*AP255</f>
        <v>0</v>
      </c>
      <c r="AY255" s="6" t="s">
        <v>180</v>
      </c>
      <c r="AZ255" s="6" t="s">
        <v>443</v>
      </c>
      <c r="BA255" s="3" t="s">
        <v>407</v>
      </c>
      <c r="BC255" s="5">
        <f>AW255+AX255</f>
        <v>0</v>
      </c>
      <c r="BD255" s="5">
        <f>G255/(100-BE255)*100</f>
        <v>0</v>
      </c>
      <c r="BE255" s="5">
        <v>0</v>
      </c>
      <c r="BF255" s="5">
        <f>255</f>
        <v>255</v>
      </c>
      <c r="BH255" s="9">
        <f>F255*AO255</f>
        <v>0</v>
      </c>
      <c r="BI255" s="9">
        <f>F255*AP255</f>
        <v>0</v>
      </c>
      <c r="BJ255" s="9">
        <f>F255*G255</f>
        <v>0</v>
      </c>
      <c r="BK255" s="9"/>
      <c r="BL255" s="5">
        <v>762</v>
      </c>
      <c r="BW255" s="5">
        <v>21</v>
      </c>
      <c r="BX255" s="8" t="s">
        <v>472</v>
      </c>
    </row>
    <row r="256" spans="1:76" x14ac:dyDescent="0.25">
      <c r="A256" s="181"/>
      <c r="B256" s="182"/>
      <c r="C256" s="183" t="s">
        <v>473</v>
      </c>
      <c r="D256" s="184" t="s">
        <v>52</v>
      </c>
      <c r="E256" s="182"/>
      <c r="F256" s="185">
        <v>1.16371</v>
      </c>
      <c r="G256" s="182"/>
      <c r="H256" s="182"/>
      <c r="I256" s="182"/>
      <c r="J256" s="182"/>
      <c r="K256" s="186"/>
    </row>
    <row r="257" spans="1:76" x14ac:dyDescent="0.25">
      <c r="A257" s="181"/>
      <c r="B257" s="182"/>
      <c r="C257" s="183" t="s">
        <v>474</v>
      </c>
      <c r="D257" s="184" t="s">
        <v>52</v>
      </c>
      <c r="E257" s="182"/>
      <c r="F257" s="185">
        <v>0.11637</v>
      </c>
      <c r="G257" s="182"/>
      <c r="H257" s="182"/>
      <c r="I257" s="182"/>
      <c r="J257" s="182"/>
      <c r="K257" s="186"/>
    </row>
    <row r="258" spans="1:76" x14ac:dyDescent="0.25">
      <c r="A258" s="187"/>
      <c r="B258" s="188" t="s">
        <v>85</v>
      </c>
      <c r="C258" s="189" t="s">
        <v>475</v>
      </c>
      <c r="D258" s="190"/>
      <c r="E258" s="190"/>
      <c r="F258" s="190"/>
      <c r="G258" s="190"/>
      <c r="H258" s="190"/>
      <c r="I258" s="190"/>
      <c r="J258" s="190"/>
      <c r="K258" s="191"/>
      <c r="BX258" s="11" t="s">
        <v>475</v>
      </c>
    </row>
    <row r="259" spans="1:76" x14ac:dyDescent="0.25">
      <c r="A259" s="175" t="s">
        <v>476</v>
      </c>
      <c r="B259" s="176" t="s">
        <v>477</v>
      </c>
      <c r="C259" s="177" t="s">
        <v>478</v>
      </c>
      <c r="D259" s="178"/>
      <c r="E259" s="176" t="s">
        <v>69</v>
      </c>
      <c r="F259" s="179">
        <v>143.05199999999999</v>
      </c>
      <c r="G259" s="179">
        <v>0</v>
      </c>
      <c r="H259" s="179">
        <f>F259*AO259</f>
        <v>0</v>
      </c>
      <c r="I259" s="179">
        <f>F259*AP259</f>
        <v>0</v>
      </c>
      <c r="J259" s="179">
        <f>F259*G259</f>
        <v>0</v>
      </c>
      <c r="K259" s="180" t="s">
        <v>70</v>
      </c>
      <c r="Z259" s="5">
        <f>IF(AQ259="5",BJ259,0)</f>
        <v>0</v>
      </c>
      <c r="AB259" s="5">
        <f>IF(AQ259="1",BH259,0)</f>
        <v>0</v>
      </c>
      <c r="AC259" s="5">
        <f>IF(AQ259="1",BI259,0)</f>
        <v>0</v>
      </c>
      <c r="AD259" s="5">
        <f>IF(AQ259="7",BH259,0)</f>
        <v>0</v>
      </c>
      <c r="AE259" s="5">
        <f>IF(AQ259="7",BI259,0)</f>
        <v>0</v>
      </c>
      <c r="AF259" s="5">
        <f>IF(AQ259="2",BH259,0)</f>
        <v>0</v>
      </c>
      <c r="AG259" s="5">
        <f>IF(AQ259="2",BI259,0)</f>
        <v>0</v>
      </c>
      <c r="AH259" s="5">
        <f>IF(AQ259="0",BJ259,0)</f>
        <v>0</v>
      </c>
      <c r="AI259" s="3" t="s">
        <v>401</v>
      </c>
      <c r="AJ259" s="5">
        <f>IF(AN259=0,J259,0)</f>
        <v>0</v>
      </c>
      <c r="AK259" s="5">
        <f>IF(AN259=12,J259,0)</f>
        <v>0</v>
      </c>
      <c r="AL259" s="5">
        <f>IF(AN259=21,J259,0)</f>
        <v>0</v>
      </c>
      <c r="AN259" s="5">
        <v>21</v>
      </c>
      <c r="AO259" s="5">
        <f>G259*0.008950381</f>
        <v>0</v>
      </c>
      <c r="AP259" s="5">
        <f>G259*(1-0.008950381)</f>
        <v>0</v>
      </c>
      <c r="AQ259" s="6" t="s">
        <v>105</v>
      </c>
      <c r="AV259" s="5">
        <f>AW259+AX259</f>
        <v>0</v>
      </c>
      <c r="AW259" s="5">
        <f>F259*AO259</f>
        <v>0</v>
      </c>
      <c r="AX259" s="5">
        <f>F259*AP259</f>
        <v>0</v>
      </c>
      <c r="AY259" s="6" t="s">
        <v>180</v>
      </c>
      <c r="AZ259" s="6" t="s">
        <v>443</v>
      </c>
      <c r="BA259" s="3" t="s">
        <v>407</v>
      </c>
      <c r="BC259" s="5">
        <f>AW259+AX259</f>
        <v>0</v>
      </c>
      <c r="BD259" s="5">
        <f>G259/(100-BE259)*100</f>
        <v>0</v>
      </c>
      <c r="BE259" s="5">
        <v>0</v>
      </c>
      <c r="BF259" s="5">
        <f>259</f>
        <v>259</v>
      </c>
      <c r="BH259" s="5">
        <f>F259*AO259</f>
        <v>0</v>
      </c>
      <c r="BI259" s="5">
        <f>F259*AP259</f>
        <v>0</v>
      </c>
      <c r="BJ259" s="5">
        <f>F259*G259</f>
        <v>0</v>
      </c>
      <c r="BK259" s="5"/>
      <c r="BL259" s="5">
        <v>762</v>
      </c>
      <c r="BW259" s="5">
        <v>21</v>
      </c>
      <c r="BX259" s="2" t="s">
        <v>478</v>
      </c>
    </row>
    <row r="260" spans="1:76" ht="13.5" customHeight="1" x14ac:dyDescent="0.25">
      <c r="A260" s="187"/>
      <c r="B260" s="155"/>
      <c r="C260" s="189" t="s">
        <v>479</v>
      </c>
      <c r="D260" s="190"/>
      <c r="E260" s="190"/>
      <c r="F260" s="190"/>
      <c r="G260" s="190"/>
      <c r="H260" s="190"/>
      <c r="I260" s="190"/>
      <c r="J260" s="190"/>
      <c r="K260" s="191"/>
    </row>
    <row r="261" spans="1:76" x14ac:dyDescent="0.25">
      <c r="A261" s="201"/>
      <c r="B261" s="202"/>
      <c r="C261" s="203" t="s">
        <v>480</v>
      </c>
      <c r="D261" s="204" t="s">
        <v>481</v>
      </c>
      <c r="E261" s="202"/>
      <c r="F261" s="205">
        <v>143.05199999999999</v>
      </c>
      <c r="G261" s="202"/>
      <c r="H261" s="202"/>
      <c r="I261" s="202"/>
      <c r="J261" s="202"/>
      <c r="K261" s="206"/>
    </row>
    <row r="262" spans="1:76" x14ac:dyDescent="0.25">
      <c r="A262" s="192"/>
      <c r="B262" s="193" t="s">
        <v>85</v>
      </c>
      <c r="C262" s="194" t="s">
        <v>482</v>
      </c>
      <c r="D262" s="195"/>
      <c r="E262" s="195"/>
      <c r="F262" s="195"/>
      <c r="G262" s="195"/>
      <c r="H262" s="195"/>
      <c r="I262" s="195"/>
      <c r="J262" s="195"/>
      <c r="K262" s="196"/>
      <c r="BX262" s="7" t="s">
        <v>482</v>
      </c>
    </row>
    <row r="263" spans="1:76" x14ac:dyDescent="0.25">
      <c r="A263" s="146" t="s">
        <v>483</v>
      </c>
      <c r="B263" s="149" t="s">
        <v>484</v>
      </c>
      <c r="C263" s="116" t="s">
        <v>485</v>
      </c>
      <c r="D263" s="112"/>
      <c r="E263" s="149" t="s">
        <v>69</v>
      </c>
      <c r="F263" s="152">
        <v>17.27</v>
      </c>
      <c r="G263" s="152">
        <v>0</v>
      </c>
      <c r="H263" s="152">
        <f>F263*AO263</f>
        <v>0</v>
      </c>
      <c r="I263" s="152">
        <f>F263*AP263</f>
        <v>0</v>
      </c>
      <c r="J263" s="152">
        <f>F263*G263</f>
        <v>0</v>
      </c>
      <c r="K263" s="153" t="s">
        <v>70</v>
      </c>
      <c r="Z263" s="5">
        <f>IF(AQ263="5",BJ263,0)</f>
        <v>0</v>
      </c>
      <c r="AB263" s="5">
        <f>IF(AQ263="1",BH263,0)</f>
        <v>0</v>
      </c>
      <c r="AC263" s="5">
        <f>IF(AQ263="1",BI263,0)</f>
        <v>0</v>
      </c>
      <c r="AD263" s="5">
        <f>IF(AQ263="7",BH263,0)</f>
        <v>0</v>
      </c>
      <c r="AE263" s="5">
        <f>IF(AQ263="7",BI263,0)</f>
        <v>0</v>
      </c>
      <c r="AF263" s="5">
        <f>IF(AQ263="2",BH263,0)</f>
        <v>0</v>
      </c>
      <c r="AG263" s="5">
        <f>IF(AQ263="2",BI263,0)</f>
        <v>0</v>
      </c>
      <c r="AH263" s="5">
        <f>IF(AQ263="0",BJ263,0)</f>
        <v>0</v>
      </c>
      <c r="AI263" s="3" t="s">
        <v>401</v>
      </c>
      <c r="AJ263" s="5">
        <f>IF(AN263=0,J263,0)</f>
        <v>0</v>
      </c>
      <c r="AK263" s="5">
        <f>IF(AN263=12,J263,0)</f>
        <v>0</v>
      </c>
      <c r="AL263" s="5">
        <f>IF(AN263=21,J263,0)</f>
        <v>0</v>
      </c>
      <c r="AN263" s="5">
        <v>21</v>
      </c>
      <c r="AO263" s="5">
        <f>G263*0</f>
        <v>0</v>
      </c>
      <c r="AP263" s="5">
        <f>G263*(1-0)</f>
        <v>0</v>
      </c>
      <c r="AQ263" s="6" t="s">
        <v>105</v>
      </c>
      <c r="AV263" s="5">
        <f>AW263+AX263</f>
        <v>0</v>
      </c>
      <c r="AW263" s="5">
        <f>F263*AO263</f>
        <v>0</v>
      </c>
      <c r="AX263" s="5">
        <f>F263*AP263</f>
        <v>0</v>
      </c>
      <c r="AY263" s="6" t="s">
        <v>180</v>
      </c>
      <c r="AZ263" s="6" t="s">
        <v>443</v>
      </c>
      <c r="BA263" s="3" t="s">
        <v>407</v>
      </c>
      <c r="BC263" s="5">
        <f>AW263+AX263</f>
        <v>0</v>
      </c>
      <c r="BD263" s="5">
        <f>G263/(100-BE263)*100</f>
        <v>0</v>
      </c>
      <c r="BE263" s="5">
        <v>0</v>
      </c>
      <c r="BF263" s="5">
        <f>263</f>
        <v>263</v>
      </c>
      <c r="BH263" s="5">
        <f>F263*AO263</f>
        <v>0</v>
      </c>
      <c r="BI263" s="5">
        <f>F263*AP263</f>
        <v>0</v>
      </c>
      <c r="BJ263" s="5">
        <f>F263*G263</f>
        <v>0</v>
      </c>
      <c r="BK263" s="5"/>
      <c r="BL263" s="5">
        <v>762</v>
      </c>
      <c r="BW263" s="5">
        <v>21</v>
      </c>
      <c r="BX263" s="2" t="s">
        <v>485</v>
      </c>
    </row>
    <row r="264" spans="1:76" x14ac:dyDescent="0.25">
      <c r="A264" s="154"/>
      <c r="B264" s="155"/>
      <c r="C264" s="159" t="s">
        <v>486</v>
      </c>
      <c r="D264" s="160" t="s">
        <v>487</v>
      </c>
      <c r="E264" s="155"/>
      <c r="F264" s="161">
        <v>2.92</v>
      </c>
      <c r="G264" s="155"/>
      <c r="H264" s="155"/>
      <c r="I264" s="155"/>
      <c r="J264" s="155"/>
      <c r="K264" s="162"/>
    </row>
    <row r="265" spans="1:76" x14ac:dyDescent="0.25">
      <c r="A265" s="154"/>
      <c r="B265" s="155"/>
      <c r="C265" s="159" t="s">
        <v>488</v>
      </c>
      <c r="D265" s="160" t="s">
        <v>489</v>
      </c>
      <c r="E265" s="155"/>
      <c r="F265" s="161">
        <v>4.5</v>
      </c>
      <c r="G265" s="155"/>
      <c r="H265" s="155"/>
      <c r="I265" s="155"/>
      <c r="J265" s="155"/>
      <c r="K265" s="162"/>
    </row>
    <row r="266" spans="1:76" x14ac:dyDescent="0.25">
      <c r="A266" s="154"/>
      <c r="B266" s="155"/>
      <c r="C266" s="159" t="s">
        <v>490</v>
      </c>
      <c r="D266" s="160" t="s">
        <v>491</v>
      </c>
      <c r="E266" s="155"/>
      <c r="F266" s="161">
        <v>6.2</v>
      </c>
      <c r="G266" s="155"/>
      <c r="H266" s="155"/>
      <c r="I266" s="155"/>
      <c r="J266" s="155"/>
      <c r="K266" s="162"/>
    </row>
    <row r="267" spans="1:76" x14ac:dyDescent="0.25">
      <c r="A267" s="154"/>
      <c r="B267" s="155"/>
      <c r="C267" s="159" t="s">
        <v>492</v>
      </c>
      <c r="D267" s="160" t="s">
        <v>493</v>
      </c>
      <c r="E267" s="155"/>
      <c r="F267" s="161">
        <v>3.65</v>
      </c>
      <c r="G267" s="155"/>
      <c r="H267" s="155"/>
      <c r="I267" s="155"/>
      <c r="J267" s="155"/>
      <c r="K267" s="162"/>
    </row>
    <row r="268" spans="1:76" ht="38.25" x14ac:dyDescent="0.25">
      <c r="A268" s="154"/>
      <c r="B268" s="163" t="s">
        <v>85</v>
      </c>
      <c r="C268" s="156" t="s">
        <v>494</v>
      </c>
      <c r="D268" s="157"/>
      <c r="E268" s="157"/>
      <c r="F268" s="157"/>
      <c r="G268" s="157"/>
      <c r="H268" s="157"/>
      <c r="I268" s="157"/>
      <c r="J268" s="157"/>
      <c r="K268" s="158"/>
      <c r="BX268" s="7" t="s">
        <v>494</v>
      </c>
    </row>
    <row r="269" spans="1:76" x14ac:dyDescent="0.25">
      <c r="A269" s="164" t="s">
        <v>495</v>
      </c>
      <c r="B269" s="165" t="s">
        <v>496</v>
      </c>
      <c r="C269" s="166" t="s">
        <v>497</v>
      </c>
      <c r="D269" s="167"/>
      <c r="E269" s="165" t="s">
        <v>69</v>
      </c>
      <c r="F269" s="168">
        <v>18.133500000000002</v>
      </c>
      <c r="G269" s="168">
        <v>0</v>
      </c>
      <c r="H269" s="168">
        <f>F269*AO269</f>
        <v>0</v>
      </c>
      <c r="I269" s="168">
        <f>F269*AP269</f>
        <v>0</v>
      </c>
      <c r="J269" s="168">
        <f>F269*G269</f>
        <v>0</v>
      </c>
      <c r="K269" s="169" t="s">
        <v>70</v>
      </c>
      <c r="Z269" s="5">
        <f>IF(AQ269="5",BJ269,0)</f>
        <v>0</v>
      </c>
      <c r="AB269" s="5">
        <f>IF(AQ269="1",BH269,0)</f>
        <v>0</v>
      </c>
      <c r="AC269" s="5">
        <f>IF(AQ269="1",BI269,0)</f>
        <v>0</v>
      </c>
      <c r="AD269" s="5">
        <f>IF(AQ269="7",BH269,0)</f>
        <v>0</v>
      </c>
      <c r="AE269" s="5">
        <f>IF(AQ269="7",BI269,0)</f>
        <v>0</v>
      </c>
      <c r="AF269" s="5">
        <f>IF(AQ269="2",BH269,0)</f>
        <v>0</v>
      </c>
      <c r="AG269" s="5">
        <f>IF(AQ269="2",BI269,0)</f>
        <v>0</v>
      </c>
      <c r="AH269" s="5">
        <f>IF(AQ269="0",BJ269,0)</f>
        <v>0</v>
      </c>
      <c r="AI269" s="3" t="s">
        <v>401</v>
      </c>
      <c r="AJ269" s="9">
        <f>IF(AN269=0,J269,0)</f>
        <v>0</v>
      </c>
      <c r="AK269" s="9">
        <f>IF(AN269=12,J269,0)</f>
        <v>0</v>
      </c>
      <c r="AL269" s="9">
        <f>IF(AN269=21,J269,0)</f>
        <v>0</v>
      </c>
      <c r="AN269" s="5">
        <v>21</v>
      </c>
      <c r="AO269" s="5">
        <f>G269*1</f>
        <v>0</v>
      </c>
      <c r="AP269" s="5">
        <f>G269*(1-1)</f>
        <v>0</v>
      </c>
      <c r="AQ269" s="10" t="s">
        <v>105</v>
      </c>
      <c r="AV269" s="5">
        <f>AW269+AX269</f>
        <v>0</v>
      </c>
      <c r="AW269" s="5">
        <f>F269*AO269</f>
        <v>0</v>
      </c>
      <c r="AX269" s="5">
        <f>F269*AP269</f>
        <v>0</v>
      </c>
      <c r="AY269" s="6" t="s">
        <v>180</v>
      </c>
      <c r="AZ269" s="6" t="s">
        <v>443</v>
      </c>
      <c r="BA269" s="3" t="s">
        <v>407</v>
      </c>
      <c r="BC269" s="5">
        <f>AW269+AX269</f>
        <v>0</v>
      </c>
      <c r="BD269" s="5">
        <f>G269/(100-BE269)*100</f>
        <v>0</v>
      </c>
      <c r="BE269" s="5">
        <v>0</v>
      </c>
      <c r="BF269" s="5">
        <f>269</f>
        <v>269</v>
      </c>
      <c r="BH269" s="9">
        <f>F269*AO269</f>
        <v>0</v>
      </c>
      <c r="BI269" s="9">
        <f>F269*AP269</f>
        <v>0</v>
      </c>
      <c r="BJ269" s="9">
        <f>F269*G269</f>
        <v>0</v>
      </c>
      <c r="BK269" s="9"/>
      <c r="BL269" s="5">
        <v>762</v>
      </c>
      <c r="BW269" s="5">
        <v>21</v>
      </c>
      <c r="BX269" s="8" t="s">
        <v>497</v>
      </c>
    </row>
    <row r="270" spans="1:76" x14ac:dyDescent="0.25">
      <c r="A270" s="154"/>
      <c r="B270" s="155"/>
      <c r="C270" s="159" t="s">
        <v>486</v>
      </c>
      <c r="D270" s="160" t="s">
        <v>487</v>
      </c>
      <c r="E270" s="155"/>
      <c r="F270" s="161">
        <v>2.92</v>
      </c>
      <c r="G270" s="155"/>
      <c r="H270" s="155"/>
      <c r="I270" s="155"/>
      <c r="J270" s="155"/>
      <c r="K270" s="162"/>
    </row>
    <row r="271" spans="1:76" x14ac:dyDescent="0.25">
      <c r="A271" s="154"/>
      <c r="B271" s="155"/>
      <c r="C271" s="159" t="s">
        <v>488</v>
      </c>
      <c r="D271" s="160" t="s">
        <v>489</v>
      </c>
      <c r="E271" s="155"/>
      <c r="F271" s="161">
        <v>4.5</v>
      </c>
      <c r="G271" s="155"/>
      <c r="H271" s="155"/>
      <c r="I271" s="155"/>
      <c r="J271" s="155"/>
      <c r="K271" s="162"/>
    </row>
    <row r="272" spans="1:76" x14ac:dyDescent="0.25">
      <c r="A272" s="154"/>
      <c r="B272" s="155"/>
      <c r="C272" s="159" t="s">
        <v>490</v>
      </c>
      <c r="D272" s="160" t="s">
        <v>491</v>
      </c>
      <c r="E272" s="155"/>
      <c r="F272" s="161">
        <v>6.2</v>
      </c>
      <c r="G272" s="155"/>
      <c r="H272" s="155"/>
      <c r="I272" s="155"/>
      <c r="J272" s="155"/>
      <c r="K272" s="162"/>
    </row>
    <row r="273" spans="1:76" x14ac:dyDescent="0.25">
      <c r="A273" s="154"/>
      <c r="B273" s="155"/>
      <c r="C273" s="159" t="s">
        <v>492</v>
      </c>
      <c r="D273" s="160" t="s">
        <v>493</v>
      </c>
      <c r="E273" s="155"/>
      <c r="F273" s="161">
        <v>3.65</v>
      </c>
      <c r="G273" s="155"/>
      <c r="H273" s="155"/>
      <c r="I273" s="155"/>
      <c r="J273" s="155"/>
      <c r="K273" s="162"/>
    </row>
    <row r="274" spans="1:76" x14ac:dyDescent="0.25">
      <c r="A274" s="154"/>
      <c r="B274" s="155"/>
      <c r="C274" s="159" t="s">
        <v>498</v>
      </c>
      <c r="D274" s="160" t="s">
        <v>52</v>
      </c>
      <c r="E274" s="155"/>
      <c r="F274" s="161">
        <v>0.86350000000000005</v>
      </c>
      <c r="G274" s="155"/>
      <c r="H274" s="155"/>
      <c r="I274" s="155"/>
      <c r="J274" s="155"/>
      <c r="K274" s="162"/>
    </row>
    <row r="275" spans="1:76" ht="25.5" x14ac:dyDescent="0.25">
      <c r="A275" s="170"/>
      <c r="B275" s="197" t="s">
        <v>85</v>
      </c>
      <c r="C275" s="198" t="s">
        <v>499</v>
      </c>
      <c r="D275" s="199"/>
      <c r="E275" s="199"/>
      <c r="F275" s="199"/>
      <c r="G275" s="199"/>
      <c r="H275" s="199"/>
      <c r="I275" s="199"/>
      <c r="J275" s="199"/>
      <c r="K275" s="200"/>
      <c r="BX275" s="11" t="s">
        <v>499</v>
      </c>
    </row>
    <row r="276" spans="1:76" x14ac:dyDescent="0.25">
      <c r="A276" s="175" t="s">
        <v>500</v>
      </c>
      <c r="B276" s="176" t="s">
        <v>220</v>
      </c>
      <c r="C276" s="177" t="s">
        <v>221</v>
      </c>
      <c r="D276" s="178"/>
      <c r="E276" s="176" t="s">
        <v>69</v>
      </c>
      <c r="F276" s="179">
        <v>3815.7487599999999</v>
      </c>
      <c r="G276" s="179">
        <v>0</v>
      </c>
      <c r="H276" s="179">
        <f>F276*AO276</f>
        <v>0</v>
      </c>
      <c r="I276" s="179">
        <f>F276*AP276</f>
        <v>0</v>
      </c>
      <c r="J276" s="179">
        <f>F276*G276</f>
        <v>0</v>
      </c>
      <c r="K276" s="180" t="s">
        <v>70</v>
      </c>
      <c r="Z276" s="5">
        <f>IF(AQ276="5",BJ276,0)</f>
        <v>0</v>
      </c>
      <c r="AB276" s="5">
        <f>IF(AQ276="1",BH276,0)</f>
        <v>0</v>
      </c>
      <c r="AC276" s="5">
        <f>IF(AQ276="1",BI276,0)</f>
        <v>0</v>
      </c>
      <c r="AD276" s="5">
        <f>IF(AQ276="7",BH276,0)</f>
        <v>0</v>
      </c>
      <c r="AE276" s="5">
        <f>IF(AQ276="7",BI276,0)</f>
        <v>0</v>
      </c>
      <c r="AF276" s="5">
        <f>IF(AQ276="2",BH276,0)</f>
        <v>0</v>
      </c>
      <c r="AG276" s="5">
        <f>IF(AQ276="2",BI276,0)</f>
        <v>0</v>
      </c>
      <c r="AH276" s="5">
        <f>IF(AQ276="0",BJ276,0)</f>
        <v>0</v>
      </c>
      <c r="AI276" s="3" t="s">
        <v>401</v>
      </c>
      <c r="AJ276" s="5">
        <f>IF(AN276=0,J276,0)</f>
        <v>0</v>
      </c>
      <c r="AK276" s="5">
        <f>IF(AN276=12,J276,0)</f>
        <v>0</v>
      </c>
      <c r="AL276" s="5">
        <f>IF(AN276=21,J276,0)</f>
        <v>0</v>
      </c>
      <c r="AN276" s="5">
        <v>21</v>
      </c>
      <c r="AO276" s="5">
        <f>G276*0.735955034</f>
        <v>0</v>
      </c>
      <c r="AP276" s="5">
        <f>G276*(1-0.735955034)</f>
        <v>0</v>
      </c>
      <c r="AQ276" s="6" t="s">
        <v>105</v>
      </c>
      <c r="AV276" s="5">
        <f>AW276+AX276</f>
        <v>0</v>
      </c>
      <c r="AW276" s="5">
        <f>F276*AO276</f>
        <v>0</v>
      </c>
      <c r="AX276" s="5">
        <f>F276*AP276</f>
        <v>0</v>
      </c>
      <c r="AY276" s="6" t="s">
        <v>180</v>
      </c>
      <c r="AZ276" s="6" t="s">
        <v>443</v>
      </c>
      <c r="BA276" s="3" t="s">
        <v>407</v>
      </c>
      <c r="BC276" s="5">
        <f>AW276+AX276</f>
        <v>0</v>
      </c>
      <c r="BD276" s="5">
        <f>G276/(100-BE276)*100</f>
        <v>0</v>
      </c>
      <c r="BE276" s="5">
        <v>0</v>
      </c>
      <c r="BF276" s="5">
        <f>276</f>
        <v>276</v>
      </c>
      <c r="BH276" s="5">
        <f>F276*AO276</f>
        <v>0</v>
      </c>
      <c r="BI276" s="5">
        <f>F276*AP276</f>
        <v>0</v>
      </c>
      <c r="BJ276" s="5">
        <f>F276*G276</f>
        <v>0</v>
      </c>
      <c r="BK276" s="5"/>
      <c r="BL276" s="5">
        <v>762</v>
      </c>
      <c r="BW276" s="5">
        <v>21</v>
      </c>
      <c r="BX276" s="2" t="s">
        <v>221</v>
      </c>
    </row>
    <row r="277" spans="1:76" x14ac:dyDescent="0.25">
      <c r="A277" s="181"/>
      <c r="B277" s="182"/>
      <c r="C277" s="183" t="s">
        <v>501</v>
      </c>
      <c r="D277" s="184" t="s">
        <v>52</v>
      </c>
      <c r="E277" s="182"/>
      <c r="F277" s="185">
        <v>58.185600000000001</v>
      </c>
      <c r="G277" s="182"/>
      <c r="H277" s="182"/>
      <c r="I277" s="182"/>
      <c r="J277" s="182"/>
      <c r="K277" s="186"/>
    </row>
    <row r="278" spans="1:76" x14ac:dyDescent="0.25">
      <c r="A278" s="181"/>
      <c r="B278" s="182"/>
      <c r="C278" s="183" t="s">
        <v>502</v>
      </c>
      <c r="D278" s="184" t="s">
        <v>415</v>
      </c>
      <c r="E278" s="182"/>
      <c r="F278" s="185">
        <v>3131.788</v>
      </c>
      <c r="G278" s="182"/>
      <c r="H278" s="182"/>
      <c r="I278" s="182"/>
      <c r="J278" s="182"/>
      <c r="K278" s="186"/>
    </row>
    <row r="279" spans="1:76" x14ac:dyDescent="0.25">
      <c r="A279" s="181"/>
      <c r="B279" s="182"/>
      <c r="C279" s="183" t="s">
        <v>503</v>
      </c>
      <c r="D279" s="184" t="s">
        <v>453</v>
      </c>
      <c r="E279" s="182"/>
      <c r="F279" s="185">
        <v>104.33280000000001</v>
      </c>
      <c r="G279" s="182"/>
      <c r="H279" s="182"/>
      <c r="I279" s="182"/>
      <c r="J279" s="182"/>
      <c r="K279" s="186"/>
    </row>
    <row r="280" spans="1:76" x14ac:dyDescent="0.25">
      <c r="A280" s="181"/>
      <c r="B280" s="182"/>
      <c r="C280" s="183" t="s">
        <v>224</v>
      </c>
      <c r="D280" s="184" t="s">
        <v>199</v>
      </c>
      <c r="E280" s="182"/>
      <c r="F280" s="185">
        <v>8.5920000000000005</v>
      </c>
      <c r="G280" s="182"/>
      <c r="H280" s="182"/>
      <c r="I280" s="182"/>
      <c r="J280" s="182"/>
      <c r="K280" s="186"/>
    </row>
    <row r="281" spans="1:76" x14ac:dyDescent="0.25">
      <c r="A281" s="181"/>
      <c r="B281" s="182"/>
      <c r="C281" s="183" t="s">
        <v>225</v>
      </c>
      <c r="D281" s="184" t="s">
        <v>201</v>
      </c>
      <c r="E281" s="182"/>
      <c r="F281" s="185">
        <v>3.3119999999999998</v>
      </c>
      <c r="G281" s="182"/>
      <c r="H281" s="182"/>
      <c r="I281" s="182"/>
      <c r="J281" s="182"/>
      <c r="K281" s="186"/>
    </row>
    <row r="282" spans="1:76" x14ac:dyDescent="0.25">
      <c r="A282" s="181"/>
      <c r="B282" s="182"/>
      <c r="C282" s="183" t="s">
        <v>504</v>
      </c>
      <c r="D282" s="184" t="s">
        <v>446</v>
      </c>
      <c r="E282" s="182"/>
      <c r="F282" s="185">
        <v>11.832000000000001</v>
      </c>
      <c r="G282" s="182"/>
      <c r="H282" s="182"/>
      <c r="I282" s="182"/>
      <c r="J282" s="182"/>
      <c r="K282" s="186"/>
    </row>
    <row r="283" spans="1:76" x14ac:dyDescent="0.25">
      <c r="A283" s="181"/>
      <c r="B283" s="182"/>
      <c r="C283" s="183" t="s">
        <v>505</v>
      </c>
      <c r="D283" s="184" t="s">
        <v>52</v>
      </c>
      <c r="E283" s="182"/>
      <c r="F283" s="185">
        <v>497.70636000000002</v>
      </c>
      <c r="G283" s="182"/>
      <c r="H283" s="182"/>
      <c r="I283" s="182"/>
      <c r="J283" s="182"/>
      <c r="K283" s="186"/>
    </row>
    <row r="284" spans="1:76" ht="38.25" x14ac:dyDescent="0.25">
      <c r="A284" s="187"/>
      <c r="B284" s="188" t="s">
        <v>85</v>
      </c>
      <c r="C284" s="189" t="s">
        <v>227</v>
      </c>
      <c r="D284" s="190"/>
      <c r="E284" s="190"/>
      <c r="F284" s="190"/>
      <c r="G284" s="190"/>
      <c r="H284" s="190"/>
      <c r="I284" s="190"/>
      <c r="J284" s="190"/>
      <c r="K284" s="191"/>
      <c r="BX284" s="7" t="s">
        <v>227</v>
      </c>
    </row>
    <row r="285" spans="1:76" x14ac:dyDescent="0.25">
      <c r="A285" s="175" t="s">
        <v>506</v>
      </c>
      <c r="B285" s="176" t="s">
        <v>229</v>
      </c>
      <c r="C285" s="177" t="s">
        <v>230</v>
      </c>
      <c r="D285" s="178"/>
      <c r="E285" s="176" t="s">
        <v>206</v>
      </c>
      <c r="F285" s="179">
        <v>39.726579999999998</v>
      </c>
      <c r="G285" s="179">
        <v>0</v>
      </c>
      <c r="H285" s="179">
        <f>F285*AO285</f>
        <v>0</v>
      </c>
      <c r="I285" s="179">
        <f>F285*AP285</f>
        <v>0</v>
      </c>
      <c r="J285" s="179">
        <f>F285*G285</f>
        <v>0</v>
      </c>
      <c r="K285" s="180" t="s">
        <v>70</v>
      </c>
      <c r="Z285" s="5">
        <f>IF(AQ285="5",BJ285,0)</f>
        <v>0</v>
      </c>
      <c r="AB285" s="5">
        <f>IF(AQ285="1",BH285,0)</f>
        <v>0</v>
      </c>
      <c r="AC285" s="5">
        <f>IF(AQ285="1",BI285,0)</f>
        <v>0</v>
      </c>
      <c r="AD285" s="5">
        <f>IF(AQ285="7",BH285,0)</f>
        <v>0</v>
      </c>
      <c r="AE285" s="5">
        <f>IF(AQ285="7",BI285,0)</f>
        <v>0</v>
      </c>
      <c r="AF285" s="5">
        <f>IF(AQ285="2",BH285,0)</f>
        <v>0</v>
      </c>
      <c r="AG285" s="5">
        <f>IF(AQ285="2",BI285,0)</f>
        <v>0</v>
      </c>
      <c r="AH285" s="5">
        <f>IF(AQ285="0",BJ285,0)</f>
        <v>0</v>
      </c>
      <c r="AI285" s="3" t="s">
        <v>401</v>
      </c>
      <c r="AJ285" s="5">
        <f>IF(AN285=0,J285,0)</f>
        <v>0</v>
      </c>
      <c r="AK285" s="5">
        <f>IF(AN285=12,J285,0)</f>
        <v>0</v>
      </c>
      <c r="AL285" s="5">
        <f>IF(AN285=21,J285,0)</f>
        <v>0</v>
      </c>
      <c r="AN285" s="5">
        <v>21</v>
      </c>
      <c r="AO285" s="5">
        <f>G285*0.999999946</f>
        <v>0</v>
      </c>
      <c r="AP285" s="5">
        <f>G285*(1-0.999999946)</f>
        <v>0</v>
      </c>
      <c r="AQ285" s="6" t="s">
        <v>105</v>
      </c>
      <c r="AV285" s="5">
        <f>AW285+AX285</f>
        <v>0</v>
      </c>
      <c r="AW285" s="5">
        <f>F285*AO285</f>
        <v>0</v>
      </c>
      <c r="AX285" s="5">
        <f>F285*AP285</f>
        <v>0</v>
      </c>
      <c r="AY285" s="6" t="s">
        <v>180</v>
      </c>
      <c r="AZ285" s="6" t="s">
        <v>443</v>
      </c>
      <c r="BA285" s="3" t="s">
        <v>407</v>
      </c>
      <c r="BC285" s="5">
        <f>AW285+AX285</f>
        <v>0</v>
      </c>
      <c r="BD285" s="5">
        <f>G285/(100-BE285)*100</f>
        <v>0</v>
      </c>
      <c r="BE285" s="5">
        <v>0</v>
      </c>
      <c r="BF285" s="5">
        <f>285</f>
        <v>285</v>
      </c>
      <c r="BH285" s="5">
        <f>F285*AO285</f>
        <v>0</v>
      </c>
      <c r="BI285" s="5">
        <f>F285*AP285</f>
        <v>0</v>
      </c>
      <c r="BJ285" s="5">
        <f>F285*G285</f>
        <v>0</v>
      </c>
      <c r="BK285" s="5"/>
      <c r="BL285" s="5">
        <v>762</v>
      </c>
      <c r="BW285" s="5">
        <v>21</v>
      </c>
      <c r="BX285" s="2" t="s">
        <v>230</v>
      </c>
    </row>
    <row r="286" spans="1:76" x14ac:dyDescent="0.25">
      <c r="A286" s="181"/>
      <c r="B286" s="182"/>
      <c r="C286" s="183" t="s">
        <v>507</v>
      </c>
      <c r="D286" s="184" t="s">
        <v>199</v>
      </c>
      <c r="E286" s="182"/>
      <c r="F286" s="185">
        <v>8.5919999999999996E-2</v>
      </c>
      <c r="G286" s="182"/>
      <c r="H286" s="182"/>
      <c r="I286" s="182"/>
      <c r="J286" s="182"/>
      <c r="K286" s="186"/>
    </row>
    <row r="287" spans="1:76" x14ac:dyDescent="0.25">
      <c r="A287" s="181"/>
      <c r="B287" s="182"/>
      <c r="C287" s="183" t="s">
        <v>508</v>
      </c>
      <c r="D287" s="184" t="s">
        <v>201</v>
      </c>
      <c r="E287" s="182"/>
      <c r="F287" s="185">
        <v>3.3119999999999997E-2</v>
      </c>
      <c r="G287" s="182"/>
      <c r="H287" s="182"/>
      <c r="I287" s="182"/>
      <c r="J287" s="182"/>
      <c r="K287" s="186"/>
    </row>
    <row r="288" spans="1:76" x14ac:dyDescent="0.25">
      <c r="A288" s="181"/>
      <c r="B288" s="182"/>
      <c r="C288" s="183" t="s">
        <v>509</v>
      </c>
      <c r="D288" s="184" t="s">
        <v>446</v>
      </c>
      <c r="E288" s="182"/>
      <c r="F288" s="185">
        <v>0.11831999999999999</v>
      </c>
      <c r="G288" s="182"/>
      <c r="H288" s="182"/>
      <c r="I288" s="182"/>
      <c r="J288" s="182"/>
      <c r="K288" s="186"/>
    </row>
    <row r="289" spans="1:76" x14ac:dyDescent="0.25">
      <c r="A289" s="181"/>
      <c r="B289" s="182"/>
      <c r="C289" s="183" t="s">
        <v>510</v>
      </c>
      <c r="D289" s="184" t="s">
        <v>453</v>
      </c>
      <c r="E289" s="182"/>
      <c r="F289" s="185">
        <v>0.69887999999999995</v>
      </c>
      <c r="G289" s="182"/>
      <c r="H289" s="182"/>
      <c r="I289" s="182"/>
      <c r="J289" s="182"/>
      <c r="K289" s="186"/>
    </row>
    <row r="290" spans="1:76" x14ac:dyDescent="0.25">
      <c r="A290" s="181"/>
      <c r="B290" s="182"/>
      <c r="C290" s="183" t="s">
        <v>511</v>
      </c>
      <c r="D290" s="184" t="s">
        <v>415</v>
      </c>
      <c r="E290" s="182"/>
      <c r="F290" s="185">
        <v>34.164960000000001</v>
      </c>
      <c r="G290" s="182"/>
      <c r="H290" s="182"/>
      <c r="I290" s="182"/>
      <c r="J290" s="182"/>
      <c r="K290" s="186"/>
    </row>
    <row r="291" spans="1:76" x14ac:dyDescent="0.25">
      <c r="A291" s="181"/>
      <c r="B291" s="182"/>
      <c r="C291" s="183" t="s">
        <v>512</v>
      </c>
      <c r="D291" s="184" t="s">
        <v>453</v>
      </c>
      <c r="E291" s="182"/>
      <c r="F291" s="185">
        <v>1.13818</v>
      </c>
      <c r="G291" s="182"/>
      <c r="H291" s="182"/>
      <c r="I291" s="182"/>
      <c r="J291" s="182"/>
      <c r="K291" s="186"/>
    </row>
    <row r="292" spans="1:76" x14ac:dyDescent="0.25">
      <c r="A292" s="181"/>
      <c r="B292" s="182"/>
      <c r="C292" s="183" t="s">
        <v>473</v>
      </c>
      <c r="D292" s="184" t="s">
        <v>52</v>
      </c>
      <c r="E292" s="182"/>
      <c r="F292" s="185">
        <v>1.16371</v>
      </c>
      <c r="G292" s="182"/>
      <c r="H292" s="182"/>
      <c r="I292" s="182"/>
      <c r="J292" s="182"/>
      <c r="K292" s="186"/>
    </row>
    <row r="293" spans="1:76" x14ac:dyDescent="0.25">
      <c r="A293" s="181"/>
      <c r="B293" s="182"/>
      <c r="C293" s="183" t="s">
        <v>513</v>
      </c>
      <c r="D293" s="184" t="s">
        <v>487</v>
      </c>
      <c r="E293" s="182"/>
      <c r="F293" s="185">
        <v>7.2999999999999995E-2</v>
      </c>
      <c r="G293" s="182"/>
      <c r="H293" s="182"/>
      <c r="I293" s="182"/>
      <c r="J293" s="182"/>
      <c r="K293" s="186"/>
    </row>
    <row r="294" spans="1:76" x14ac:dyDescent="0.25">
      <c r="A294" s="181"/>
      <c r="B294" s="182"/>
      <c r="C294" s="183" t="s">
        <v>514</v>
      </c>
      <c r="D294" s="184" t="s">
        <v>489</v>
      </c>
      <c r="E294" s="182"/>
      <c r="F294" s="185">
        <v>0.1125</v>
      </c>
      <c r="G294" s="182"/>
      <c r="H294" s="182"/>
      <c r="I294" s="182"/>
      <c r="J294" s="182"/>
      <c r="K294" s="186"/>
    </row>
    <row r="295" spans="1:76" x14ac:dyDescent="0.25">
      <c r="A295" s="181"/>
      <c r="B295" s="182"/>
      <c r="C295" s="183" t="s">
        <v>515</v>
      </c>
      <c r="D295" s="184" t="s">
        <v>491</v>
      </c>
      <c r="E295" s="182"/>
      <c r="F295" s="185">
        <v>0.155</v>
      </c>
      <c r="G295" s="182"/>
      <c r="H295" s="182"/>
      <c r="I295" s="182"/>
      <c r="J295" s="182"/>
      <c r="K295" s="186"/>
    </row>
    <row r="296" spans="1:76" x14ac:dyDescent="0.25">
      <c r="A296" s="181"/>
      <c r="B296" s="182"/>
      <c r="C296" s="183" t="s">
        <v>516</v>
      </c>
      <c r="D296" s="184" t="s">
        <v>493</v>
      </c>
      <c r="E296" s="182"/>
      <c r="F296" s="185">
        <v>9.1249999999999998E-2</v>
      </c>
      <c r="G296" s="182"/>
      <c r="H296" s="182"/>
      <c r="I296" s="182"/>
      <c r="J296" s="182"/>
      <c r="K296" s="186"/>
    </row>
    <row r="297" spans="1:76" x14ac:dyDescent="0.25">
      <c r="A297" s="181"/>
      <c r="B297" s="182"/>
      <c r="C297" s="183" t="s">
        <v>517</v>
      </c>
      <c r="D297" s="184" t="s">
        <v>52</v>
      </c>
      <c r="E297" s="182"/>
      <c r="F297" s="185">
        <v>1.89174</v>
      </c>
      <c r="G297" s="182"/>
      <c r="H297" s="182"/>
      <c r="I297" s="182"/>
      <c r="J297" s="182"/>
      <c r="K297" s="186"/>
    </row>
    <row r="298" spans="1:76" ht="38.25" x14ac:dyDescent="0.25">
      <c r="A298" s="192"/>
      <c r="B298" s="193" t="s">
        <v>85</v>
      </c>
      <c r="C298" s="194" t="s">
        <v>233</v>
      </c>
      <c r="D298" s="195"/>
      <c r="E298" s="195"/>
      <c r="F298" s="195"/>
      <c r="G298" s="195"/>
      <c r="H298" s="195"/>
      <c r="I298" s="195"/>
      <c r="J298" s="195"/>
      <c r="K298" s="196"/>
      <c r="BX298" s="7" t="s">
        <v>233</v>
      </c>
    </row>
    <row r="299" spans="1:76" x14ac:dyDescent="0.25">
      <c r="A299" s="146" t="s">
        <v>518</v>
      </c>
      <c r="B299" s="149" t="s">
        <v>519</v>
      </c>
      <c r="C299" s="116" t="s">
        <v>236</v>
      </c>
      <c r="D299" s="112"/>
      <c r="E299" s="149" t="s">
        <v>372</v>
      </c>
      <c r="F299" s="152">
        <v>9093.0400000000009</v>
      </c>
      <c r="G299" s="152">
        <v>0</v>
      </c>
      <c r="H299" s="152">
        <f>F299*AO299</f>
        <v>0</v>
      </c>
      <c r="I299" s="152">
        <f>F299*AP299</f>
        <v>0</v>
      </c>
      <c r="J299" s="152">
        <f>F299*G299</f>
        <v>0</v>
      </c>
      <c r="K299" s="153" t="s">
        <v>70</v>
      </c>
      <c r="Z299" s="5">
        <f>IF(AQ299="5",BJ299,0)</f>
        <v>0</v>
      </c>
      <c r="AB299" s="5">
        <f>IF(AQ299="1",BH299,0)</f>
        <v>0</v>
      </c>
      <c r="AC299" s="5">
        <f>IF(AQ299="1",BI299,0)</f>
        <v>0</v>
      </c>
      <c r="AD299" s="5">
        <f>IF(AQ299="7",BH299,0)</f>
        <v>0</v>
      </c>
      <c r="AE299" s="5">
        <f>IF(AQ299="7",BI299,0)</f>
        <v>0</v>
      </c>
      <c r="AF299" s="5">
        <f>IF(AQ299="2",BH299,0)</f>
        <v>0</v>
      </c>
      <c r="AG299" s="5">
        <f>IF(AQ299="2",BI299,0)</f>
        <v>0</v>
      </c>
      <c r="AH299" s="5">
        <f>IF(AQ299="0",BJ299,0)</f>
        <v>0</v>
      </c>
      <c r="AI299" s="3" t="s">
        <v>401</v>
      </c>
      <c r="AJ299" s="5">
        <f>IF(AN299=0,J299,0)</f>
        <v>0</v>
      </c>
      <c r="AK299" s="5">
        <f>IF(AN299=12,J299,0)</f>
        <v>0</v>
      </c>
      <c r="AL299" s="5">
        <f>IF(AN299=21,J299,0)</f>
        <v>0</v>
      </c>
      <c r="AN299" s="5">
        <v>21</v>
      </c>
      <c r="AO299" s="5">
        <f>G299*0</f>
        <v>0</v>
      </c>
      <c r="AP299" s="5">
        <f>G299*(1-0)</f>
        <v>0</v>
      </c>
      <c r="AQ299" s="6" t="s">
        <v>96</v>
      </c>
      <c r="AV299" s="5">
        <f>AW299+AX299</f>
        <v>0</v>
      </c>
      <c r="AW299" s="5">
        <f>F299*AO299</f>
        <v>0</v>
      </c>
      <c r="AX299" s="5">
        <f>F299*AP299</f>
        <v>0</v>
      </c>
      <c r="AY299" s="6" t="s">
        <v>180</v>
      </c>
      <c r="AZ299" s="6" t="s">
        <v>443</v>
      </c>
      <c r="BA299" s="3" t="s">
        <v>407</v>
      </c>
      <c r="BC299" s="5">
        <f>AW299+AX299</f>
        <v>0</v>
      </c>
      <c r="BD299" s="5">
        <f>G299/(100-BE299)*100</f>
        <v>0</v>
      </c>
      <c r="BE299" s="5">
        <v>0</v>
      </c>
      <c r="BF299" s="5">
        <f>299</f>
        <v>299</v>
      </c>
      <c r="BH299" s="5">
        <f>F299*AO299</f>
        <v>0</v>
      </c>
      <c r="BI299" s="5">
        <f>F299*AP299</f>
        <v>0</v>
      </c>
      <c r="BJ299" s="5">
        <f>F299*G299</f>
        <v>0</v>
      </c>
      <c r="BK299" s="5"/>
      <c r="BL299" s="5">
        <v>762</v>
      </c>
      <c r="BW299" s="5">
        <v>21</v>
      </c>
      <c r="BX299" s="2" t="s">
        <v>236</v>
      </c>
    </row>
    <row r="300" spans="1:76" x14ac:dyDescent="0.25">
      <c r="A300" s="154"/>
      <c r="B300" s="155"/>
      <c r="C300" s="159" t="s">
        <v>520</v>
      </c>
      <c r="D300" s="160" t="s">
        <v>52</v>
      </c>
      <c r="E300" s="155"/>
      <c r="F300" s="161">
        <v>9093.0400000000009</v>
      </c>
      <c r="G300" s="155"/>
      <c r="H300" s="155"/>
      <c r="I300" s="155"/>
      <c r="J300" s="155"/>
      <c r="K300" s="162"/>
    </row>
    <row r="301" spans="1:76" x14ac:dyDescent="0.25">
      <c r="A301" s="146" t="s">
        <v>52</v>
      </c>
      <c r="B301" s="147" t="s">
        <v>237</v>
      </c>
      <c r="C301" s="148" t="s">
        <v>238</v>
      </c>
      <c r="D301" s="113"/>
      <c r="E301" s="149" t="s">
        <v>33</v>
      </c>
      <c r="F301" s="149" t="s">
        <v>33</v>
      </c>
      <c r="G301" s="149" t="s">
        <v>33</v>
      </c>
      <c r="H301" s="150">
        <f>SUM(H302:H388)</f>
        <v>0</v>
      </c>
      <c r="I301" s="150">
        <f>SUM(I302:I388)</f>
        <v>0</v>
      </c>
      <c r="J301" s="150">
        <f>SUM(J302:J388)</f>
        <v>0</v>
      </c>
      <c r="K301" s="151" t="s">
        <v>52</v>
      </c>
      <c r="AI301" s="3" t="s">
        <v>401</v>
      </c>
      <c r="AS301" s="1">
        <f>SUM(AJ302:AJ388)</f>
        <v>0</v>
      </c>
      <c r="AT301" s="1">
        <f>SUM(AK302:AK388)</f>
        <v>0</v>
      </c>
      <c r="AU301" s="1">
        <f>SUM(AL302:AL388)</f>
        <v>0</v>
      </c>
    </row>
    <row r="302" spans="1:76" x14ac:dyDescent="0.25">
      <c r="A302" s="146" t="s">
        <v>521</v>
      </c>
      <c r="B302" s="149" t="s">
        <v>240</v>
      </c>
      <c r="C302" s="116" t="s">
        <v>241</v>
      </c>
      <c r="D302" s="112"/>
      <c r="E302" s="149" t="s">
        <v>197</v>
      </c>
      <c r="F302" s="152">
        <v>176.23</v>
      </c>
      <c r="G302" s="152">
        <v>0</v>
      </c>
      <c r="H302" s="152">
        <f>F302*AO302</f>
        <v>0</v>
      </c>
      <c r="I302" s="152">
        <f>F302*AP302</f>
        <v>0</v>
      </c>
      <c r="J302" s="152">
        <f>F302*G302</f>
        <v>0</v>
      </c>
      <c r="K302" s="153" t="s">
        <v>70</v>
      </c>
      <c r="Z302" s="5">
        <f>IF(AQ302="5",BJ302,0)</f>
        <v>0</v>
      </c>
      <c r="AB302" s="5">
        <f>IF(AQ302="1",BH302,0)</f>
        <v>0</v>
      </c>
      <c r="AC302" s="5">
        <f>IF(AQ302="1",BI302,0)</f>
        <v>0</v>
      </c>
      <c r="AD302" s="5">
        <f>IF(AQ302="7",BH302,0)</f>
        <v>0</v>
      </c>
      <c r="AE302" s="5">
        <f>IF(AQ302="7",BI302,0)</f>
        <v>0</v>
      </c>
      <c r="AF302" s="5">
        <f>IF(AQ302="2",BH302,0)</f>
        <v>0</v>
      </c>
      <c r="AG302" s="5">
        <f>IF(AQ302="2",BI302,0)</f>
        <v>0</v>
      </c>
      <c r="AH302" s="5">
        <f>IF(AQ302="0",BJ302,0)</f>
        <v>0</v>
      </c>
      <c r="AI302" s="3" t="s">
        <v>401</v>
      </c>
      <c r="AJ302" s="5">
        <f>IF(AN302=0,J302,0)</f>
        <v>0</v>
      </c>
      <c r="AK302" s="5">
        <f>IF(AN302=12,J302,0)</f>
        <v>0</v>
      </c>
      <c r="AL302" s="5">
        <f>IF(AN302=21,J302,0)</f>
        <v>0</v>
      </c>
      <c r="AN302" s="5">
        <v>21</v>
      </c>
      <c r="AO302" s="5">
        <f>G302*0</f>
        <v>0</v>
      </c>
      <c r="AP302" s="5">
        <f>G302*(1-0)</f>
        <v>0</v>
      </c>
      <c r="AQ302" s="6" t="s">
        <v>105</v>
      </c>
      <c r="AV302" s="5">
        <f>AW302+AX302</f>
        <v>0</v>
      </c>
      <c r="AW302" s="5">
        <f>F302*AO302</f>
        <v>0</v>
      </c>
      <c r="AX302" s="5">
        <f>F302*AP302</f>
        <v>0</v>
      </c>
      <c r="AY302" s="6" t="s">
        <v>242</v>
      </c>
      <c r="AZ302" s="6" t="s">
        <v>443</v>
      </c>
      <c r="BA302" s="3" t="s">
        <v>407</v>
      </c>
      <c r="BC302" s="5">
        <f>AW302+AX302</f>
        <v>0</v>
      </c>
      <c r="BD302" s="5">
        <f>G302/(100-BE302)*100</f>
        <v>0</v>
      </c>
      <c r="BE302" s="5">
        <v>0</v>
      </c>
      <c r="BF302" s="5">
        <f>302</f>
        <v>302</v>
      </c>
      <c r="BH302" s="5">
        <f>F302*AO302</f>
        <v>0</v>
      </c>
      <c r="BI302" s="5">
        <f>F302*AP302</f>
        <v>0</v>
      </c>
      <c r="BJ302" s="5">
        <f>F302*G302</f>
        <v>0</v>
      </c>
      <c r="BK302" s="5"/>
      <c r="BL302" s="5">
        <v>764</v>
      </c>
      <c r="BW302" s="5">
        <v>21</v>
      </c>
      <c r="BX302" s="2" t="s">
        <v>241</v>
      </c>
    </row>
    <row r="303" spans="1:76" ht="13.5" customHeight="1" x14ac:dyDescent="0.25">
      <c r="A303" s="154"/>
      <c r="B303" s="155"/>
      <c r="C303" s="156" t="s">
        <v>243</v>
      </c>
      <c r="D303" s="157"/>
      <c r="E303" s="157"/>
      <c r="F303" s="157"/>
      <c r="G303" s="157"/>
      <c r="H303" s="157"/>
      <c r="I303" s="157"/>
      <c r="J303" s="157"/>
      <c r="K303" s="158"/>
    </row>
    <row r="304" spans="1:76" x14ac:dyDescent="0.25">
      <c r="A304" s="154"/>
      <c r="B304" s="155"/>
      <c r="C304" s="159" t="s">
        <v>522</v>
      </c>
      <c r="D304" s="160" t="s">
        <v>245</v>
      </c>
      <c r="E304" s="155"/>
      <c r="F304" s="161">
        <v>176.23</v>
      </c>
      <c r="G304" s="155"/>
      <c r="H304" s="155"/>
      <c r="I304" s="155"/>
      <c r="J304" s="155"/>
      <c r="K304" s="162"/>
    </row>
    <row r="305" spans="1:76" x14ac:dyDescent="0.25">
      <c r="A305" s="146" t="s">
        <v>523</v>
      </c>
      <c r="B305" s="149" t="s">
        <v>248</v>
      </c>
      <c r="C305" s="116" t="s">
        <v>249</v>
      </c>
      <c r="D305" s="112"/>
      <c r="E305" s="149" t="s">
        <v>197</v>
      </c>
      <c r="F305" s="152">
        <v>176.23</v>
      </c>
      <c r="G305" s="152">
        <v>0</v>
      </c>
      <c r="H305" s="152">
        <f>F305*AO305</f>
        <v>0</v>
      </c>
      <c r="I305" s="152">
        <f>F305*AP305</f>
        <v>0</v>
      </c>
      <c r="J305" s="152">
        <f>F305*G305</f>
        <v>0</v>
      </c>
      <c r="K305" s="153" t="s">
        <v>70</v>
      </c>
      <c r="Z305" s="5">
        <f>IF(AQ305="5",BJ305,0)</f>
        <v>0</v>
      </c>
      <c r="AB305" s="5">
        <f>IF(AQ305="1",BH305,0)</f>
        <v>0</v>
      </c>
      <c r="AC305" s="5">
        <f>IF(AQ305="1",BI305,0)</f>
        <v>0</v>
      </c>
      <c r="AD305" s="5">
        <f>IF(AQ305="7",BH305,0)</f>
        <v>0</v>
      </c>
      <c r="AE305" s="5">
        <f>IF(AQ305="7",BI305,0)</f>
        <v>0</v>
      </c>
      <c r="AF305" s="5">
        <f>IF(AQ305="2",BH305,0)</f>
        <v>0</v>
      </c>
      <c r="AG305" s="5">
        <f>IF(AQ305="2",BI305,0)</f>
        <v>0</v>
      </c>
      <c r="AH305" s="5">
        <f>IF(AQ305="0",BJ305,0)</f>
        <v>0</v>
      </c>
      <c r="AI305" s="3" t="s">
        <v>401</v>
      </c>
      <c r="AJ305" s="5">
        <f>IF(AN305=0,J305,0)</f>
        <v>0</v>
      </c>
      <c r="AK305" s="5">
        <f>IF(AN305=12,J305,0)</f>
        <v>0</v>
      </c>
      <c r="AL305" s="5">
        <f>IF(AN305=21,J305,0)</f>
        <v>0</v>
      </c>
      <c r="AN305" s="5">
        <v>21</v>
      </c>
      <c r="AO305" s="5">
        <f>G305*0</f>
        <v>0</v>
      </c>
      <c r="AP305" s="5">
        <f>G305*(1-0)</f>
        <v>0</v>
      </c>
      <c r="AQ305" s="6" t="s">
        <v>105</v>
      </c>
      <c r="AV305" s="5">
        <f>AW305+AX305</f>
        <v>0</v>
      </c>
      <c r="AW305" s="5">
        <f>F305*AO305</f>
        <v>0</v>
      </c>
      <c r="AX305" s="5">
        <f>F305*AP305</f>
        <v>0</v>
      </c>
      <c r="AY305" s="6" t="s">
        <v>242</v>
      </c>
      <c r="AZ305" s="6" t="s">
        <v>443</v>
      </c>
      <c r="BA305" s="3" t="s">
        <v>407</v>
      </c>
      <c r="BC305" s="5">
        <f>AW305+AX305</f>
        <v>0</v>
      </c>
      <c r="BD305" s="5">
        <f>G305/(100-BE305)*100</f>
        <v>0</v>
      </c>
      <c r="BE305" s="5">
        <v>0</v>
      </c>
      <c r="BF305" s="5">
        <f>305</f>
        <v>305</v>
      </c>
      <c r="BH305" s="5">
        <f>F305*AO305</f>
        <v>0</v>
      </c>
      <c r="BI305" s="5">
        <f>F305*AP305</f>
        <v>0</v>
      </c>
      <c r="BJ305" s="5">
        <f>F305*G305</f>
        <v>0</v>
      </c>
      <c r="BK305" s="5"/>
      <c r="BL305" s="5">
        <v>764</v>
      </c>
      <c r="BW305" s="5">
        <v>21</v>
      </c>
      <c r="BX305" s="2" t="s">
        <v>249</v>
      </c>
    </row>
    <row r="306" spans="1:76" x14ac:dyDescent="0.25">
      <c r="A306" s="170"/>
      <c r="B306" s="155"/>
      <c r="C306" s="171" t="s">
        <v>522</v>
      </c>
      <c r="D306" s="172" t="s">
        <v>250</v>
      </c>
      <c r="E306" s="155"/>
      <c r="F306" s="173">
        <v>176.23</v>
      </c>
      <c r="G306" s="155"/>
      <c r="H306" s="155"/>
      <c r="I306" s="155"/>
      <c r="J306" s="155"/>
      <c r="K306" s="174"/>
    </row>
    <row r="307" spans="1:76" x14ac:dyDescent="0.25">
      <c r="A307" s="175" t="s">
        <v>524</v>
      </c>
      <c r="B307" s="176" t="s">
        <v>268</v>
      </c>
      <c r="C307" s="177" t="s">
        <v>269</v>
      </c>
      <c r="D307" s="178"/>
      <c r="E307" s="176" t="s">
        <v>69</v>
      </c>
      <c r="F307" s="179">
        <v>1430.2619999999999</v>
      </c>
      <c r="G307" s="179">
        <v>0</v>
      </c>
      <c r="H307" s="179">
        <f>F307*AO307</f>
        <v>0</v>
      </c>
      <c r="I307" s="179">
        <f>F307*AP307</f>
        <v>0</v>
      </c>
      <c r="J307" s="179">
        <f>F307*G307</f>
        <v>0</v>
      </c>
      <c r="K307" s="180" t="s">
        <v>70</v>
      </c>
      <c r="Z307" s="5">
        <f>IF(AQ307="5",BJ307,0)</f>
        <v>0</v>
      </c>
      <c r="AB307" s="5">
        <f>IF(AQ307="1",BH307,0)</f>
        <v>0</v>
      </c>
      <c r="AC307" s="5">
        <f>IF(AQ307="1",BI307,0)</f>
        <v>0</v>
      </c>
      <c r="AD307" s="5">
        <f>IF(AQ307="7",BH307,0)</f>
        <v>0</v>
      </c>
      <c r="AE307" s="5">
        <f>IF(AQ307="7",BI307,0)</f>
        <v>0</v>
      </c>
      <c r="AF307" s="5">
        <f>IF(AQ307="2",BH307,0)</f>
        <v>0</v>
      </c>
      <c r="AG307" s="5">
        <f>IF(AQ307="2",BI307,0)</f>
        <v>0</v>
      </c>
      <c r="AH307" s="5">
        <f>IF(AQ307="0",BJ307,0)</f>
        <v>0</v>
      </c>
      <c r="AI307" s="3" t="s">
        <v>401</v>
      </c>
      <c r="AJ307" s="5">
        <f>IF(AN307=0,J307,0)</f>
        <v>0</v>
      </c>
      <c r="AK307" s="5">
        <f>IF(AN307=12,J307,0)</f>
        <v>0</v>
      </c>
      <c r="AL307" s="5">
        <f>IF(AN307=21,J307,0)</f>
        <v>0</v>
      </c>
      <c r="AN307" s="5">
        <v>21</v>
      </c>
      <c r="AO307" s="5">
        <f>G307*0.686162562</f>
        <v>0</v>
      </c>
      <c r="AP307" s="5">
        <f>G307*(1-0.686162562)</f>
        <v>0</v>
      </c>
      <c r="AQ307" s="6" t="s">
        <v>105</v>
      </c>
      <c r="AV307" s="5">
        <f>AW307+AX307</f>
        <v>0</v>
      </c>
      <c r="AW307" s="5">
        <f>F307*AO307</f>
        <v>0</v>
      </c>
      <c r="AX307" s="5">
        <f>F307*AP307</f>
        <v>0</v>
      </c>
      <c r="AY307" s="6" t="s">
        <v>242</v>
      </c>
      <c r="AZ307" s="6" t="s">
        <v>443</v>
      </c>
      <c r="BA307" s="3" t="s">
        <v>407</v>
      </c>
      <c r="BC307" s="5">
        <f>AW307+AX307</f>
        <v>0</v>
      </c>
      <c r="BD307" s="5">
        <f>G307/(100-BE307)*100</f>
        <v>0</v>
      </c>
      <c r="BE307" s="5">
        <v>0</v>
      </c>
      <c r="BF307" s="5">
        <f>307</f>
        <v>307</v>
      </c>
      <c r="BH307" s="5">
        <f>F307*AO307</f>
        <v>0</v>
      </c>
      <c r="BI307" s="5">
        <f>F307*AP307</f>
        <v>0</v>
      </c>
      <c r="BJ307" s="5">
        <f>F307*G307</f>
        <v>0</v>
      </c>
      <c r="BK307" s="5"/>
      <c r="BL307" s="5">
        <v>764</v>
      </c>
      <c r="BW307" s="5">
        <v>21</v>
      </c>
      <c r="BX307" s="2" t="s">
        <v>269</v>
      </c>
    </row>
    <row r="308" spans="1:76" ht="13.5" customHeight="1" x14ac:dyDescent="0.25">
      <c r="A308" s="187"/>
      <c r="B308" s="155"/>
      <c r="C308" s="189" t="s">
        <v>270</v>
      </c>
      <c r="D308" s="190"/>
      <c r="E308" s="190"/>
      <c r="F308" s="190"/>
      <c r="G308" s="190"/>
      <c r="H308" s="190"/>
      <c r="I308" s="190"/>
      <c r="J308" s="190"/>
      <c r="K308" s="191"/>
    </row>
    <row r="309" spans="1:76" x14ac:dyDescent="0.25">
      <c r="A309" s="201"/>
      <c r="B309" s="202"/>
      <c r="C309" s="203" t="s">
        <v>525</v>
      </c>
      <c r="D309" s="204" t="s">
        <v>526</v>
      </c>
      <c r="E309" s="202"/>
      <c r="F309" s="205">
        <v>1565.894</v>
      </c>
      <c r="G309" s="202"/>
      <c r="H309" s="202"/>
      <c r="I309" s="202"/>
      <c r="J309" s="202"/>
      <c r="K309" s="206"/>
    </row>
    <row r="310" spans="1:76" x14ac:dyDescent="0.25">
      <c r="A310" s="181"/>
      <c r="B310" s="182"/>
      <c r="C310" s="183" t="s">
        <v>527</v>
      </c>
      <c r="D310" s="184" t="s">
        <v>528</v>
      </c>
      <c r="E310" s="182"/>
      <c r="F310" s="185">
        <v>-143.05199999999999</v>
      </c>
      <c r="G310" s="182"/>
      <c r="H310" s="182"/>
      <c r="I310" s="182"/>
      <c r="J310" s="182"/>
      <c r="K310" s="186"/>
    </row>
    <row r="311" spans="1:76" x14ac:dyDescent="0.25">
      <c r="A311" s="181"/>
      <c r="B311" s="182"/>
      <c r="C311" s="183" t="s">
        <v>529</v>
      </c>
      <c r="D311" s="184" t="s">
        <v>530</v>
      </c>
      <c r="E311" s="182"/>
      <c r="F311" s="185">
        <v>7.42</v>
      </c>
      <c r="G311" s="182"/>
      <c r="H311" s="182"/>
      <c r="I311" s="182"/>
      <c r="J311" s="182"/>
      <c r="K311" s="186"/>
    </row>
    <row r="312" spans="1:76" x14ac:dyDescent="0.25">
      <c r="A312" s="213" t="s">
        <v>531</v>
      </c>
      <c r="B312" s="214" t="s">
        <v>275</v>
      </c>
      <c r="C312" s="215" t="s">
        <v>276</v>
      </c>
      <c r="D312" s="216"/>
      <c r="E312" s="214" t="s">
        <v>197</v>
      </c>
      <c r="F312" s="217">
        <v>164.05500000000001</v>
      </c>
      <c r="G312" s="217">
        <v>0</v>
      </c>
      <c r="H312" s="217">
        <f>F312*AO312</f>
        <v>0</v>
      </c>
      <c r="I312" s="217">
        <f>F312*AP312</f>
        <v>0</v>
      </c>
      <c r="J312" s="217">
        <f>F312*G312</f>
        <v>0</v>
      </c>
      <c r="K312" s="218" t="s">
        <v>70</v>
      </c>
      <c r="Z312" s="5">
        <f>IF(AQ312="5",BJ312,0)</f>
        <v>0</v>
      </c>
      <c r="AB312" s="5">
        <f>IF(AQ312="1",BH312,0)</f>
        <v>0</v>
      </c>
      <c r="AC312" s="5">
        <f>IF(AQ312="1",BI312,0)</f>
        <v>0</v>
      </c>
      <c r="AD312" s="5">
        <f>IF(AQ312="7",BH312,0)</f>
        <v>0</v>
      </c>
      <c r="AE312" s="5">
        <f>IF(AQ312="7",BI312,0)</f>
        <v>0</v>
      </c>
      <c r="AF312" s="5">
        <f>IF(AQ312="2",BH312,0)</f>
        <v>0</v>
      </c>
      <c r="AG312" s="5">
        <f>IF(AQ312="2",BI312,0)</f>
        <v>0</v>
      </c>
      <c r="AH312" s="5">
        <f>IF(AQ312="0",BJ312,0)</f>
        <v>0</v>
      </c>
      <c r="AI312" s="3" t="s">
        <v>401</v>
      </c>
      <c r="AJ312" s="5">
        <f>IF(AN312=0,J312,0)</f>
        <v>0</v>
      </c>
      <c r="AK312" s="5">
        <f>IF(AN312=12,J312,0)</f>
        <v>0</v>
      </c>
      <c r="AL312" s="5">
        <f>IF(AN312=21,J312,0)</f>
        <v>0</v>
      </c>
      <c r="AN312" s="5">
        <v>21</v>
      </c>
      <c r="AO312" s="5">
        <f>G312*0.061137713</f>
        <v>0</v>
      </c>
      <c r="AP312" s="5">
        <f>G312*(1-0.061137713)</f>
        <v>0</v>
      </c>
      <c r="AQ312" s="6" t="s">
        <v>105</v>
      </c>
      <c r="AV312" s="5">
        <f>AW312+AX312</f>
        <v>0</v>
      </c>
      <c r="AW312" s="5">
        <f>F312*AO312</f>
        <v>0</v>
      </c>
      <c r="AX312" s="5">
        <f>F312*AP312</f>
        <v>0</v>
      </c>
      <c r="AY312" s="6" t="s">
        <v>242</v>
      </c>
      <c r="AZ312" s="6" t="s">
        <v>443</v>
      </c>
      <c r="BA312" s="3" t="s">
        <v>407</v>
      </c>
      <c r="BC312" s="5">
        <f>AW312+AX312</f>
        <v>0</v>
      </c>
      <c r="BD312" s="5">
        <f>G312/(100-BE312)*100</f>
        <v>0</v>
      </c>
      <c r="BE312" s="5">
        <v>0</v>
      </c>
      <c r="BF312" s="5">
        <f>312</f>
        <v>312</v>
      </c>
      <c r="BH312" s="5">
        <f>F312*AO312</f>
        <v>0</v>
      </c>
      <c r="BI312" s="5">
        <f>F312*AP312</f>
        <v>0</v>
      </c>
      <c r="BJ312" s="5">
        <f>F312*G312</f>
        <v>0</v>
      </c>
      <c r="BK312" s="5"/>
      <c r="BL312" s="5">
        <v>764</v>
      </c>
      <c r="BW312" s="5">
        <v>21</v>
      </c>
      <c r="BX312" s="2" t="s">
        <v>276</v>
      </c>
    </row>
    <row r="313" spans="1:76" ht="27" customHeight="1" x14ac:dyDescent="0.25">
      <c r="A313" s="187"/>
      <c r="B313" s="155"/>
      <c r="C313" s="189" t="s">
        <v>277</v>
      </c>
      <c r="D313" s="190"/>
      <c r="E313" s="190"/>
      <c r="F313" s="190"/>
      <c r="G313" s="190"/>
      <c r="H313" s="190"/>
      <c r="I313" s="190"/>
      <c r="J313" s="190"/>
      <c r="K313" s="191"/>
    </row>
    <row r="314" spans="1:76" x14ac:dyDescent="0.25">
      <c r="A314" s="201"/>
      <c r="B314" s="202"/>
      <c r="C314" s="203" t="s">
        <v>532</v>
      </c>
      <c r="D314" s="204" t="s">
        <v>533</v>
      </c>
      <c r="E314" s="202"/>
      <c r="F314" s="205">
        <v>164.05500000000001</v>
      </c>
      <c r="G314" s="202"/>
      <c r="H314" s="202"/>
      <c r="I314" s="202"/>
      <c r="J314" s="202"/>
      <c r="K314" s="206"/>
    </row>
    <row r="315" spans="1:76" ht="25.5" x14ac:dyDescent="0.25">
      <c r="A315" s="207" t="s">
        <v>534</v>
      </c>
      <c r="B315" s="208" t="s">
        <v>281</v>
      </c>
      <c r="C315" s="209" t="s">
        <v>282</v>
      </c>
      <c r="D315" s="210"/>
      <c r="E315" s="208" t="s">
        <v>197</v>
      </c>
      <c r="F315" s="211">
        <v>188.66325000000001</v>
      </c>
      <c r="G315" s="211">
        <v>0</v>
      </c>
      <c r="H315" s="211">
        <f>F315*AO315</f>
        <v>0</v>
      </c>
      <c r="I315" s="211">
        <f>F315*AP315</f>
        <v>0</v>
      </c>
      <c r="J315" s="211">
        <f>F315*G315</f>
        <v>0</v>
      </c>
      <c r="K315" s="212" t="s">
        <v>70</v>
      </c>
      <c r="Z315" s="5">
        <f>IF(AQ315="5",BJ315,0)</f>
        <v>0</v>
      </c>
      <c r="AB315" s="5">
        <f>IF(AQ315="1",BH315,0)</f>
        <v>0</v>
      </c>
      <c r="AC315" s="5">
        <f>IF(AQ315="1",BI315,0)</f>
        <v>0</v>
      </c>
      <c r="AD315" s="5">
        <f>IF(AQ315="7",BH315,0)</f>
        <v>0</v>
      </c>
      <c r="AE315" s="5">
        <f>IF(AQ315="7",BI315,0)</f>
        <v>0</v>
      </c>
      <c r="AF315" s="5">
        <f>IF(AQ315="2",BH315,0)</f>
        <v>0</v>
      </c>
      <c r="AG315" s="5">
        <f>IF(AQ315="2",BI315,0)</f>
        <v>0</v>
      </c>
      <c r="AH315" s="5">
        <f>IF(AQ315="0",BJ315,0)</f>
        <v>0</v>
      </c>
      <c r="AI315" s="3" t="s">
        <v>401</v>
      </c>
      <c r="AJ315" s="9">
        <f>IF(AN315=0,J315,0)</f>
        <v>0</v>
      </c>
      <c r="AK315" s="9">
        <f>IF(AN315=12,J315,0)</f>
        <v>0</v>
      </c>
      <c r="AL315" s="9">
        <f>IF(AN315=21,J315,0)</f>
        <v>0</v>
      </c>
      <c r="AN315" s="5">
        <v>21</v>
      </c>
      <c r="AO315" s="5">
        <f>G315*1</f>
        <v>0</v>
      </c>
      <c r="AP315" s="5">
        <f>G315*(1-1)</f>
        <v>0</v>
      </c>
      <c r="AQ315" s="10" t="s">
        <v>105</v>
      </c>
      <c r="AV315" s="5">
        <f>AW315+AX315</f>
        <v>0</v>
      </c>
      <c r="AW315" s="5">
        <f>F315*AO315</f>
        <v>0</v>
      </c>
      <c r="AX315" s="5">
        <f>F315*AP315</f>
        <v>0</v>
      </c>
      <c r="AY315" s="6" t="s">
        <v>242</v>
      </c>
      <c r="AZ315" s="6" t="s">
        <v>443</v>
      </c>
      <c r="BA315" s="3" t="s">
        <v>407</v>
      </c>
      <c r="BC315" s="5">
        <f>AW315+AX315</f>
        <v>0</v>
      </c>
      <c r="BD315" s="5">
        <f>G315/(100-BE315)*100</f>
        <v>0</v>
      </c>
      <c r="BE315" s="5">
        <v>0</v>
      </c>
      <c r="BF315" s="5">
        <f>315</f>
        <v>315</v>
      </c>
      <c r="BH315" s="9">
        <f>F315*AO315</f>
        <v>0</v>
      </c>
      <c r="BI315" s="9">
        <f>F315*AP315</f>
        <v>0</v>
      </c>
      <c r="BJ315" s="9">
        <f>F315*G315</f>
        <v>0</v>
      </c>
      <c r="BK315" s="9"/>
      <c r="BL315" s="5">
        <v>764</v>
      </c>
      <c r="BW315" s="5">
        <v>21</v>
      </c>
      <c r="BX315" s="8" t="s">
        <v>282</v>
      </c>
    </row>
    <row r="316" spans="1:76" x14ac:dyDescent="0.25">
      <c r="A316" s="181"/>
      <c r="B316" s="182"/>
      <c r="C316" s="183" t="s">
        <v>532</v>
      </c>
      <c r="D316" s="184" t="s">
        <v>533</v>
      </c>
      <c r="E316" s="182"/>
      <c r="F316" s="185">
        <v>164.05500000000001</v>
      </c>
      <c r="G316" s="182"/>
      <c r="H316" s="182"/>
      <c r="I316" s="182"/>
      <c r="J316" s="182"/>
      <c r="K316" s="186"/>
    </row>
    <row r="317" spans="1:76" x14ac:dyDescent="0.25">
      <c r="A317" s="181"/>
      <c r="B317" s="182"/>
      <c r="C317" s="183" t="s">
        <v>535</v>
      </c>
      <c r="D317" s="184" t="s">
        <v>52</v>
      </c>
      <c r="E317" s="182"/>
      <c r="F317" s="185">
        <v>24.608250000000002</v>
      </c>
      <c r="G317" s="182"/>
      <c r="H317" s="182"/>
      <c r="I317" s="182"/>
      <c r="J317" s="182"/>
      <c r="K317" s="186"/>
    </row>
    <row r="318" spans="1:76" ht="25.5" x14ac:dyDescent="0.25">
      <c r="A318" s="213" t="s">
        <v>536</v>
      </c>
      <c r="B318" s="214" t="s">
        <v>285</v>
      </c>
      <c r="C318" s="215" t="s">
        <v>286</v>
      </c>
      <c r="D318" s="216"/>
      <c r="E318" s="214" t="s">
        <v>197</v>
      </c>
      <c r="F318" s="217">
        <v>164.2</v>
      </c>
      <c r="G318" s="217">
        <v>0</v>
      </c>
      <c r="H318" s="217">
        <f>F318*AO318</f>
        <v>0</v>
      </c>
      <c r="I318" s="217">
        <f>F318*AP318</f>
        <v>0</v>
      </c>
      <c r="J318" s="217">
        <f>F318*G318</f>
        <v>0</v>
      </c>
      <c r="K318" s="218" t="s">
        <v>215</v>
      </c>
      <c r="Z318" s="5">
        <f>IF(AQ318="5",BJ318,0)</f>
        <v>0</v>
      </c>
      <c r="AB318" s="5">
        <f>IF(AQ318="1",BH318,0)</f>
        <v>0</v>
      </c>
      <c r="AC318" s="5">
        <f>IF(AQ318="1",BI318,0)</f>
        <v>0</v>
      </c>
      <c r="AD318" s="5">
        <f>IF(AQ318="7",BH318,0)</f>
        <v>0</v>
      </c>
      <c r="AE318" s="5">
        <f>IF(AQ318="7",BI318,0)</f>
        <v>0</v>
      </c>
      <c r="AF318" s="5">
        <f>IF(AQ318="2",BH318,0)</f>
        <v>0</v>
      </c>
      <c r="AG318" s="5">
        <f>IF(AQ318="2",BI318,0)</f>
        <v>0</v>
      </c>
      <c r="AH318" s="5">
        <f>IF(AQ318="0",BJ318,0)</f>
        <v>0</v>
      </c>
      <c r="AI318" s="3" t="s">
        <v>401</v>
      </c>
      <c r="AJ318" s="5">
        <f>IF(AN318=0,J318,0)</f>
        <v>0</v>
      </c>
      <c r="AK318" s="5">
        <f>IF(AN318=12,J318,0)</f>
        <v>0</v>
      </c>
      <c r="AL318" s="5">
        <f>IF(AN318=21,J318,0)</f>
        <v>0</v>
      </c>
      <c r="AN318" s="5">
        <v>21</v>
      </c>
      <c r="AO318" s="5">
        <f>G318*0.75622807</f>
        <v>0</v>
      </c>
      <c r="AP318" s="5">
        <f>G318*(1-0.75622807)</f>
        <v>0</v>
      </c>
      <c r="AQ318" s="6" t="s">
        <v>105</v>
      </c>
      <c r="AV318" s="5">
        <f>AW318+AX318</f>
        <v>0</v>
      </c>
      <c r="AW318" s="5">
        <f>F318*AO318</f>
        <v>0</v>
      </c>
      <c r="AX318" s="5">
        <f>F318*AP318</f>
        <v>0</v>
      </c>
      <c r="AY318" s="6" t="s">
        <v>242</v>
      </c>
      <c r="AZ318" s="6" t="s">
        <v>443</v>
      </c>
      <c r="BA318" s="3" t="s">
        <v>407</v>
      </c>
      <c r="BC318" s="5">
        <f>AW318+AX318</f>
        <v>0</v>
      </c>
      <c r="BD318" s="5">
        <f>G318/(100-BE318)*100</f>
        <v>0</v>
      </c>
      <c r="BE318" s="5">
        <v>0</v>
      </c>
      <c r="BF318" s="5">
        <f>318</f>
        <v>318</v>
      </c>
      <c r="BH318" s="5">
        <f>F318*AO318</f>
        <v>0</v>
      </c>
      <c r="BI318" s="5">
        <f>F318*AP318</f>
        <v>0</v>
      </c>
      <c r="BJ318" s="5">
        <f>F318*G318</f>
        <v>0</v>
      </c>
      <c r="BK318" s="5"/>
      <c r="BL318" s="5">
        <v>764</v>
      </c>
      <c r="BW318" s="5">
        <v>21</v>
      </c>
      <c r="BX318" s="2" t="s">
        <v>286</v>
      </c>
    </row>
    <row r="319" spans="1:76" x14ac:dyDescent="0.25">
      <c r="A319" s="181"/>
      <c r="B319" s="182"/>
      <c r="C319" s="183" t="s">
        <v>537</v>
      </c>
      <c r="D319" s="184" t="s">
        <v>538</v>
      </c>
      <c r="E319" s="182"/>
      <c r="F319" s="185">
        <v>164.2</v>
      </c>
      <c r="G319" s="182"/>
      <c r="H319" s="182"/>
      <c r="I319" s="182"/>
      <c r="J319" s="182"/>
      <c r="K319" s="186"/>
    </row>
    <row r="320" spans="1:76" ht="25.5" x14ac:dyDescent="0.25">
      <c r="A320" s="213" t="s">
        <v>539</v>
      </c>
      <c r="B320" s="214" t="s">
        <v>289</v>
      </c>
      <c r="C320" s="215" t="s">
        <v>290</v>
      </c>
      <c r="D320" s="216"/>
      <c r="E320" s="214" t="s">
        <v>197</v>
      </c>
      <c r="F320" s="217">
        <v>165.47</v>
      </c>
      <c r="G320" s="217">
        <v>0</v>
      </c>
      <c r="H320" s="217">
        <f>F320*AO320</f>
        <v>0</v>
      </c>
      <c r="I320" s="217">
        <f>F320*AP320</f>
        <v>0</v>
      </c>
      <c r="J320" s="217">
        <f>F320*G320</f>
        <v>0</v>
      </c>
      <c r="K320" s="218" t="s">
        <v>70</v>
      </c>
      <c r="Z320" s="5">
        <f>IF(AQ320="5",BJ320,0)</f>
        <v>0</v>
      </c>
      <c r="AB320" s="5">
        <f>IF(AQ320="1",BH320,0)</f>
        <v>0</v>
      </c>
      <c r="AC320" s="5">
        <f>IF(AQ320="1",BI320,0)</f>
        <v>0</v>
      </c>
      <c r="AD320" s="5">
        <f>IF(AQ320="7",BH320,0)</f>
        <v>0</v>
      </c>
      <c r="AE320" s="5">
        <f>IF(AQ320="7",BI320,0)</f>
        <v>0</v>
      </c>
      <c r="AF320" s="5">
        <f>IF(AQ320="2",BH320,0)</f>
        <v>0</v>
      </c>
      <c r="AG320" s="5">
        <f>IF(AQ320="2",BI320,0)</f>
        <v>0</v>
      </c>
      <c r="AH320" s="5">
        <f>IF(AQ320="0",BJ320,0)</f>
        <v>0</v>
      </c>
      <c r="AI320" s="3" t="s">
        <v>401</v>
      </c>
      <c r="AJ320" s="5">
        <f>IF(AN320=0,J320,0)</f>
        <v>0</v>
      </c>
      <c r="AK320" s="5">
        <f>IF(AN320=12,J320,0)</f>
        <v>0</v>
      </c>
      <c r="AL320" s="5">
        <f>IF(AN320=21,J320,0)</f>
        <v>0</v>
      </c>
      <c r="AN320" s="5">
        <v>21</v>
      </c>
      <c r="AO320" s="5">
        <f>G320*0.810285006</f>
        <v>0</v>
      </c>
      <c r="AP320" s="5">
        <f>G320*(1-0.810285006)</f>
        <v>0</v>
      </c>
      <c r="AQ320" s="6" t="s">
        <v>105</v>
      </c>
      <c r="AV320" s="5">
        <f>AW320+AX320</f>
        <v>0</v>
      </c>
      <c r="AW320" s="5">
        <f>F320*AO320</f>
        <v>0</v>
      </c>
      <c r="AX320" s="5">
        <f>F320*AP320</f>
        <v>0</v>
      </c>
      <c r="AY320" s="6" t="s">
        <v>242</v>
      </c>
      <c r="AZ320" s="6" t="s">
        <v>443</v>
      </c>
      <c r="BA320" s="3" t="s">
        <v>407</v>
      </c>
      <c r="BC320" s="5">
        <f>AW320+AX320</f>
        <v>0</v>
      </c>
      <c r="BD320" s="5">
        <f>G320/(100-BE320)*100</f>
        <v>0</v>
      </c>
      <c r="BE320" s="5">
        <v>0</v>
      </c>
      <c r="BF320" s="5">
        <f>320</f>
        <v>320</v>
      </c>
      <c r="BH320" s="5">
        <f>F320*AO320</f>
        <v>0</v>
      </c>
      <c r="BI320" s="5">
        <f>F320*AP320</f>
        <v>0</v>
      </c>
      <c r="BJ320" s="5">
        <f>F320*G320</f>
        <v>0</v>
      </c>
      <c r="BK320" s="5"/>
      <c r="BL320" s="5">
        <v>764</v>
      </c>
      <c r="BW320" s="5">
        <v>21</v>
      </c>
      <c r="BX320" s="2" t="s">
        <v>290</v>
      </c>
    </row>
    <row r="321" spans="1:76" ht="13.5" customHeight="1" x14ac:dyDescent="0.25">
      <c r="A321" s="187"/>
      <c r="B321" s="155"/>
      <c r="C321" s="189" t="s">
        <v>270</v>
      </c>
      <c r="D321" s="190"/>
      <c r="E321" s="190"/>
      <c r="F321" s="190"/>
      <c r="G321" s="190"/>
      <c r="H321" s="190"/>
      <c r="I321" s="190"/>
      <c r="J321" s="190"/>
      <c r="K321" s="191"/>
    </row>
    <row r="322" spans="1:76" x14ac:dyDescent="0.25">
      <c r="A322" s="201"/>
      <c r="B322" s="202"/>
      <c r="C322" s="203" t="s">
        <v>540</v>
      </c>
      <c r="D322" s="204" t="s">
        <v>541</v>
      </c>
      <c r="E322" s="202"/>
      <c r="F322" s="205">
        <v>165.47</v>
      </c>
      <c r="G322" s="202"/>
      <c r="H322" s="202"/>
      <c r="I322" s="202"/>
      <c r="J322" s="202"/>
      <c r="K322" s="206"/>
    </row>
    <row r="323" spans="1:76" x14ac:dyDescent="0.25">
      <c r="A323" s="213" t="s">
        <v>542</v>
      </c>
      <c r="B323" s="214" t="s">
        <v>325</v>
      </c>
      <c r="C323" s="215" t="s">
        <v>326</v>
      </c>
      <c r="D323" s="216"/>
      <c r="E323" s="214" t="s">
        <v>197</v>
      </c>
      <c r="F323" s="217">
        <v>44</v>
      </c>
      <c r="G323" s="217">
        <v>0</v>
      </c>
      <c r="H323" s="217">
        <f>F323*AO323</f>
        <v>0</v>
      </c>
      <c r="I323" s="217">
        <f>F323*AP323</f>
        <v>0</v>
      </c>
      <c r="J323" s="217">
        <f>F323*G323</f>
        <v>0</v>
      </c>
      <c r="K323" s="218" t="s">
        <v>70</v>
      </c>
      <c r="Z323" s="5">
        <f>IF(AQ323="5",BJ323,0)</f>
        <v>0</v>
      </c>
      <c r="AB323" s="5">
        <f>IF(AQ323="1",BH323,0)</f>
        <v>0</v>
      </c>
      <c r="AC323" s="5">
        <f>IF(AQ323="1",BI323,0)</f>
        <v>0</v>
      </c>
      <c r="AD323" s="5">
        <f>IF(AQ323="7",BH323,0)</f>
        <v>0</v>
      </c>
      <c r="AE323" s="5">
        <f>IF(AQ323="7",BI323,0)</f>
        <v>0</v>
      </c>
      <c r="AF323" s="5">
        <f>IF(AQ323="2",BH323,0)</f>
        <v>0</v>
      </c>
      <c r="AG323" s="5">
        <f>IF(AQ323="2",BI323,0)</f>
        <v>0</v>
      </c>
      <c r="AH323" s="5">
        <f>IF(AQ323="0",BJ323,0)</f>
        <v>0</v>
      </c>
      <c r="AI323" s="3" t="s">
        <v>401</v>
      </c>
      <c r="AJ323" s="5">
        <f>IF(AN323=0,J323,0)</f>
        <v>0</v>
      </c>
      <c r="AK323" s="5">
        <f>IF(AN323=12,J323,0)</f>
        <v>0</v>
      </c>
      <c r="AL323" s="5">
        <f>IF(AN323=21,J323,0)</f>
        <v>0</v>
      </c>
      <c r="AN323" s="5">
        <v>21</v>
      </c>
      <c r="AO323" s="5">
        <f>G323*0.688877709</f>
        <v>0</v>
      </c>
      <c r="AP323" s="5">
        <f>G323*(1-0.688877709)</f>
        <v>0</v>
      </c>
      <c r="AQ323" s="6" t="s">
        <v>105</v>
      </c>
      <c r="AV323" s="5">
        <f>AW323+AX323</f>
        <v>0</v>
      </c>
      <c r="AW323" s="5">
        <f>F323*AO323</f>
        <v>0</v>
      </c>
      <c r="AX323" s="5">
        <f>F323*AP323</f>
        <v>0</v>
      </c>
      <c r="AY323" s="6" t="s">
        <v>242</v>
      </c>
      <c r="AZ323" s="6" t="s">
        <v>443</v>
      </c>
      <c r="BA323" s="3" t="s">
        <v>407</v>
      </c>
      <c r="BC323" s="5">
        <f>AW323+AX323</f>
        <v>0</v>
      </c>
      <c r="BD323" s="5">
        <f>G323/(100-BE323)*100</f>
        <v>0</v>
      </c>
      <c r="BE323" s="5">
        <v>0</v>
      </c>
      <c r="BF323" s="5">
        <f>323</f>
        <v>323</v>
      </c>
      <c r="BH323" s="5">
        <f>F323*AO323</f>
        <v>0</v>
      </c>
      <c r="BI323" s="5">
        <f>F323*AP323</f>
        <v>0</v>
      </c>
      <c r="BJ323" s="5">
        <f>F323*G323</f>
        <v>0</v>
      </c>
      <c r="BK323" s="5"/>
      <c r="BL323" s="5">
        <v>764</v>
      </c>
      <c r="BW323" s="5">
        <v>21</v>
      </c>
      <c r="BX323" s="2" t="s">
        <v>326</v>
      </c>
    </row>
    <row r="324" spans="1:76" ht="27" customHeight="1" x14ac:dyDescent="0.25">
      <c r="A324" s="187"/>
      <c r="B324" s="155"/>
      <c r="C324" s="189" t="s">
        <v>327</v>
      </c>
      <c r="D324" s="190"/>
      <c r="E324" s="190"/>
      <c r="F324" s="190"/>
      <c r="G324" s="190"/>
      <c r="H324" s="190"/>
      <c r="I324" s="190"/>
      <c r="J324" s="190"/>
      <c r="K324" s="191"/>
    </row>
    <row r="325" spans="1:76" x14ac:dyDescent="0.25">
      <c r="A325" s="201"/>
      <c r="B325" s="202"/>
      <c r="C325" s="203" t="s">
        <v>543</v>
      </c>
      <c r="D325" s="204" t="s">
        <v>544</v>
      </c>
      <c r="E325" s="202"/>
      <c r="F325" s="205">
        <v>22.4</v>
      </c>
      <c r="G325" s="202"/>
      <c r="H325" s="202"/>
      <c r="I325" s="202"/>
      <c r="J325" s="202"/>
      <c r="K325" s="206"/>
    </row>
    <row r="326" spans="1:76" x14ac:dyDescent="0.25">
      <c r="A326" s="181"/>
      <c r="B326" s="182"/>
      <c r="C326" s="183" t="s">
        <v>545</v>
      </c>
      <c r="D326" s="184" t="s">
        <v>546</v>
      </c>
      <c r="E326" s="182"/>
      <c r="F326" s="185">
        <v>21.6</v>
      </c>
      <c r="G326" s="182"/>
      <c r="H326" s="182"/>
      <c r="I326" s="182"/>
      <c r="J326" s="182"/>
      <c r="K326" s="186"/>
    </row>
    <row r="327" spans="1:76" x14ac:dyDescent="0.25">
      <c r="A327" s="213" t="s">
        <v>547</v>
      </c>
      <c r="B327" s="214" t="s">
        <v>333</v>
      </c>
      <c r="C327" s="215" t="s">
        <v>334</v>
      </c>
      <c r="D327" s="216"/>
      <c r="E327" s="214" t="s">
        <v>197</v>
      </c>
      <c r="F327" s="217">
        <v>42.09</v>
      </c>
      <c r="G327" s="217">
        <v>0</v>
      </c>
      <c r="H327" s="217">
        <f>F327*AO327</f>
        <v>0</v>
      </c>
      <c r="I327" s="217">
        <f>F327*AP327</f>
        <v>0</v>
      </c>
      <c r="J327" s="217">
        <f>F327*G327</f>
        <v>0</v>
      </c>
      <c r="K327" s="218" t="s">
        <v>70</v>
      </c>
      <c r="Z327" s="5">
        <f>IF(AQ327="5",BJ327,0)</f>
        <v>0</v>
      </c>
      <c r="AB327" s="5">
        <f>IF(AQ327="1",BH327,0)</f>
        <v>0</v>
      </c>
      <c r="AC327" s="5">
        <f>IF(AQ327="1",BI327,0)</f>
        <v>0</v>
      </c>
      <c r="AD327" s="5">
        <f>IF(AQ327="7",BH327,0)</f>
        <v>0</v>
      </c>
      <c r="AE327" s="5">
        <f>IF(AQ327="7",BI327,0)</f>
        <v>0</v>
      </c>
      <c r="AF327" s="5">
        <f>IF(AQ327="2",BH327,0)</f>
        <v>0</v>
      </c>
      <c r="AG327" s="5">
        <f>IF(AQ327="2",BI327,0)</f>
        <v>0</v>
      </c>
      <c r="AH327" s="5">
        <f>IF(AQ327="0",BJ327,0)</f>
        <v>0</v>
      </c>
      <c r="AI327" s="3" t="s">
        <v>401</v>
      </c>
      <c r="AJ327" s="5">
        <f>IF(AN327=0,J327,0)</f>
        <v>0</v>
      </c>
      <c r="AK327" s="5">
        <f>IF(AN327=12,J327,0)</f>
        <v>0</v>
      </c>
      <c r="AL327" s="5">
        <f>IF(AN327=21,J327,0)</f>
        <v>0</v>
      </c>
      <c r="AN327" s="5">
        <v>21</v>
      </c>
      <c r="AO327" s="5">
        <f>G327*0.683253687</f>
        <v>0</v>
      </c>
      <c r="AP327" s="5">
        <f>G327*(1-0.683253687)</f>
        <v>0</v>
      </c>
      <c r="AQ327" s="6" t="s">
        <v>105</v>
      </c>
      <c r="AV327" s="5">
        <f>AW327+AX327</f>
        <v>0</v>
      </c>
      <c r="AW327" s="5">
        <f>F327*AO327</f>
        <v>0</v>
      </c>
      <c r="AX327" s="5">
        <f>F327*AP327</f>
        <v>0</v>
      </c>
      <c r="AY327" s="6" t="s">
        <v>242</v>
      </c>
      <c r="AZ327" s="6" t="s">
        <v>443</v>
      </c>
      <c r="BA327" s="3" t="s">
        <v>407</v>
      </c>
      <c r="BC327" s="5">
        <f>AW327+AX327</f>
        <v>0</v>
      </c>
      <c r="BD327" s="5">
        <f>G327/(100-BE327)*100</f>
        <v>0</v>
      </c>
      <c r="BE327" s="5">
        <v>0</v>
      </c>
      <c r="BF327" s="5">
        <f>327</f>
        <v>327</v>
      </c>
      <c r="BH327" s="5">
        <f>F327*AO327</f>
        <v>0</v>
      </c>
      <c r="BI327" s="5">
        <f>F327*AP327</f>
        <v>0</v>
      </c>
      <c r="BJ327" s="5">
        <f>F327*G327</f>
        <v>0</v>
      </c>
      <c r="BK327" s="5"/>
      <c r="BL327" s="5">
        <v>764</v>
      </c>
      <c r="BW327" s="5">
        <v>21</v>
      </c>
      <c r="BX327" s="2" t="s">
        <v>334</v>
      </c>
    </row>
    <row r="328" spans="1:76" ht="13.5" customHeight="1" x14ac:dyDescent="0.25">
      <c r="A328" s="187"/>
      <c r="B328" s="155"/>
      <c r="C328" s="189" t="s">
        <v>335</v>
      </c>
      <c r="D328" s="190"/>
      <c r="E328" s="190"/>
      <c r="F328" s="190"/>
      <c r="G328" s="190"/>
      <c r="H328" s="190"/>
      <c r="I328" s="190"/>
      <c r="J328" s="190"/>
      <c r="K328" s="191"/>
    </row>
    <row r="329" spans="1:76" x14ac:dyDescent="0.25">
      <c r="A329" s="201"/>
      <c r="B329" s="202"/>
      <c r="C329" s="203" t="s">
        <v>548</v>
      </c>
      <c r="D329" s="204" t="s">
        <v>549</v>
      </c>
      <c r="E329" s="202"/>
      <c r="F329" s="205">
        <v>42.09</v>
      </c>
      <c r="G329" s="202"/>
      <c r="H329" s="202"/>
      <c r="I329" s="202"/>
      <c r="J329" s="202"/>
      <c r="K329" s="206"/>
    </row>
    <row r="330" spans="1:76" x14ac:dyDescent="0.25">
      <c r="A330" s="213" t="s">
        <v>550</v>
      </c>
      <c r="B330" s="214" t="s">
        <v>339</v>
      </c>
      <c r="C330" s="215" t="s">
        <v>340</v>
      </c>
      <c r="D330" s="216"/>
      <c r="E330" s="214" t="s">
        <v>197</v>
      </c>
      <c r="F330" s="217">
        <v>36.6</v>
      </c>
      <c r="G330" s="217">
        <v>0</v>
      </c>
      <c r="H330" s="217">
        <f>F330*AO330</f>
        <v>0</v>
      </c>
      <c r="I330" s="217">
        <f>F330*AP330</f>
        <v>0</v>
      </c>
      <c r="J330" s="217">
        <f>F330*G330</f>
        <v>0</v>
      </c>
      <c r="K330" s="218" t="s">
        <v>70</v>
      </c>
      <c r="Z330" s="5">
        <f>IF(AQ330="5",BJ330,0)</f>
        <v>0</v>
      </c>
      <c r="AB330" s="5">
        <f>IF(AQ330="1",BH330,0)</f>
        <v>0</v>
      </c>
      <c r="AC330" s="5">
        <f>IF(AQ330="1",BI330,0)</f>
        <v>0</v>
      </c>
      <c r="AD330" s="5">
        <f>IF(AQ330="7",BH330,0)</f>
        <v>0</v>
      </c>
      <c r="AE330" s="5">
        <f>IF(AQ330="7",BI330,0)</f>
        <v>0</v>
      </c>
      <c r="AF330" s="5">
        <f>IF(AQ330="2",BH330,0)</f>
        <v>0</v>
      </c>
      <c r="AG330" s="5">
        <f>IF(AQ330="2",BI330,0)</f>
        <v>0</v>
      </c>
      <c r="AH330" s="5">
        <f>IF(AQ330="0",BJ330,0)</f>
        <v>0</v>
      </c>
      <c r="AI330" s="3" t="s">
        <v>401</v>
      </c>
      <c r="AJ330" s="5">
        <f>IF(AN330=0,J330,0)</f>
        <v>0</v>
      </c>
      <c r="AK330" s="5">
        <f>IF(AN330=12,J330,0)</f>
        <v>0</v>
      </c>
      <c r="AL330" s="5">
        <f>IF(AN330=21,J330,0)</f>
        <v>0</v>
      </c>
      <c r="AN330" s="5">
        <v>21</v>
      </c>
      <c r="AO330" s="5">
        <f>G330*0.101510791</f>
        <v>0</v>
      </c>
      <c r="AP330" s="5">
        <f>G330*(1-0.101510791)</f>
        <v>0</v>
      </c>
      <c r="AQ330" s="6" t="s">
        <v>105</v>
      </c>
      <c r="AV330" s="5">
        <f>AW330+AX330</f>
        <v>0</v>
      </c>
      <c r="AW330" s="5">
        <f>F330*AO330</f>
        <v>0</v>
      </c>
      <c r="AX330" s="5">
        <f>F330*AP330</f>
        <v>0</v>
      </c>
      <c r="AY330" s="6" t="s">
        <v>242</v>
      </c>
      <c r="AZ330" s="6" t="s">
        <v>443</v>
      </c>
      <c r="BA330" s="3" t="s">
        <v>407</v>
      </c>
      <c r="BC330" s="5">
        <f>AW330+AX330</f>
        <v>0</v>
      </c>
      <c r="BD330" s="5">
        <f>G330/(100-BE330)*100</f>
        <v>0</v>
      </c>
      <c r="BE330" s="5">
        <v>0</v>
      </c>
      <c r="BF330" s="5">
        <f>330</f>
        <v>330</v>
      </c>
      <c r="BH330" s="5">
        <f>F330*AO330</f>
        <v>0</v>
      </c>
      <c r="BI330" s="5">
        <f>F330*AP330</f>
        <v>0</v>
      </c>
      <c r="BJ330" s="5">
        <f>F330*G330</f>
        <v>0</v>
      </c>
      <c r="BK330" s="5"/>
      <c r="BL330" s="5">
        <v>764</v>
      </c>
      <c r="BW330" s="5">
        <v>21</v>
      </c>
      <c r="BX330" s="2" t="s">
        <v>340</v>
      </c>
    </row>
    <row r="331" spans="1:76" x14ac:dyDescent="0.25">
      <c r="A331" s="181"/>
      <c r="B331" s="182"/>
      <c r="C331" s="183" t="s">
        <v>551</v>
      </c>
      <c r="D331" s="184" t="s">
        <v>552</v>
      </c>
      <c r="E331" s="182"/>
      <c r="F331" s="185">
        <v>36.6</v>
      </c>
      <c r="G331" s="182"/>
      <c r="H331" s="182"/>
      <c r="I331" s="182"/>
      <c r="J331" s="182"/>
      <c r="K331" s="186"/>
    </row>
    <row r="332" spans="1:76" x14ac:dyDescent="0.25">
      <c r="A332" s="207" t="s">
        <v>553</v>
      </c>
      <c r="B332" s="208" t="s">
        <v>281</v>
      </c>
      <c r="C332" s="209" t="s">
        <v>343</v>
      </c>
      <c r="D332" s="210"/>
      <c r="E332" s="208" t="s">
        <v>197</v>
      </c>
      <c r="F332" s="211">
        <v>42.09</v>
      </c>
      <c r="G332" s="211">
        <v>0</v>
      </c>
      <c r="H332" s="211">
        <f>F332*AO332</f>
        <v>0</v>
      </c>
      <c r="I332" s="211">
        <f>F332*AP332</f>
        <v>0</v>
      </c>
      <c r="J332" s="211">
        <f>F332*G332</f>
        <v>0</v>
      </c>
      <c r="K332" s="212" t="s">
        <v>70</v>
      </c>
      <c r="Z332" s="5">
        <f>IF(AQ332="5",BJ332,0)</f>
        <v>0</v>
      </c>
      <c r="AB332" s="5">
        <f>IF(AQ332="1",BH332,0)</f>
        <v>0</v>
      </c>
      <c r="AC332" s="5">
        <f>IF(AQ332="1",BI332,0)</f>
        <v>0</v>
      </c>
      <c r="AD332" s="5">
        <f>IF(AQ332="7",BH332,0)</f>
        <v>0</v>
      </c>
      <c r="AE332" s="5">
        <f>IF(AQ332="7",BI332,0)</f>
        <v>0</v>
      </c>
      <c r="AF332" s="5">
        <f>IF(AQ332="2",BH332,0)</f>
        <v>0</v>
      </c>
      <c r="AG332" s="5">
        <f>IF(AQ332="2",BI332,0)</f>
        <v>0</v>
      </c>
      <c r="AH332" s="5">
        <f>IF(AQ332="0",BJ332,0)</f>
        <v>0</v>
      </c>
      <c r="AI332" s="3" t="s">
        <v>401</v>
      </c>
      <c r="AJ332" s="9">
        <f>IF(AN332=0,J332,0)</f>
        <v>0</v>
      </c>
      <c r="AK332" s="9">
        <f>IF(AN332=12,J332,0)</f>
        <v>0</v>
      </c>
      <c r="AL332" s="9">
        <f>IF(AN332=21,J332,0)</f>
        <v>0</v>
      </c>
      <c r="AN332" s="5">
        <v>21</v>
      </c>
      <c r="AO332" s="5">
        <f>G332*1</f>
        <v>0</v>
      </c>
      <c r="AP332" s="5">
        <f>G332*(1-1)</f>
        <v>0</v>
      </c>
      <c r="AQ332" s="10" t="s">
        <v>105</v>
      </c>
      <c r="AV332" s="5">
        <f>AW332+AX332</f>
        <v>0</v>
      </c>
      <c r="AW332" s="5">
        <f>F332*AO332</f>
        <v>0</v>
      </c>
      <c r="AX332" s="5">
        <f>F332*AP332</f>
        <v>0</v>
      </c>
      <c r="AY332" s="6" t="s">
        <v>242</v>
      </c>
      <c r="AZ332" s="6" t="s">
        <v>443</v>
      </c>
      <c r="BA332" s="3" t="s">
        <v>407</v>
      </c>
      <c r="BC332" s="5">
        <f>AW332+AX332</f>
        <v>0</v>
      </c>
      <c r="BD332" s="5">
        <f>G332/(100-BE332)*100</f>
        <v>0</v>
      </c>
      <c r="BE332" s="5">
        <v>0</v>
      </c>
      <c r="BF332" s="5">
        <f>332</f>
        <v>332</v>
      </c>
      <c r="BH332" s="9">
        <f>F332*AO332</f>
        <v>0</v>
      </c>
      <c r="BI332" s="9">
        <f>F332*AP332</f>
        <v>0</v>
      </c>
      <c r="BJ332" s="9">
        <f>F332*G332</f>
        <v>0</v>
      </c>
      <c r="BK332" s="9"/>
      <c r="BL332" s="5">
        <v>764</v>
      </c>
      <c r="BW332" s="5">
        <v>21</v>
      </c>
      <c r="BX332" s="8" t="s">
        <v>343</v>
      </c>
    </row>
    <row r="333" spans="1:76" x14ac:dyDescent="0.25">
      <c r="A333" s="181"/>
      <c r="B333" s="182"/>
      <c r="C333" s="183" t="s">
        <v>551</v>
      </c>
      <c r="D333" s="184" t="s">
        <v>552</v>
      </c>
      <c r="E333" s="182"/>
      <c r="F333" s="185">
        <v>36.6</v>
      </c>
      <c r="G333" s="182"/>
      <c r="H333" s="182"/>
      <c r="I333" s="182"/>
      <c r="J333" s="182"/>
      <c r="K333" s="186"/>
    </row>
    <row r="334" spans="1:76" x14ac:dyDescent="0.25">
      <c r="A334" s="181"/>
      <c r="B334" s="182"/>
      <c r="C334" s="183" t="s">
        <v>554</v>
      </c>
      <c r="D334" s="184" t="s">
        <v>52</v>
      </c>
      <c r="E334" s="182"/>
      <c r="F334" s="185">
        <v>5.49</v>
      </c>
      <c r="G334" s="182"/>
      <c r="H334" s="182"/>
      <c r="I334" s="182"/>
      <c r="J334" s="182"/>
      <c r="K334" s="186"/>
    </row>
    <row r="335" spans="1:76" x14ac:dyDescent="0.25">
      <c r="A335" s="213" t="s">
        <v>555</v>
      </c>
      <c r="B335" s="214" t="s">
        <v>345</v>
      </c>
      <c r="C335" s="215" t="s">
        <v>346</v>
      </c>
      <c r="D335" s="216"/>
      <c r="E335" s="214" t="s">
        <v>197</v>
      </c>
      <c r="F335" s="217">
        <v>83.2</v>
      </c>
      <c r="G335" s="217">
        <v>0</v>
      </c>
      <c r="H335" s="217">
        <f>F335*AO335</f>
        <v>0</v>
      </c>
      <c r="I335" s="217">
        <f>F335*AP335</f>
        <v>0</v>
      </c>
      <c r="J335" s="217">
        <f>F335*G335</f>
        <v>0</v>
      </c>
      <c r="K335" s="218" t="s">
        <v>70</v>
      </c>
      <c r="Z335" s="5">
        <f>IF(AQ335="5",BJ335,0)</f>
        <v>0</v>
      </c>
      <c r="AB335" s="5">
        <f>IF(AQ335="1",BH335,0)</f>
        <v>0</v>
      </c>
      <c r="AC335" s="5">
        <f>IF(AQ335="1",BI335,0)</f>
        <v>0</v>
      </c>
      <c r="AD335" s="5">
        <f>IF(AQ335="7",BH335,0)</f>
        <v>0</v>
      </c>
      <c r="AE335" s="5">
        <f>IF(AQ335="7",BI335,0)</f>
        <v>0</v>
      </c>
      <c r="AF335" s="5">
        <f>IF(AQ335="2",BH335,0)</f>
        <v>0</v>
      </c>
      <c r="AG335" s="5">
        <f>IF(AQ335="2",BI335,0)</f>
        <v>0</v>
      </c>
      <c r="AH335" s="5">
        <f>IF(AQ335="0",BJ335,0)</f>
        <v>0</v>
      </c>
      <c r="AI335" s="3" t="s">
        <v>401</v>
      </c>
      <c r="AJ335" s="5">
        <f>IF(AN335=0,J335,0)</f>
        <v>0</v>
      </c>
      <c r="AK335" s="5">
        <f>IF(AN335=12,J335,0)</f>
        <v>0</v>
      </c>
      <c r="AL335" s="5">
        <f>IF(AN335=21,J335,0)</f>
        <v>0</v>
      </c>
      <c r="AN335" s="5">
        <v>21</v>
      </c>
      <c r="AO335" s="5">
        <f>G335*0.619883761</f>
        <v>0</v>
      </c>
      <c r="AP335" s="5">
        <f>G335*(1-0.619883761)</f>
        <v>0</v>
      </c>
      <c r="AQ335" s="6" t="s">
        <v>105</v>
      </c>
      <c r="AV335" s="5">
        <f>AW335+AX335</f>
        <v>0</v>
      </c>
      <c r="AW335" s="5">
        <f>F335*AO335</f>
        <v>0</v>
      </c>
      <c r="AX335" s="5">
        <f>F335*AP335</f>
        <v>0</v>
      </c>
      <c r="AY335" s="6" t="s">
        <v>242</v>
      </c>
      <c r="AZ335" s="6" t="s">
        <v>443</v>
      </c>
      <c r="BA335" s="3" t="s">
        <v>407</v>
      </c>
      <c r="BC335" s="5">
        <f>AW335+AX335</f>
        <v>0</v>
      </c>
      <c r="BD335" s="5">
        <f>G335/(100-BE335)*100</f>
        <v>0</v>
      </c>
      <c r="BE335" s="5">
        <v>0</v>
      </c>
      <c r="BF335" s="5">
        <f>335</f>
        <v>335</v>
      </c>
      <c r="BH335" s="5">
        <f>F335*AO335</f>
        <v>0</v>
      </c>
      <c r="BI335" s="5">
        <f>F335*AP335</f>
        <v>0</v>
      </c>
      <c r="BJ335" s="5">
        <f>F335*G335</f>
        <v>0</v>
      </c>
      <c r="BK335" s="5"/>
      <c r="BL335" s="5">
        <v>764</v>
      </c>
      <c r="BW335" s="5">
        <v>21</v>
      </c>
      <c r="BX335" s="2" t="s">
        <v>346</v>
      </c>
    </row>
    <row r="336" spans="1:76" ht="27" customHeight="1" x14ac:dyDescent="0.25">
      <c r="A336" s="187"/>
      <c r="B336" s="155"/>
      <c r="C336" s="189" t="s">
        <v>347</v>
      </c>
      <c r="D336" s="190"/>
      <c r="E336" s="190"/>
      <c r="F336" s="190"/>
      <c r="G336" s="190"/>
      <c r="H336" s="190"/>
      <c r="I336" s="190"/>
      <c r="J336" s="190"/>
      <c r="K336" s="191"/>
    </row>
    <row r="337" spans="1:76" x14ac:dyDescent="0.25">
      <c r="A337" s="201"/>
      <c r="B337" s="202"/>
      <c r="C337" s="203" t="s">
        <v>556</v>
      </c>
      <c r="D337" s="204" t="s">
        <v>453</v>
      </c>
      <c r="E337" s="202"/>
      <c r="F337" s="205">
        <v>83.2</v>
      </c>
      <c r="G337" s="202"/>
      <c r="H337" s="202"/>
      <c r="I337" s="202"/>
      <c r="J337" s="202"/>
      <c r="K337" s="206"/>
    </row>
    <row r="338" spans="1:76" x14ac:dyDescent="0.25">
      <c r="A338" s="213" t="s">
        <v>557</v>
      </c>
      <c r="B338" s="214" t="s">
        <v>285</v>
      </c>
      <c r="C338" s="215" t="s">
        <v>353</v>
      </c>
      <c r="D338" s="216"/>
      <c r="E338" s="214" t="s">
        <v>197</v>
      </c>
      <c r="F338" s="217">
        <v>166.4</v>
      </c>
      <c r="G338" s="217">
        <v>0</v>
      </c>
      <c r="H338" s="217">
        <f>F338*AO338</f>
        <v>0</v>
      </c>
      <c r="I338" s="217">
        <f>F338*AP338</f>
        <v>0</v>
      </c>
      <c r="J338" s="217">
        <f>F338*G338</f>
        <v>0</v>
      </c>
      <c r="K338" s="218" t="s">
        <v>70</v>
      </c>
      <c r="Z338" s="5">
        <f>IF(AQ338="5",BJ338,0)</f>
        <v>0</v>
      </c>
      <c r="AB338" s="5">
        <f>IF(AQ338="1",BH338,0)</f>
        <v>0</v>
      </c>
      <c r="AC338" s="5">
        <f>IF(AQ338="1",BI338,0)</f>
        <v>0</v>
      </c>
      <c r="AD338" s="5">
        <f>IF(AQ338="7",BH338,0)</f>
        <v>0</v>
      </c>
      <c r="AE338" s="5">
        <f>IF(AQ338="7",BI338,0)</f>
        <v>0</v>
      </c>
      <c r="AF338" s="5">
        <f>IF(AQ338="2",BH338,0)</f>
        <v>0</v>
      </c>
      <c r="AG338" s="5">
        <f>IF(AQ338="2",BI338,0)</f>
        <v>0</v>
      </c>
      <c r="AH338" s="5">
        <f>IF(AQ338="0",BJ338,0)</f>
        <v>0</v>
      </c>
      <c r="AI338" s="3" t="s">
        <v>401</v>
      </c>
      <c r="AJ338" s="5">
        <f>IF(AN338=0,J338,0)</f>
        <v>0</v>
      </c>
      <c r="AK338" s="5">
        <f>IF(AN338=12,J338,0)</f>
        <v>0</v>
      </c>
      <c r="AL338" s="5">
        <f>IF(AN338=21,J338,0)</f>
        <v>0</v>
      </c>
      <c r="AN338" s="5">
        <v>21</v>
      </c>
      <c r="AO338" s="5">
        <f>G338*0.666380952</f>
        <v>0</v>
      </c>
      <c r="AP338" s="5">
        <f>G338*(1-0.666380952)</f>
        <v>0</v>
      </c>
      <c r="AQ338" s="6" t="s">
        <v>105</v>
      </c>
      <c r="AV338" s="5">
        <f>AW338+AX338</f>
        <v>0</v>
      </c>
      <c r="AW338" s="5">
        <f>F338*AO338</f>
        <v>0</v>
      </c>
      <c r="AX338" s="5">
        <f>F338*AP338</f>
        <v>0</v>
      </c>
      <c r="AY338" s="6" t="s">
        <v>242</v>
      </c>
      <c r="AZ338" s="6" t="s">
        <v>443</v>
      </c>
      <c r="BA338" s="3" t="s">
        <v>407</v>
      </c>
      <c r="BC338" s="5">
        <f>AW338+AX338</f>
        <v>0</v>
      </c>
      <c r="BD338" s="5">
        <f>G338/(100-BE338)*100</f>
        <v>0</v>
      </c>
      <c r="BE338" s="5">
        <v>0</v>
      </c>
      <c r="BF338" s="5">
        <f>338</f>
        <v>338</v>
      </c>
      <c r="BH338" s="5">
        <f>F338*AO338</f>
        <v>0</v>
      </c>
      <c r="BI338" s="5">
        <f>F338*AP338</f>
        <v>0</v>
      </c>
      <c r="BJ338" s="5">
        <f>F338*G338</f>
        <v>0</v>
      </c>
      <c r="BK338" s="5"/>
      <c r="BL338" s="5">
        <v>764</v>
      </c>
      <c r="BW338" s="5">
        <v>21</v>
      </c>
      <c r="BX338" s="2" t="s">
        <v>353</v>
      </c>
    </row>
    <row r="339" spans="1:76" ht="13.5" customHeight="1" x14ac:dyDescent="0.25">
      <c r="A339" s="187"/>
      <c r="B339" s="155"/>
      <c r="C339" s="189" t="s">
        <v>354</v>
      </c>
      <c r="D339" s="190"/>
      <c r="E339" s="190"/>
      <c r="F339" s="190"/>
      <c r="G339" s="190"/>
      <c r="H339" s="190"/>
      <c r="I339" s="190"/>
      <c r="J339" s="190"/>
      <c r="K339" s="191"/>
    </row>
    <row r="340" spans="1:76" x14ac:dyDescent="0.25">
      <c r="A340" s="201"/>
      <c r="B340" s="202"/>
      <c r="C340" s="203" t="s">
        <v>558</v>
      </c>
      <c r="D340" s="204" t="s">
        <v>559</v>
      </c>
      <c r="E340" s="202"/>
      <c r="F340" s="205">
        <v>166.4</v>
      </c>
      <c r="G340" s="202"/>
      <c r="H340" s="202"/>
      <c r="I340" s="202"/>
      <c r="J340" s="202"/>
      <c r="K340" s="206"/>
    </row>
    <row r="341" spans="1:76" x14ac:dyDescent="0.25">
      <c r="A341" s="213" t="s">
        <v>560</v>
      </c>
      <c r="B341" s="214" t="s">
        <v>362</v>
      </c>
      <c r="C341" s="215" t="s">
        <v>363</v>
      </c>
      <c r="D341" s="216"/>
      <c r="E341" s="214" t="s">
        <v>300</v>
      </c>
      <c r="F341" s="217">
        <v>2</v>
      </c>
      <c r="G341" s="217">
        <v>0</v>
      </c>
      <c r="H341" s="217">
        <f>F341*AO341</f>
        <v>0</v>
      </c>
      <c r="I341" s="217">
        <f>F341*AP341</f>
        <v>0</v>
      </c>
      <c r="J341" s="217">
        <f>F341*G341</f>
        <v>0</v>
      </c>
      <c r="K341" s="218" t="s">
        <v>215</v>
      </c>
      <c r="Z341" s="5">
        <f>IF(AQ341="5",BJ341,0)</f>
        <v>0</v>
      </c>
      <c r="AB341" s="5">
        <f>IF(AQ341="1",BH341,0)</f>
        <v>0</v>
      </c>
      <c r="AC341" s="5">
        <f>IF(AQ341="1",BI341,0)</f>
        <v>0</v>
      </c>
      <c r="AD341" s="5">
        <f>IF(AQ341="7",BH341,0)</f>
        <v>0</v>
      </c>
      <c r="AE341" s="5">
        <f>IF(AQ341="7",BI341,0)</f>
        <v>0</v>
      </c>
      <c r="AF341" s="5">
        <f>IF(AQ341="2",BH341,0)</f>
        <v>0</v>
      </c>
      <c r="AG341" s="5">
        <f>IF(AQ341="2",BI341,0)</f>
        <v>0</v>
      </c>
      <c r="AH341" s="5">
        <f>IF(AQ341="0",BJ341,0)</f>
        <v>0</v>
      </c>
      <c r="AI341" s="3" t="s">
        <v>401</v>
      </c>
      <c r="AJ341" s="5">
        <f>IF(AN341=0,J341,0)</f>
        <v>0</v>
      </c>
      <c r="AK341" s="5">
        <f>IF(AN341=12,J341,0)</f>
        <v>0</v>
      </c>
      <c r="AL341" s="5">
        <f>IF(AN341=21,J341,0)</f>
        <v>0</v>
      </c>
      <c r="AN341" s="5">
        <v>21</v>
      </c>
      <c r="AO341" s="5">
        <f>G341*0.048454259</f>
        <v>0</v>
      </c>
      <c r="AP341" s="5">
        <f>G341*(1-0.048454259)</f>
        <v>0</v>
      </c>
      <c r="AQ341" s="6" t="s">
        <v>105</v>
      </c>
      <c r="AV341" s="5">
        <f>AW341+AX341</f>
        <v>0</v>
      </c>
      <c r="AW341" s="5">
        <f>F341*AO341</f>
        <v>0</v>
      </c>
      <c r="AX341" s="5">
        <f>F341*AP341</f>
        <v>0</v>
      </c>
      <c r="AY341" s="6" t="s">
        <v>242</v>
      </c>
      <c r="AZ341" s="6" t="s">
        <v>443</v>
      </c>
      <c r="BA341" s="3" t="s">
        <v>407</v>
      </c>
      <c r="BC341" s="5">
        <f>AW341+AX341</f>
        <v>0</v>
      </c>
      <c r="BD341" s="5">
        <f>G341/(100-BE341)*100</f>
        <v>0</v>
      </c>
      <c r="BE341" s="5">
        <v>0</v>
      </c>
      <c r="BF341" s="5">
        <f>341</f>
        <v>341</v>
      </c>
      <c r="BH341" s="5">
        <f>F341*AO341</f>
        <v>0</v>
      </c>
      <c r="BI341" s="5">
        <f>F341*AP341</f>
        <v>0</v>
      </c>
      <c r="BJ341" s="5">
        <f>F341*G341</f>
        <v>0</v>
      </c>
      <c r="BK341" s="5"/>
      <c r="BL341" s="5">
        <v>764</v>
      </c>
      <c r="BW341" s="5">
        <v>21</v>
      </c>
      <c r="BX341" s="2" t="s">
        <v>363</v>
      </c>
    </row>
    <row r="342" spans="1:76" x14ac:dyDescent="0.25">
      <c r="A342" s="181"/>
      <c r="B342" s="182"/>
      <c r="C342" s="183" t="s">
        <v>60</v>
      </c>
      <c r="D342" s="184" t="s">
        <v>364</v>
      </c>
      <c r="E342" s="182"/>
      <c r="F342" s="185">
        <v>2</v>
      </c>
      <c r="G342" s="182"/>
      <c r="H342" s="182"/>
      <c r="I342" s="182"/>
      <c r="J342" s="182"/>
      <c r="K342" s="186"/>
    </row>
    <row r="343" spans="1:76" x14ac:dyDescent="0.25">
      <c r="A343" s="207" t="s">
        <v>65</v>
      </c>
      <c r="B343" s="208" t="s">
        <v>366</v>
      </c>
      <c r="C343" s="209" t="s">
        <v>367</v>
      </c>
      <c r="D343" s="210"/>
      <c r="E343" s="208" t="s">
        <v>197</v>
      </c>
      <c r="F343" s="211">
        <v>1</v>
      </c>
      <c r="G343" s="211">
        <v>0</v>
      </c>
      <c r="H343" s="211">
        <f>F343*AO343</f>
        <v>0</v>
      </c>
      <c r="I343" s="211">
        <f>F343*AP343</f>
        <v>0</v>
      </c>
      <c r="J343" s="211">
        <f>F343*G343</f>
        <v>0</v>
      </c>
      <c r="K343" s="212" t="s">
        <v>215</v>
      </c>
      <c r="Z343" s="5">
        <f>IF(AQ343="5",BJ343,0)</f>
        <v>0</v>
      </c>
      <c r="AB343" s="5">
        <f>IF(AQ343="1",BH343,0)</f>
        <v>0</v>
      </c>
      <c r="AC343" s="5">
        <f>IF(AQ343="1",BI343,0)</f>
        <v>0</v>
      </c>
      <c r="AD343" s="5">
        <f>IF(AQ343="7",BH343,0)</f>
        <v>0</v>
      </c>
      <c r="AE343" s="5">
        <f>IF(AQ343="7",BI343,0)</f>
        <v>0</v>
      </c>
      <c r="AF343" s="5">
        <f>IF(AQ343="2",BH343,0)</f>
        <v>0</v>
      </c>
      <c r="AG343" s="5">
        <f>IF(AQ343="2",BI343,0)</f>
        <v>0</v>
      </c>
      <c r="AH343" s="5">
        <f>IF(AQ343="0",BJ343,0)</f>
        <v>0</v>
      </c>
      <c r="AI343" s="3" t="s">
        <v>401</v>
      </c>
      <c r="AJ343" s="9">
        <f>IF(AN343=0,J343,0)</f>
        <v>0</v>
      </c>
      <c r="AK343" s="9">
        <f>IF(AN343=12,J343,0)</f>
        <v>0</v>
      </c>
      <c r="AL343" s="9">
        <f>IF(AN343=21,J343,0)</f>
        <v>0</v>
      </c>
      <c r="AN343" s="5">
        <v>21</v>
      </c>
      <c r="AO343" s="5">
        <f>G343*1</f>
        <v>0</v>
      </c>
      <c r="AP343" s="5">
        <f>G343*(1-1)</f>
        <v>0</v>
      </c>
      <c r="AQ343" s="10" t="s">
        <v>105</v>
      </c>
      <c r="AV343" s="5">
        <f>AW343+AX343</f>
        <v>0</v>
      </c>
      <c r="AW343" s="5">
        <f>F343*AO343</f>
        <v>0</v>
      </c>
      <c r="AX343" s="5">
        <f>F343*AP343</f>
        <v>0</v>
      </c>
      <c r="AY343" s="6" t="s">
        <v>242</v>
      </c>
      <c r="AZ343" s="6" t="s">
        <v>443</v>
      </c>
      <c r="BA343" s="3" t="s">
        <v>407</v>
      </c>
      <c r="BC343" s="5">
        <f>AW343+AX343</f>
        <v>0</v>
      </c>
      <c r="BD343" s="5">
        <f>G343/(100-BE343)*100</f>
        <v>0</v>
      </c>
      <c r="BE343" s="5">
        <v>0</v>
      </c>
      <c r="BF343" s="5">
        <f>343</f>
        <v>343</v>
      </c>
      <c r="BH343" s="9">
        <f>F343*AO343</f>
        <v>0</v>
      </c>
      <c r="BI343" s="9">
        <f>F343*AP343</f>
        <v>0</v>
      </c>
      <c r="BJ343" s="9">
        <f>F343*G343</f>
        <v>0</v>
      </c>
      <c r="BK343" s="9"/>
      <c r="BL343" s="5">
        <v>764</v>
      </c>
      <c r="BW343" s="5">
        <v>21</v>
      </c>
      <c r="BX343" s="8" t="s">
        <v>367</v>
      </c>
    </row>
    <row r="344" spans="1:76" x14ac:dyDescent="0.25">
      <c r="A344" s="181"/>
      <c r="B344" s="182"/>
      <c r="C344" s="183" t="s">
        <v>561</v>
      </c>
      <c r="D344" s="184" t="s">
        <v>364</v>
      </c>
      <c r="E344" s="182"/>
      <c r="F344" s="185">
        <v>1</v>
      </c>
      <c r="G344" s="182"/>
      <c r="H344" s="182"/>
      <c r="I344" s="182"/>
      <c r="J344" s="182"/>
      <c r="K344" s="186"/>
    </row>
    <row r="345" spans="1:76" x14ac:dyDescent="0.25">
      <c r="A345" s="213" t="s">
        <v>562</v>
      </c>
      <c r="B345" s="214" t="s">
        <v>294</v>
      </c>
      <c r="C345" s="215" t="s">
        <v>295</v>
      </c>
      <c r="D345" s="216"/>
      <c r="E345" s="214" t="s">
        <v>197</v>
      </c>
      <c r="F345" s="217">
        <v>164.2</v>
      </c>
      <c r="G345" s="217">
        <v>0</v>
      </c>
      <c r="H345" s="217">
        <f>F345*AO345</f>
        <v>0</v>
      </c>
      <c r="I345" s="217">
        <f>F345*AP345</f>
        <v>0</v>
      </c>
      <c r="J345" s="217">
        <f>F345*G345</f>
        <v>0</v>
      </c>
      <c r="K345" s="218" t="s">
        <v>215</v>
      </c>
      <c r="Z345" s="5">
        <f>IF(AQ345="5",BJ345,0)</f>
        <v>0</v>
      </c>
      <c r="AB345" s="5">
        <f>IF(AQ345="1",BH345,0)</f>
        <v>0</v>
      </c>
      <c r="AC345" s="5">
        <f>IF(AQ345="1",BI345,0)</f>
        <v>0</v>
      </c>
      <c r="AD345" s="5">
        <f>IF(AQ345="7",BH345,0)</f>
        <v>0</v>
      </c>
      <c r="AE345" s="5">
        <f>IF(AQ345="7",BI345,0)</f>
        <v>0</v>
      </c>
      <c r="AF345" s="5">
        <f>IF(AQ345="2",BH345,0)</f>
        <v>0</v>
      </c>
      <c r="AG345" s="5">
        <f>IF(AQ345="2",BI345,0)</f>
        <v>0</v>
      </c>
      <c r="AH345" s="5">
        <f>IF(AQ345="0",BJ345,0)</f>
        <v>0</v>
      </c>
      <c r="AI345" s="3" t="s">
        <v>401</v>
      </c>
      <c r="AJ345" s="5">
        <f>IF(AN345=0,J345,0)</f>
        <v>0</v>
      </c>
      <c r="AK345" s="5">
        <f>IF(AN345=12,J345,0)</f>
        <v>0</v>
      </c>
      <c r="AL345" s="5">
        <f>IF(AN345=21,J345,0)</f>
        <v>0</v>
      </c>
      <c r="AN345" s="5">
        <v>21</v>
      </c>
      <c r="AO345" s="5">
        <f>G345*0.027367056</f>
        <v>0</v>
      </c>
      <c r="AP345" s="5">
        <f>G345*(1-0.027367056)</f>
        <v>0</v>
      </c>
      <c r="AQ345" s="6" t="s">
        <v>105</v>
      </c>
      <c r="AV345" s="5">
        <f>AW345+AX345</f>
        <v>0</v>
      </c>
      <c r="AW345" s="5">
        <f>F345*AO345</f>
        <v>0</v>
      </c>
      <c r="AX345" s="5">
        <f>F345*AP345</f>
        <v>0</v>
      </c>
      <c r="AY345" s="6" t="s">
        <v>242</v>
      </c>
      <c r="AZ345" s="6" t="s">
        <v>443</v>
      </c>
      <c r="BA345" s="3" t="s">
        <v>407</v>
      </c>
      <c r="BC345" s="5">
        <f>AW345+AX345</f>
        <v>0</v>
      </c>
      <c r="BD345" s="5">
        <f>G345/(100-BE345)*100</f>
        <v>0</v>
      </c>
      <c r="BE345" s="5">
        <v>0</v>
      </c>
      <c r="BF345" s="5">
        <f>345</f>
        <v>345</v>
      </c>
      <c r="BH345" s="5">
        <f>F345*AO345</f>
        <v>0</v>
      </c>
      <c r="BI345" s="5">
        <f>F345*AP345</f>
        <v>0</v>
      </c>
      <c r="BJ345" s="5">
        <f>F345*G345</f>
        <v>0</v>
      </c>
      <c r="BK345" s="5"/>
      <c r="BL345" s="5">
        <v>764</v>
      </c>
      <c r="BW345" s="5">
        <v>21</v>
      </c>
      <c r="BX345" s="2" t="s">
        <v>295</v>
      </c>
    </row>
    <row r="346" spans="1:76" x14ac:dyDescent="0.25">
      <c r="A346" s="181"/>
      <c r="B346" s="182"/>
      <c r="C346" s="183" t="s">
        <v>563</v>
      </c>
      <c r="D346" s="184" t="s">
        <v>564</v>
      </c>
      <c r="E346" s="182"/>
      <c r="F346" s="185">
        <v>164.2</v>
      </c>
      <c r="G346" s="182"/>
      <c r="H346" s="182"/>
      <c r="I346" s="182"/>
      <c r="J346" s="182"/>
      <c r="K346" s="186"/>
    </row>
    <row r="347" spans="1:76" x14ac:dyDescent="0.25">
      <c r="A347" s="207" t="s">
        <v>565</v>
      </c>
      <c r="B347" s="208" t="s">
        <v>298</v>
      </c>
      <c r="C347" s="209" t="s">
        <v>299</v>
      </c>
      <c r="D347" s="210"/>
      <c r="E347" s="208" t="s">
        <v>300</v>
      </c>
      <c r="F347" s="211">
        <v>273.66667000000001</v>
      </c>
      <c r="G347" s="211">
        <v>0</v>
      </c>
      <c r="H347" s="211">
        <f>F347*AO347</f>
        <v>0</v>
      </c>
      <c r="I347" s="211">
        <f>F347*AP347</f>
        <v>0</v>
      </c>
      <c r="J347" s="211">
        <f>F347*G347</f>
        <v>0</v>
      </c>
      <c r="K347" s="212" t="s">
        <v>215</v>
      </c>
      <c r="Z347" s="5">
        <f>IF(AQ347="5",BJ347,0)</f>
        <v>0</v>
      </c>
      <c r="AB347" s="5">
        <f>IF(AQ347="1",BH347,0)</f>
        <v>0</v>
      </c>
      <c r="AC347" s="5">
        <f>IF(AQ347="1",BI347,0)</f>
        <v>0</v>
      </c>
      <c r="AD347" s="5">
        <f>IF(AQ347="7",BH347,0)</f>
        <v>0</v>
      </c>
      <c r="AE347" s="5">
        <f>IF(AQ347="7",BI347,0)</f>
        <v>0</v>
      </c>
      <c r="AF347" s="5">
        <f>IF(AQ347="2",BH347,0)</f>
        <v>0</v>
      </c>
      <c r="AG347" s="5">
        <f>IF(AQ347="2",BI347,0)</f>
        <v>0</v>
      </c>
      <c r="AH347" s="5">
        <f>IF(AQ347="0",BJ347,0)</f>
        <v>0</v>
      </c>
      <c r="AI347" s="3" t="s">
        <v>401</v>
      </c>
      <c r="AJ347" s="9">
        <f>IF(AN347=0,J347,0)</f>
        <v>0</v>
      </c>
      <c r="AK347" s="9">
        <f>IF(AN347=12,J347,0)</f>
        <v>0</v>
      </c>
      <c r="AL347" s="9">
        <f>IF(AN347=21,J347,0)</f>
        <v>0</v>
      </c>
      <c r="AN347" s="5">
        <v>21</v>
      </c>
      <c r="AO347" s="5">
        <f>G347*1</f>
        <v>0</v>
      </c>
      <c r="AP347" s="5">
        <f>G347*(1-1)</f>
        <v>0</v>
      </c>
      <c r="AQ347" s="10" t="s">
        <v>105</v>
      </c>
      <c r="AV347" s="5">
        <f>AW347+AX347</f>
        <v>0</v>
      </c>
      <c r="AW347" s="5">
        <f>F347*AO347</f>
        <v>0</v>
      </c>
      <c r="AX347" s="5">
        <f>F347*AP347</f>
        <v>0</v>
      </c>
      <c r="AY347" s="6" t="s">
        <v>242</v>
      </c>
      <c r="AZ347" s="6" t="s">
        <v>443</v>
      </c>
      <c r="BA347" s="3" t="s">
        <v>407</v>
      </c>
      <c r="BC347" s="5">
        <f>AW347+AX347</f>
        <v>0</v>
      </c>
      <c r="BD347" s="5">
        <f>G347/(100-BE347)*100</f>
        <v>0</v>
      </c>
      <c r="BE347" s="5">
        <v>0</v>
      </c>
      <c r="BF347" s="5">
        <f>347</f>
        <v>347</v>
      </c>
      <c r="BH347" s="9">
        <f>F347*AO347</f>
        <v>0</v>
      </c>
      <c r="BI347" s="9">
        <f>F347*AP347</f>
        <v>0</v>
      </c>
      <c r="BJ347" s="9">
        <f>F347*G347</f>
        <v>0</v>
      </c>
      <c r="BK347" s="9"/>
      <c r="BL347" s="5">
        <v>764</v>
      </c>
      <c r="BW347" s="5">
        <v>21</v>
      </c>
      <c r="BX347" s="8" t="s">
        <v>299</v>
      </c>
    </row>
    <row r="348" spans="1:76" x14ac:dyDescent="0.25">
      <c r="A348" s="181"/>
      <c r="B348" s="182"/>
      <c r="C348" s="183" t="s">
        <v>566</v>
      </c>
      <c r="D348" s="184" t="s">
        <v>52</v>
      </c>
      <c r="E348" s="182"/>
      <c r="F348" s="185">
        <v>273.66667000000001</v>
      </c>
      <c r="G348" s="182"/>
      <c r="H348" s="182"/>
      <c r="I348" s="182"/>
      <c r="J348" s="182"/>
      <c r="K348" s="186"/>
    </row>
    <row r="349" spans="1:76" x14ac:dyDescent="0.25">
      <c r="A349" s="207" t="s">
        <v>567</v>
      </c>
      <c r="B349" s="208" t="s">
        <v>304</v>
      </c>
      <c r="C349" s="209" t="s">
        <v>305</v>
      </c>
      <c r="D349" s="210"/>
      <c r="E349" s="208" t="s">
        <v>197</v>
      </c>
      <c r="F349" s="211">
        <v>164.2</v>
      </c>
      <c r="G349" s="211">
        <v>0</v>
      </c>
      <c r="H349" s="211">
        <f>F349*AO349</f>
        <v>0</v>
      </c>
      <c r="I349" s="211">
        <f>F349*AP349</f>
        <v>0</v>
      </c>
      <c r="J349" s="211">
        <f>F349*G349</f>
        <v>0</v>
      </c>
      <c r="K349" s="212" t="s">
        <v>215</v>
      </c>
      <c r="Z349" s="5">
        <f>IF(AQ349="5",BJ349,0)</f>
        <v>0</v>
      </c>
      <c r="AB349" s="5">
        <f>IF(AQ349="1",BH349,0)</f>
        <v>0</v>
      </c>
      <c r="AC349" s="5">
        <f>IF(AQ349="1",BI349,0)</f>
        <v>0</v>
      </c>
      <c r="AD349" s="5">
        <f>IF(AQ349="7",BH349,0)</f>
        <v>0</v>
      </c>
      <c r="AE349" s="5">
        <f>IF(AQ349="7",BI349,0)</f>
        <v>0</v>
      </c>
      <c r="AF349" s="5">
        <f>IF(AQ349="2",BH349,0)</f>
        <v>0</v>
      </c>
      <c r="AG349" s="5">
        <f>IF(AQ349="2",BI349,0)</f>
        <v>0</v>
      </c>
      <c r="AH349" s="5">
        <f>IF(AQ349="0",BJ349,0)</f>
        <v>0</v>
      </c>
      <c r="AI349" s="3" t="s">
        <v>401</v>
      </c>
      <c r="AJ349" s="9">
        <f>IF(AN349=0,J349,0)</f>
        <v>0</v>
      </c>
      <c r="AK349" s="9">
        <f>IF(AN349=12,J349,0)</f>
        <v>0</v>
      </c>
      <c r="AL349" s="9">
        <f>IF(AN349=21,J349,0)</f>
        <v>0</v>
      </c>
      <c r="AN349" s="5">
        <v>21</v>
      </c>
      <c r="AO349" s="5">
        <f>G349*1</f>
        <v>0</v>
      </c>
      <c r="AP349" s="5">
        <f>G349*(1-1)</f>
        <v>0</v>
      </c>
      <c r="AQ349" s="10" t="s">
        <v>105</v>
      </c>
      <c r="AV349" s="5">
        <f>AW349+AX349</f>
        <v>0</v>
      </c>
      <c r="AW349" s="5">
        <f>F349*AO349</f>
        <v>0</v>
      </c>
      <c r="AX349" s="5">
        <f>F349*AP349</f>
        <v>0</v>
      </c>
      <c r="AY349" s="6" t="s">
        <v>242</v>
      </c>
      <c r="AZ349" s="6" t="s">
        <v>443</v>
      </c>
      <c r="BA349" s="3" t="s">
        <v>407</v>
      </c>
      <c r="BC349" s="5">
        <f>AW349+AX349</f>
        <v>0</v>
      </c>
      <c r="BD349" s="5">
        <f>G349/(100-BE349)*100</f>
        <v>0</v>
      </c>
      <c r="BE349" s="5">
        <v>0</v>
      </c>
      <c r="BF349" s="5">
        <f>349</f>
        <v>349</v>
      </c>
      <c r="BH349" s="9">
        <f>F349*AO349</f>
        <v>0</v>
      </c>
      <c r="BI349" s="9">
        <f>F349*AP349</f>
        <v>0</v>
      </c>
      <c r="BJ349" s="9">
        <f>F349*G349</f>
        <v>0</v>
      </c>
      <c r="BK349" s="9"/>
      <c r="BL349" s="5">
        <v>764</v>
      </c>
      <c r="BW349" s="5">
        <v>21</v>
      </c>
      <c r="BX349" s="8" t="s">
        <v>305</v>
      </c>
    </row>
    <row r="350" spans="1:76" x14ac:dyDescent="0.25">
      <c r="A350" s="181"/>
      <c r="B350" s="182"/>
      <c r="C350" s="183" t="s">
        <v>568</v>
      </c>
      <c r="D350" s="184" t="s">
        <v>52</v>
      </c>
      <c r="E350" s="182"/>
      <c r="F350" s="185">
        <v>164.2</v>
      </c>
      <c r="G350" s="182"/>
      <c r="H350" s="182"/>
      <c r="I350" s="182"/>
      <c r="J350" s="182"/>
      <c r="K350" s="186"/>
    </row>
    <row r="351" spans="1:76" x14ac:dyDescent="0.25">
      <c r="A351" s="207" t="s">
        <v>569</v>
      </c>
      <c r="B351" s="208" t="s">
        <v>309</v>
      </c>
      <c r="C351" s="209" t="s">
        <v>310</v>
      </c>
      <c r="D351" s="210"/>
      <c r="E351" s="208" t="s">
        <v>300</v>
      </c>
      <c r="F351" s="211">
        <v>164.2</v>
      </c>
      <c r="G351" s="211">
        <v>0</v>
      </c>
      <c r="H351" s="211">
        <f>F351*AO351</f>
        <v>0</v>
      </c>
      <c r="I351" s="211">
        <f>F351*AP351</f>
        <v>0</v>
      </c>
      <c r="J351" s="211">
        <f>F351*G351</f>
        <v>0</v>
      </c>
      <c r="K351" s="212" t="s">
        <v>215</v>
      </c>
      <c r="Z351" s="5">
        <f>IF(AQ351="5",BJ351,0)</f>
        <v>0</v>
      </c>
      <c r="AB351" s="5">
        <f>IF(AQ351="1",BH351,0)</f>
        <v>0</v>
      </c>
      <c r="AC351" s="5">
        <f>IF(AQ351="1",BI351,0)</f>
        <v>0</v>
      </c>
      <c r="AD351" s="5">
        <f>IF(AQ351="7",BH351,0)</f>
        <v>0</v>
      </c>
      <c r="AE351" s="5">
        <f>IF(AQ351="7",BI351,0)</f>
        <v>0</v>
      </c>
      <c r="AF351" s="5">
        <f>IF(AQ351="2",BH351,0)</f>
        <v>0</v>
      </c>
      <c r="AG351" s="5">
        <f>IF(AQ351="2",BI351,0)</f>
        <v>0</v>
      </c>
      <c r="AH351" s="5">
        <f>IF(AQ351="0",BJ351,0)</f>
        <v>0</v>
      </c>
      <c r="AI351" s="3" t="s">
        <v>401</v>
      </c>
      <c r="AJ351" s="9">
        <f>IF(AN351=0,J351,0)</f>
        <v>0</v>
      </c>
      <c r="AK351" s="9">
        <f>IF(AN351=12,J351,0)</f>
        <v>0</v>
      </c>
      <c r="AL351" s="9">
        <f>IF(AN351=21,J351,0)</f>
        <v>0</v>
      </c>
      <c r="AN351" s="5">
        <v>21</v>
      </c>
      <c r="AO351" s="5">
        <f>G351*1</f>
        <v>0</v>
      </c>
      <c r="AP351" s="5">
        <f>G351*(1-1)</f>
        <v>0</v>
      </c>
      <c r="AQ351" s="10" t="s">
        <v>105</v>
      </c>
      <c r="AV351" s="5">
        <f>AW351+AX351</f>
        <v>0</v>
      </c>
      <c r="AW351" s="5">
        <f>F351*AO351</f>
        <v>0</v>
      </c>
      <c r="AX351" s="5">
        <f>F351*AP351</f>
        <v>0</v>
      </c>
      <c r="AY351" s="6" t="s">
        <v>242</v>
      </c>
      <c r="AZ351" s="6" t="s">
        <v>443</v>
      </c>
      <c r="BA351" s="3" t="s">
        <v>407</v>
      </c>
      <c r="BC351" s="5">
        <f>AW351+AX351</f>
        <v>0</v>
      </c>
      <c r="BD351" s="5">
        <f>G351/(100-BE351)*100</f>
        <v>0</v>
      </c>
      <c r="BE351" s="5">
        <v>0</v>
      </c>
      <c r="BF351" s="5">
        <f>351</f>
        <v>351</v>
      </c>
      <c r="BH351" s="9">
        <f>F351*AO351</f>
        <v>0</v>
      </c>
      <c r="BI351" s="9">
        <f>F351*AP351</f>
        <v>0</v>
      </c>
      <c r="BJ351" s="9">
        <f>F351*G351</f>
        <v>0</v>
      </c>
      <c r="BK351" s="9"/>
      <c r="BL351" s="5">
        <v>764</v>
      </c>
      <c r="BW351" s="5">
        <v>21</v>
      </c>
      <c r="BX351" s="8" t="s">
        <v>310</v>
      </c>
    </row>
    <row r="352" spans="1:76" x14ac:dyDescent="0.25">
      <c r="A352" s="181"/>
      <c r="B352" s="182"/>
      <c r="C352" s="183" t="s">
        <v>568</v>
      </c>
      <c r="D352" s="184" t="s">
        <v>52</v>
      </c>
      <c r="E352" s="182"/>
      <c r="F352" s="185">
        <v>164.2</v>
      </c>
      <c r="G352" s="182"/>
      <c r="H352" s="182"/>
      <c r="I352" s="182"/>
      <c r="J352" s="182"/>
      <c r="K352" s="186"/>
    </row>
    <row r="353" spans="1:76" x14ac:dyDescent="0.25">
      <c r="A353" s="207" t="s">
        <v>570</v>
      </c>
      <c r="B353" s="208" t="s">
        <v>314</v>
      </c>
      <c r="C353" s="209" t="s">
        <v>315</v>
      </c>
      <c r="D353" s="210"/>
      <c r="E353" s="208" t="s">
        <v>300</v>
      </c>
      <c r="F353" s="211">
        <v>164.2</v>
      </c>
      <c r="G353" s="211">
        <v>0</v>
      </c>
      <c r="H353" s="211">
        <f>F353*AO353</f>
        <v>0</v>
      </c>
      <c r="I353" s="211">
        <f>F353*AP353</f>
        <v>0</v>
      </c>
      <c r="J353" s="211">
        <f>F353*G353</f>
        <v>0</v>
      </c>
      <c r="K353" s="212" t="s">
        <v>215</v>
      </c>
      <c r="Z353" s="5">
        <f>IF(AQ353="5",BJ353,0)</f>
        <v>0</v>
      </c>
      <c r="AB353" s="5">
        <f>IF(AQ353="1",BH353,0)</f>
        <v>0</v>
      </c>
      <c r="AC353" s="5">
        <f>IF(AQ353="1",BI353,0)</f>
        <v>0</v>
      </c>
      <c r="AD353" s="5">
        <f>IF(AQ353="7",BH353,0)</f>
        <v>0</v>
      </c>
      <c r="AE353" s="5">
        <f>IF(AQ353="7",BI353,0)</f>
        <v>0</v>
      </c>
      <c r="AF353" s="5">
        <f>IF(AQ353="2",BH353,0)</f>
        <v>0</v>
      </c>
      <c r="AG353" s="5">
        <f>IF(AQ353="2",BI353,0)</f>
        <v>0</v>
      </c>
      <c r="AH353" s="5">
        <f>IF(AQ353="0",BJ353,0)</f>
        <v>0</v>
      </c>
      <c r="AI353" s="3" t="s">
        <v>401</v>
      </c>
      <c r="AJ353" s="9">
        <f>IF(AN353=0,J353,0)</f>
        <v>0</v>
      </c>
      <c r="AK353" s="9">
        <f>IF(AN353=12,J353,0)</f>
        <v>0</v>
      </c>
      <c r="AL353" s="9">
        <f>IF(AN353=21,J353,0)</f>
        <v>0</v>
      </c>
      <c r="AN353" s="5">
        <v>21</v>
      </c>
      <c r="AO353" s="5">
        <f>G353*1</f>
        <v>0</v>
      </c>
      <c r="AP353" s="5">
        <f>G353*(1-1)</f>
        <v>0</v>
      </c>
      <c r="AQ353" s="10" t="s">
        <v>105</v>
      </c>
      <c r="AV353" s="5">
        <f>AW353+AX353</f>
        <v>0</v>
      </c>
      <c r="AW353" s="5">
        <f>F353*AO353</f>
        <v>0</v>
      </c>
      <c r="AX353" s="5">
        <f>F353*AP353</f>
        <v>0</v>
      </c>
      <c r="AY353" s="6" t="s">
        <v>242</v>
      </c>
      <c r="AZ353" s="6" t="s">
        <v>443</v>
      </c>
      <c r="BA353" s="3" t="s">
        <v>407</v>
      </c>
      <c r="BC353" s="5">
        <f>AW353+AX353</f>
        <v>0</v>
      </c>
      <c r="BD353" s="5">
        <f>G353/(100-BE353)*100</f>
        <v>0</v>
      </c>
      <c r="BE353" s="5">
        <v>0</v>
      </c>
      <c r="BF353" s="5">
        <f>353</f>
        <v>353</v>
      </c>
      <c r="BH353" s="9">
        <f>F353*AO353</f>
        <v>0</v>
      </c>
      <c r="BI353" s="9">
        <f>F353*AP353</f>
        <v>0</v>
      </c>
      <c r="BJ353" s="9">
        <f>F353*G353</f>
        <v>0</v>
      </c>
      <c r="BK353" s="9"/>
      <c r="BL353" s="5">
        <v>764</v>
      </c>
      <c r="BW353" s="5">
        <v>21</v>
      </c>
      <c r="BX353" s="8" t="s">
        <v>315</v>
      </c>
    </row>
    <row r="354" spans="1:76" x14ac:dyDescent="0.25">
      <c r="A354" s="181"/>
      <c r="B354" s="182"/>
      <c r="C354" s="183" t="s">
        <v>568</v>
      </c>
      <c r="D354" s="184" t="s">
        <v>52</v>
      </c>
      <c r="E354" s="182"/>
      <c r="F354" s="185">
        <v>164.2</v>
      </c>
      <c r="G354" s="182"/>
      <c r="H354" s="182"/>
      <c r="I354" s="182"/>
      <c r="J354" s="182"/>
      <c r="K354" s="186"/>
    </row>
    <row r="355" spans="1:76" x14ac:dyDescent="0.25">
      <c r="A355" s="213" t="s">
        <v>571</v>
      </c>
      <c r="B355" s="214" t="s">
        <v>572</v>
      </c>
      <c r="C355" s="215" t="s">
        <v>573</v>
      </c>
      <c r="D355" s="216"/>
      <c r="E355" s="214" t="s">
        <v>197</v>
      </c>
      <c r="F355" s="217">
        <v>10.55</v>
      </c>
      <c r="G355" s="217">
        <v>0</v>
      </c>
      <c r="H355" s="217">
        <f>F355*AO355</f>
        <v>0</v>
      </c>
      <c r="I355" s="217">
        <f>F355*AP355</f>
        <v>0</v>
      </c>
      <c r="J355" s="217">
        <f>F355*G355</f>
        <v>0</v>
      </c>
      <c r="K355" s="218" t="s">
        <v>70</v>
      </c>
      <c r="Z355" s="5">
        <f>IF(AQ355="5",BJ355,0)</f>
        <v>0</v>
      </c>
      <c r="AB355" s="5">
        <f>IF(AQ355="1",BH355,0)</f>
        <v>0</v>
      </c>
      <c r="AC355" s="5">
        <f>IF(AQ355="1",BI355,0)</f>
        <v>0</v>
      </c>
      <c r="AD355" s="5">
        <f>IF(AQ355="7",BH355,0)</f>
        <v>0</v>
      </c>
      <c r="AE355" s="5">
        <f>IF(AQ355="7",BI355,0)</f>
        <v>0</v>
      </c>
      <c r="AF355" s="5">
        <f>IF(AQ355="2",BH355,0)</f>
        <v>0</v>
      </c>
      <c r="AG355" s="5">
        <f>IF(AQ355="2",BI355,0)</f>
        <v>0</v>
      </c>
      <c r="AH355" s="5">
        <f>IF(AQ355="0",BJ355,0)</f>
        <v>0</v>
      </c>
      <c r="AI355" s="3" t="s">
        <v>401</v>
      </c>
      <c r="AJ355" s="5">
        <f>IF(AN355=0,J355,0)</f>
        <v>0</v>
      </c>
      <c r="AK355" s="5">
        <f>IF(AN355=12,J355,0)</f>
        <v>0</v>
      </c>
      <c r="AL355" s="5">
        <f>IF(AN355=21,J355,0)</f>
        <v>0</v>
      </c>
      <c r="AN355" s="5">
        <v>21</v>
      </c>
      <c r="AO355" s="5">
        <f>G355*0</f>
        <v>0</v>
      </c>
      <c r="AP355" s="5">
        <f>G355*(1-0)</f>
        <v>0</v>
      </c>
      <c r="AQ355" s="6" t="s">
        <v>105</v>
      </c>
      <c r="AV355" s="5">
        <f>AW355+AX355</f>
        <v>0</v>
      </c>
      <c r="AW355" s="5">
        <f>F355*AO355</f>
        <v>0</v>
      </c>
      <c r="AX355" s="5">
        <f>F355*AP355</f>
        <v>0</v>
      </c>
      <c r="AY355" s="6" t="s">
        <v>242</v>
      </c>
      <c r="AZ355" s="6" t="s">
        <v>443</v>
      </c>
      <c r="BA355" s="3" t="s">
        <v>407</v>
      </c>
      <c r="BC355" s="5">
        <f>AW355+AX355</f>
        <v>0</v>
      </c>
      <c r="BD355" s="5">
        <f>G355/(100-BE355)*100</f>
        <v>0</v>
      </c>
      <c r="BE355" s="5">
        <v>0</v>
      </c>
      <c r="BF355" s="5">
        <f>355</f>
        <v>355</v>
      </c>
      <c r="BH355" s="5">
        <f>F355*AO355</f>
        <v>0</v>
      </c>
      <c r="BI355" s="5">
        <f>F355*AP355</f>
        <v>0</v>
      </c>
      <c r="BJ355" s="5">
        <f>F355*G355</f>
        <v>0</v>
      </c>
      <c r="BK355" s="5"/>
      <c r="BL355" s="5">
        <v>764</v>
      </c>
      <c r="BW355" s="5">
        <v>21</v>
      </c>
      <c r="BX355" s="2" t="s">
        <v>573</v>
      </c>
    </row>
    <row r="356" spans="1:76" x14ac:dyDescent="0.25">
      <c r="A356" s="181"/>
      <c r="B356" s="182"/>
      <c r="C356" s="183" t="s">
        <v>574</v>
      </c>
      <c r="D356" s="184" t="s">
        <v>575</v>
      </c>
      <c r="E356" s="182"/>
      <c r="F356" s="185">
        <v>10.55</v>
      </c>
      <c r="G356" s="182"/>
      <c r="H356" s="182"/>
      <c r="I356" s="182"/>
      <c r="J356" s="182"/>
      <c r="K356" s="186"/>
    </row>
    <row r="357" spans="1:76" x14ac:dyDescent="0.25">
      <c r="A357" s="213" t="s">
        <v>576</v>
      </c>
      <c r="B357" s="214" t="s">
        <v>577</v>
      </c>
      <c r="C357" s="215" t="s">
        <v>578</v>
      </c>
      <c r="D357" s="216"/>
      <c r="E357" s="214" t="s">
        <v>197</v>
      </c>
      <c r="F357" s="217">
        <v>8.35</v>
      </c>
      <c r="G357" s="217">
        <v>0</v>
      </c>
      <c r="H357" s="217">
        <f>F357*AO357</f>
        <v>0</v>
      </c>
      <c r="I357" s="217">
        <f>F357*AP357</f>
        <v>0</v>
      </c>
      <c r="J357" s="217">
        <f>F357*G357</f>
        <v>0</v>
      </c>
      <c r="K357" s="218" t="s">
        <v>70</v>
      </c>
      <c r="Z357" s="5">
        <f>IF(AQ357="5",BJ357,0)</f>
        <v>0</v>
      </c>
      <c r="AB357" s="5">
        <f>IF(AQ357="1",BH357,0)</f>
        <v>0</v>
      </c>
      <c r="AC357" s="5">
        <f>IF(AQ357="1",BI357,0)</f>
        <v>0</v>
      </c>
      <c r="AD357" s="5">
        <f>IF(AQ357="7",BH357,0)</f>
        <v>0</v>
      </c>
      <c r="AE357" s="5">
        <f>IF(AQ357="7",BI357,0)</f>
        <v>0</v>
      </c>
      <c r="AF357" s="5">
        <f>IF(AQ357="2",BH357,0)</f>
        <v>0</v>
      </c>
      <c r="AG357" s="5">
        <f>IF(AQ357="2",BI357,0)</f>
        <v>0</v>
      </c>
      <c r="AH357" s="5">
        <f>IF(AQ357="0",BJ357,0)</f>
        <v>0</v>
      </c>
      <c r="AI357" s="3" t="s">
        <v>401</v>
      </c>
      <c r="AJ357" s="5">
        <f>IF(AN357=0,J357,0)</f>
        <v>0</v>
      </c>
      <c r="AK357" s="5">
        <f>IF(AN357=12,J357,0)</f>
        <v>0</v>
      </c>
      <c r="AL357" s="5">
        <f>IF(AN357=21,J357,0)</f>
        <v>0</v>
      </c>
      <c r="AN357" s="5">
        <v>21</v>
      </c>
      <c r="AO357" s="5">
        <f>G357*0</f>
        <v>0</v>
      </c>
      <c r="AP357" s="5">
        <f>G357*(1-0)</f>
        <v>0</v>
      </c>
      <c r="AQ357" s="6" t="s">
        <v>105</v>
      </c>
      <c r="AV357" s="5">
        <f>AW357+AX357</f>
        <v>0</v>
      </c>
      <c r="AW357" s="5">
        <f>F357*AO357</f>
        <v>0</v>
      </c>
      <c r="AX357" s="5">
        <f>F357*AP357</f>
        <v>0</v>
      </c>
      <c r="AY357" s="6" t="s">
        <v>242</v>
      </c>
      <c r="AZ357" s="6" t="s">
        <v>443</v>
      </c>
      <c r="BA357" s="3" t="s">
        <v>407</v>
      </c>
      <c r="BC357" s="5">
        <f>AW357+AX357</f>
        <v>0</v>
      </c>
      <c r="BD357" s="5">
        <f>G357/(100-BE357)*100</f>
        <v>0</v>
      </c>
      <c r="BE357" s="5">
        <v>0</v>
      </c>
      <c r="BF357" s="5">
        <f>357</f>
        <v>357</v>
      </c>
      <c r="BH357" s="5">
        <f>F357*AO357</f>
        <v>0</v>
      </c>
      <c r="BI357" s="5">
        <f>F357*AP357</f>
        <v>0</v>
      </c>
      <c r="BJ357" s="5">
        <f>F357*G357</f>
        <v>0</v>
      </c>
      <c r="BK357" s="5"/>
      <c r="BL357" s="5">
        <v>764</v>
      </c>
      <c r="BW357" s="5">
        <v>21</v>
      </c>
      <c r="BX357" s="2" t="s">
        <v>578</v>
      </c>
    </row>
    <row r="358" spans="1:76" x14ac:dyDescent="0.25">
      <c r="A358" s="181"/>
      <c r="B358" s="182"/>
      <c r="C358" s="183" t="s">
        <v>579</v>
      </c>
      <c r="D358" s="184" t="s">
        <v>580</v>
      </c>
      <c r="E358" s="182"/>
      <c r="F358" s="185">
        <v>8.35</v>
      </c>
      <c r="G358" s="182"/>
      <c r="H358" s="182"/>
      <c r="I358" s="182"/>
      <c r="J358" s="182"/>
      <c r="K358" s="186"/>
    </row>
    <row r="359" spans="1:76" ht="38.25" x14ac:dyDescent="0.25">
      <c r="A359" s="187"/>
      <c r="B359" s="188" t="s">
        <v>85</v>
      </c>
      <c r="C359" s="189" t="s">
        <v>581</v>
      </c>
      <c r="D359" s="190"/>
      <c r="E359" s="190"/>
      <c r="F359" s="190"/>
      <c r="G359" s="190"/>
      <c r="H359" s="190"/>
      <c r="I359" s="190"/>
      <c r="J359" s="190"/>
      <c r="K359" s="191"/>
      <c r="BX359" s="7" t="s">
        <v>581</v>
      </c>
    </row>
    <row r="360" spans="1:76" x14ac:dyDescent="0.25">
      <c r="A360" s="175" t="s">
        <v>582</v>
      </c>
      <c r="B360" s="176" t="s">
        <v>583</v>
      </c>
      <c r="C360" s="177" t="s">
        <v>584</v>
      </c>
      <c r="D360" s="178"/>
      <c r="E360" s="176" t="s">
        <v>197</v>
      </c>
      <c r="F360" s="179">
        <v>8.4149999999999991</v>
      </c>
      <c r="G360" s="179">
        <v>0</v>
      </c>
      <c r="H360" s="179">
        <f>F360*AO360</f>
        <v>0</v>
      </c>
      <c r="I360" s="179">
        <f>F360*AP360</f>
        <v>0</v>
      </c>
      <c r="J360" s="179">
        <f>F360*G360</f>
        <v>0</v>
      </c>
      <c r="K360" s="180" t="s">
        <v>70</v>
      </c>
      <c r="Z360" s="5">
        <f>IF(AQ360="5",BJ360,0)</f>
        <v>0</v>
      </c>
      <c r="AB360" s="5">
        <f>IF(AQ360="1",BH360,0)</f>
        <v>0</v>
      </c>
      <c r="AC360" s="5">
        <f>IF(AQ360="1",BI360,0)</f>
        <v>0</v>
      </c>
      <c r="AD360" s="5">
        <f>IF(AQ360="7",BH360,0)</f>
        <v>0</v>
      </c>
      <c r="AE360" s="5">
        <f>IF(AQ360="7",BI360,0)</f>
        <v>0</v>
      </c>
      <c r="AF360" s="5">
        <f>IF(AQ360="2",BH360,0)</f>
        <v>0</v>
      </c>
      <c r="AG360" s="5">
        <f>IF(AQ360="2",BI360,0)</f>
        <v>0</v>
      </c>
      <c r="AH360" s="5">
        <f>IF(AQ360="0",BJ360,0)</f>
        <v>0</v>
      </c>
      <c r="AI360" s="3" t="s">
        <v>401</v>
      </c>
      <c r="AJ360" s="5">
        <f>IF(AN360=0,J360,0)</f>
        <v>0</v>
      </c>
      <c r="AK360" s="5">
        <f>IF(AN360=12,J360,0)</f>
        <v>0</v>
      </c>
      <c r="AL360" s="5">
        <f>IF(AN360=21,J360,0)</f>
        <v>0</v>
      </c>
      <c r="AN360" s="5">
        <v>21</v>
      </c>
      <c r="AO360" s="5">
        <f>G360*0</f>
        <v>0</v>
      </c>
      <c r="AP360" s="5">
        <f>G360*(1-0)</f>
        <v>0</v>
      </c>
      <c r="AQ360" s="6" t="s">
        <v>105</v>
      </c>
      <c r="AV360" s="5">
        <f>AW360+AX360</f>
        <v>0</v>
      </c>
      <c r="AW360" s="5">
        <f>F360*AO360</f>
        <v>0</v>
      </c>
      <c r="AX360" s="5">
        <f>F360*AP360</f>
        <v>0</v>
      </c>
      <c r="AY360" s="6" t="s">
        <v>242</v>
      </c>
      <c r="AZ360" s="6" t="s">
        <v>443</v>
      </c>
      <c r="BA360" s="3" t="s">
        <v>407</v>
      </c>
      <c r="BC360" s="5">
        <f>AW360+AX360</f>
        <v>0</v>
      </c>
      <c r="BD360" s="5">
        <f>G360/(100-BE360)*100</f>
        <v>0</v>
      </c>
      <c r="BE360" s="5">
        <v>0</v>
      </c>
      <c r="BF360" s="5">
        <f>360</f>
        <v>360</v>
      </c>
      <c r="BH360" s="5">
        <f>F360*AO360</f>
        <v>0</v>
      </c>
      <c r="BI360" s="5">
        <f>F360*AP360</f>
        <v>0</v>
      </c>
      <c r="BJ360" s="5">
        <f>F360*G360</f>
        <v>0</v>
      </c>
      <c r="BK360" s="5"/>
      <c r="BL360" s="5">
        <v>764</v>
      </c>
      <c r="BW360" s="5">
        <v>21</v>
      </c>
      <c r="BX360" s="2" t="s">
        <v>584</v>
      </c>
    </row>
    <row r="361" spans="1:76" x14ac:dyDescent="0.25">
      <c r="A361" s="181"/>
      <c r="B361" s="182"/>
      <c r="C361" s="183" t="s">
        <v>585</v>
      </c>
      <c r="D361" s="184" t="s">
        <v>586</v>
      </c>
      <c r="E361" s="182"/>
      <c r="F361" s="185">
        <v>8.4149999999999991</v>
      </c>
      <c r="G361" s="182"/>
      <c r="H361" s="182"/>
      <c r="I361" s="182"/>
      <c r="J361" s="182"/>
      <c r="K361" s="186"/>
    </row>
    <row r="362" spans="1:76" ht="38.25" x14ac:dyDescent="0.25">
      <c r="A362" s="187"/>
      <c r="B362" s="188" t="s">
        <v>85</v>
      </c>
      <c r="C362" s="189" t="s">
        <v>581</v>
      </c>
      <c r="D362" s="190"/>
      <c r="E362" s="190"/>
      <c r="F362" s="190"/>
      <c r="G362" s="190"/>
      <c r="H362" s="190"/>
      <c r="I362" s="190"/>
      <c r="J362" s="190"/>
      <c r="K362" s="191"/>
      <c r="BX362" s="7" t="s">
        <v>581</v>
      </c>
    </row>
    <row r="363" spans="1:76" x14ac:dyDescent="0.25">
      <c r="A363" s="175" t="s">
        <v>587</v>
      </c>
      <c r="B363" s="176" t="s">
        <v>583</v>
      </c>
      <c r="C363" s="177" t="s">
        <v>588</v>
      </c>
      <c r="D363" s="178"/>
      <c r="E363" s="176" t="s">
        <v>197</v>
      </c>
      <c r="F363" s="179">
        <v>17.2</v>
      </c>
      <c r="G363" s="179">
        <v>0</v>
      </c>
      <c r="H363" s="179">
        <f>F363*AO363</f>
        <v>0</v>
      </c>
      <c r="I363" s="179">
        <f>F363*AP363</f>
        <v>0</v>
      </c>
      <c r="J363" s="179">
        <f>F363*G363</f>
        <v>0</v>
      </c>
      <c r="K363" s="180" t="s">
        <v>70</v>
      </c>
      <c r="Z363" s="5">
        <f>IF(AQ363="5",BJ363,0)</f>
        <v>0</v>
      </c>
      <c r="AB363" s="5">
        <f>IF(AQ363="1",BH363,0)</f>
        <v>0</v>
      </c>
      <c r="AC363" s="5">
        <f>IF(AQ363="1",BI363,0)</f>
        <v>0</v>
      </c>
      <c r="AD363" s="5">
        <f>IF(AQ363="7",BH363,0)</f>
        <v>0</v>
      </c>
      <c r="AE363" s="5">
        <f>IF(AQ363="7",BI363,0)</f>
        <v>0</v>
      </c>
      <c r="AF363" s="5">
        <f>IF(AQ363="2",BH363,0)</f>
        <v>0</v>
      </c>
      <c r="AG363" s="5">
        <f>IF(AQ363="2",BI363,0)</f>
        <v>0</v>
      </c>
      <c r="AH363" s="5">
        <f>IF(AQ363="0",BJ363,0)</f>
        <v>0</v>
      </c>
      <c r="AI363" s="3" t="s">
        <v>401</v>
      </c>
      <c r="AJ363" s="5">
        <f>IF(AN363=0,J363,0)</f>
        <v>0</v>
      </c>
      <c r="AK363" s="5">
        <f>IF(AN363=12,J363,0)</f>
        <v>0</v>
      </c>
      <c r="AL363" s="5">
        <f>IF(AN363=21,J363,0)</f>
        <v>0</v>
      </c>
      <c r="AN363" s="5">
        <v>21</v>
      </c>
      <c r="AO363" s="5">
        <f>G363*0</f>
        <v>0</v>
      </c>
      <c r="AP363" s="5">
        <f>G363*(1-0)</f>
        <v>0</v>
      </c>
      <c r="AQ363" s="6" t="s">
        <v>105</v>
      </c>
      <c r="AV363" s="5">
        <f>AW363+AX363</f>
        <v>0</v>
      </c>
      <c r="AW363" s="5">
        <f>F363*AO363</f>
        <v>0</v>
      </c>
      <c r="AX363" s="5">
        <f>F363*AP363</f>
        <v>0</v>
      </c>
      <c r="AY363" s="6" t="s">
        <v>242</v>
      </c>
      <c r="AZ363" s="6" t="s">
        <v>443</v>
      </c>
      <c r="BA363" s="3" t="s">
        <v>407</v>
      </c>
      <c r="BC363" s="5">
        <f>AW363+AX363</f>
        <v>0</v>
      </c>
      <c r="BD363" s="5">
        <f>G363/(100-BE363)*100</f>
        <v>0</v>
      </c>
      <c r="BE363" s="5">
        <v>0</v>
      </c>
      <c r="BF363" s="5">
        <f>363</f>
        <v>363</v>
      </c>
      <c r="BH363" s="5">
        <f>F363*AO363</f>
        <v>0</v>
      </c>
      <c r="BI363" s="5">
        <f>F363*AP363</f>
        <v>0</v>
      </c>
      <c r="BJ363" s="5">
        <f>F363*G363</f>
        <v>0</v>
      </c>
      <c r="BK363" s="5"/>
      <c r="BL363" s="5">
        <v>764</v>
      </c>
      <c r="BW363" s="5">
        <v>21</v>
      </c>
      <c r="BX363" s="2" t="s">
        <v>588</v>
      </c>
    </row>
    <row r="364" spans="1:76" x14ac:dyDescent="0.25">
      <c r="A364" s="181"/>
      <c r="B364" s="182"/>
      <c r="C364" s="183" t="s">
        <v>589</v>
      </c>
      <c r="D364" s="184" t="s">
        <v>590</v>
      </c>
      <c r="E364" s="182"/>
      <c r="F364" s="185">
        <v>17.2</v>
      </c>
      <c r="G364" s="182"/>
      <c r="H364" s="182"/>
      <c r="I364" s="182"/>
      <c r="J364" s="182"/>
      <c r="K364" s="186"/>
    </row>
    <row r="365" spans="1:76" ht="38.25" x14ac:dyDescent="0.25">
      <c r="A365" s="187"/>
      <c r="B365" s="188" t="s">
        <v>85</v>
      </c>
      <c r="C365" s="189" t="s">
        <v>581</v>
      </c>
      <c r="D365" s="190"/>
      <c r="E365" s="190"/>
      <c r="F365" s="190"/>
      <c r="G365" s="190"/>
      <c r="H365" s="190"/>
      <c r="I365" s="190"/>
      <c r="J365" s="190"/>
      <c r="K365" s="191"/>
      <c r="BX365" s="7" t="s">
        <v>581</v>
      </c>
    </row>
    <row r="366" spans="1:76" x14ac:dyDescent="0.25">
      <c r="A366" s="175" t="s">
        <v>591</v>
      </c>
      <c r="B366" s="176" t="s">
        <v>592</v>
      </c>
      <c r="C366" s="177" t="s">
        <v>593</v>
      </c>
      <c r="D366" s="178"/>
      <c r="E366" s="176" t="s">
        <v>197</v>
      </c>
      <c r="F366" s="179">
        <v>46</v>
      </c>
      <c r="G366" s="179">
        <v>0</v>
      </c>
      <c r="H366" s="179">
        <f>F366*AO366</f>
        <v>0</v>
      </c>
      <c r="I366" s="179">
        <f>F366*AP366</f>
        <v>0</v>
      </c>
      <c r="J366" s="179">
        <f>F366*G366</f>
        <v>0</v>
      </c>
      <c r="K366" s="180" t="s">
        <v>70</v>
      </c>
      <c r="Z366" s="5">
        <f>IF(AQ366="5",BJ366,0)</f>
        <v>0</v>
      </c>
      <c r="AB366" s="5">
        <f>IF(AQ366="1",BH366,0)</f>
        <v>0</v>
      </c>
      <c r="AC366" s="5">
        <f>IF(AQ366="1",BI366,0)</f>
        <v>0</v>
      </c>
      <c r="AD366" s="5">
        <f>IF(AQ366="7",BH366,0)</f>
        <v>0</v>
      </c>
      <c r="AE366" s="5">
        <f>IF(AQ366="7",BI366,0)</f>
        <v>0</v>
      </c>
      <c r="AF366" s="5">
        <f>IF(AQ366="2",BH366,0)</f>
        <v>0</v>
      </c>
      <c r="AG366" s="5">
        <f>IF(AQ366="2",BI366,0)</f>
        <v>0</v>
      </c>
      <c r="AH366" s="5">
        <f>IF(AQ366="0",BJ366,0)</f>
        <v>0</v>
      </c>
      <c r="AI366" s="3" t="s">
        <v>401</v>
      </c>
      <c r="AJ366" s="5">
        <f>IF(AN366=0,J366,0)</f>
        <v>0</v>
      </c>
      <c r="AK366" s="5">
        <f>IF(AN366=12,J366,0)</f>
        <v>0</v>
      </c>
      <c r="AL366" s="5">
        <f>IF(AN366=21,J366,0)</f>
        <v>0</v>
      </c>
      <c r="AN366" s="5">
        <v>21</v>
      </c>
      <c r="AO366" s="5">
        <f>G366*0</f>
        <v>0</v>
      </c>
      <c r="AP366" s="5">
        <f>G366*(1-0)</f>
        <v>0</v>
      </c>
      <c r="AQ366" s="6" t="s">
        <v>105</v>
      </c>
      <c r="AV366" s="5">
        <f>AW366+AX366</f>
        <v>0</v>
      </c>
      <c r="AW366" s="5">
        <f>F366*AO366</f>
        <v>0</v>
      </c>
      <c r="AX366" s="5">
        <f>F366*AP366</f>
        <v>0</v>
      </c>
      <c r="AY366" s="6" t="s">
        <v>242</v>
      </c>
      <c r="AZ366" s="6" t="s">
        <v>443</v>
      </c>
      <c r="BA366" s="3" t="s">
        <v>407</v>
      </c>
      <c r="BC366" s="5">
        <f>AW366+AX366</f>
        <v>0</v>
      </c>
      <c r="BD366" s="5">
        <f>G366/(100-BE366)*100</f>
        <v>0</v>
      </c>
      <c r="BE366" s="5">
        <v>0</v>
      </c>
      <c r="BF366" s="5">
        <f>366</f>
        <v>366</v>
      </c>
      <c r="BH366" s="5">
        <f>F366*AO366</f>
        <v>0</v>
      </c>
      <c r="BI366" s="5">
        <f>F366*AP366</f>
        <v>0</v>
      </c>
      <c r="BJ366" s="5">
        <f>F366*G366</f>
        <v>0</v>
      </c>
      <c r="BK366" s="5"/>
      <c r="BL366" s="5">
        <v>764</v>
      </c>
      <c r="BW366" s="5">
        <v>21</v>
      </c>
      <c r="BX366" s="2" t="s">
        <v>593</v>
      </c>
    </row>
    <row r="367" spans="1:76" x14ac:dyDescent="0.25">
      <c r="A367" s="181"/>
      <c r="B367" s="182"/>
      <c r="C367" s="183" t="s">
        <v>594</v>
      </c>
      <c r="D367" s="184" t="s">
        <v>259</v>
      </c>
      <c r="E367" s="182"/>
      <c r="F367" s="185">
        <v>46</v>
      </c>
      <c r="G367" s="182"/>
      <c r="H367" s="182"/>
      <c r="I367" s="182"/>
      <c r="J367" s="182"/>
      <c r="K367" s="186"/>
    </row>
    <row r="368" spans="1:76" ht="25.5" x14ac:dyDescent="0.25">
      <c r="A368" s="213" t="s">
        <v>595</v>
      </c>
      <c r="B368" s="214" t="s">
        <v>596</v>
      </c>
      <c r="C368" s="215" t="s">
        <v>597</v>
      </c>
      <c r="D368" s="216"/>
      <c r="E368" s="214" t="s">
        <v>197</v>
      </c>
      <c r="F368" s="217">
        <v>10.6</v>
      </c>
      <c r="G368" s="217">
        <v>0</v>
      </c>
      <c r="H368" s="217">
        <f>F368*AO368</f>
        <v>0</v>
      </c>
      <c r="I368" s="217">
        <f>F368*AP368</f>
        <v>0</v>
      </c>
      <c r="J368" s="217">
        <f>F368*G368</f>
        <v>0</v>
      </c>
      <c r="K368" s="218" t="s">
        <v>70</v>
      </c>
      <c r="Z368" s="5">
        <f>IF(AQ368="5",BJ368,0)</f>
        <v>0</v>
      </c>
      <c r="AB368" s="5">
        <f>IF(AQ368="1",BH368,0)</f>
        <v>0</v>
      </c>
      <c r="AC368" s="5">
        <f>IF(AQ368="1",BI368,0)</f>
        <v>0</v>
      </c>
      <c r="AD368" s="5">
        <f>IF(AQ368="7",BH368,0)</f>
        <v>0</v>
      </c>
      <c r="AE368" s="5">
        <f>IF(AQ368="7",BI368,0)</f>
        <v>0</v>
      </c>
      <c r="AF368" s="5">
        <f>IF(AQ368="2",BH368,0)</f>
        <v>0</v>
      </c>
      <c r="AG368" s="5">
        <f>IF(AQ368="2",BI368,0)</f>
        <v>0</v>
      </c>
      <c r="AH368" s="5">
        <f>IF(AQ368="0",BJ368,0)</f>
        <v>0</v>
      </c>
      <c r="AI368" s="3" t="s">
        <v>401</v>
      </c>
      <c r="AJ368" s="5">
        <f>IF(AN368=0,J368,0)</f>
        <v>0</v>
      </c>
      <c r="AK368" s="5">
        <f>IF(AN368=12,J368,0)</f>
        <v>0</v>
      </c>
      <c r="AL368" s="5">
        <f>IF(AN368=21,J368,0)</f>
        <v>0</v>
      </c>
      <c r="AN368" s="5">
        <v>21</v>
      </c>
      <c r="AO368" s="5">
        <f>G368*0.624118421</f>
        <v>0</v>
      </c>
      <c r="AP368" s="5">
        <f>G368*(1-0.624118421)</f>
        <v>0</v>
      </c>
      <c r="AQ368" s="6" t="s">
        <v>105</v>
      </c>
      <c r="AV368" s="5">
        <f>AW368+AX368</f>
        <v>0</v>
      </c>
      <c r="AW368" s="5">
        <f>F368*AO368</f>
        <v>0</v>
      </c>
      <c r="AX368" s="5">
        <f>F368*AP368</f>
        <v>0</v>
      </c>
      <c r="AY368" s="6" t="s">
        <v>242</v>
      </c>
      <c r="AZ368" s="6" t="s">
        <v>443</v>
      </c>
      <c r="BA368" s="3" t="s">
        <v>407</v>
      </c>
      <c r="BC368" s="5">
        <f>AW368+AX368</f>
        <v>0</v>
      </c>
      <c r="BD368" s="5">
        <f>G368/(100-BE368)*100</f>
        <v>0</v>
      </c>
      <c r="BE368" s="5">
        <v>0</v>
      </c>
      <c r="BF368" s="5">
        <f>368</f>
        <v>368</v>
      </c>
      <c r="BH368" s="5">
        <f>F368*AO368</f>
        <v>0</v>
      </c>
      <c r="BI368" s="5">
        <f>F368*AP368</f>
        <v>0</v>
      </c>
      <c r="BJ368" s="5">
        <f>F368*G368</f>
        <v>0</v>
      </c>
      <c r="BK368" s="5"/>
      <c r="BL368" s="5">
        <v>764</v>
      </c>
      <c r="BW368" s="5">
        <v>21</v>
      </c>
      <c r="BX368" s="2" t="s">
        <v>597</v>
      </c>
    </row>
    <row r="369" spans="1:76" ht="13.5" customHeight="1" x14ac:dyDescent="0.25">
      <c r="A369" s="187"/>
      <c r="B369" s="155"/>
      <c r="C369" s="189" t="s">
        <v>598</v>
      </c>
      <c r="D369" s="190"/>
      <c r="E369" s="190"/>
      <c r="F369" s="190"/>
      <c r="G369" s="190"/>
      <c r="H369" s="190"/>
      <c r="I369" s="190"/>
      <c r="J369" s="190"/>
      <c r="K369" s="191"/>
    </row>
    <row r="370" spans="1:76" x14ac:dyDescent="0.25">
      <c r="A370" s="201"/>
      <c r="B370" s="202"/>
      <c r="C370" s="203" t="s">
        <v>599</v>
      </c>
      <c r="D370" s="204" t="s">
        <v>491</v>
      </c>
      <c r="E370" s="202"/>
      <c r="F370" s="205">
        <v>10.6</v>
      </c>
      <c r="G370" s="202"/>
      <c r="H370" s="202"/>
      <c r="I370" s="202"/>
      <c r="J370" s="202"/>
      <c r="K370" s="206"/>
    </row>
    <row r="371" spans="1:76" ht="25.5" x14ac:dyDescent="0.25">
      <c r="A371" s="187"/>
      <c r="B371" s="188" t="s">
        <v>85</v>
      </c>
      <c r="C371" s="189" t="s">
        <v>600</v>
      </c>
      <c r="D371" s="190"/>
      <c r="E371" s="190"/>
      <c r="F371" s="190"/>
      <c r="G371" s="190"/>
      <c r="H371" s="190"/>
      <c r="I371" s="190"/>
      <c r="J371" s="190"/>
      <c r="K371" s="191"/>
      <c r="BX371" s="7" t="s">
        <v>600</v>
      </c>
    </row>
    <row r="372" spans="1:76" x14ac:dyDescent="0.25">
      <c r="A372" s="175" t="s">
        <v>601</v>
      </c>
      <c r="B372" s="176" t="s">
        <v>602</v>
      </c>
      <c r="C372" s="177" t="s">
        <v>603</v>
      </c>
      <c r="D372" s="178"/>
      <c r="E372" s="176" t="s">
        <v>197</v>
      </c>
      <c r="F372" s="179">
        <v>8.07</v>
      </c>
      <c r="G372" s="179">
        <v>0</v>
      </c>
      <c r="H372" s="179">
        <f>F372*AO372</f>
        <v>0</v>
      </c>
      <c r="I372" s="179">
        <f>F372*AP372</f>
        <v>0</v>
      </c>
      <c r="J372" s="179">
        <f>F372*G372</f>
        <v>0</v>
      </c>
      <c r="K372" s="180" t="s">
        <v>70</v>
      </c>
      <c r="Z372" s="5">
        <f>IF(AQ372="5",BJ372,0)</f>
        <v>0</v>
      </c>
      <c r="AB372" s="5">
        <f>IF(AQ372="1",BH372,0)</f>
        <v>0</v>
      </c>
      <c r="AC372" s="5">
        <f>IF(AQ372="1",BI372,0)</f>
        <v>0</v>
      </c>
      <c r="AD372" s="5">
        <f>IF(AQ372="7",BH372,0)</f>
        <v>0</v>
      </c>
      <c r="AE372" s="5">
        <f>IF(AQ372="7",BI372,0)</f>
        <v>0</v>
      </c>
      <c r="AF372" s="5">
        <f>IF(AQ372="2",BH372,0)</f>
        <v>0</v>
      </c>
      <c r="AG372" s="5">
        <f>IF(AQ372="2",BI372,0)</f>
        <v>0</v>
      </c>
      <c r="AH372" s="5">
        <f>IF(AQ372="0",BJ372,0)</f>
        <v>0</v>
      </c>
      <c r="AI372" s="3" t="s">
        <v>401</v>
      </c>
      <c r="AJ372" s="5">
        <f>IF(AN372=0,J372,0)</f>
        <v>0</v>
      </c>
      <c r="AK372" s="5">
        <f>IF(AN372=12,J372,0)</f>
        <v>0</v>
      </c>
      <c r="AL372" s="5">
        <f>IF(AN372=21,J372,0)</f>
        <v>0</v>
      </c>
      <c r="AN372" s="5">
        <v>21</v>
      </c>
      <c r="AO372" s="5">
        <f>G372*0.587875389</f>
        <v>0</v>
      </c>
      <c r="AP372" s="5">
        <f>G372*(1-0.587875389)</f>
        <v>0</v>
      </c>
      <c r="AQ372" s="6" t="s">
        <v>105</v>
      </c>
      <c r="AV372" s="5">
        <f>AW372+AX372</f>
        <v>0</v>
      </c>
      <c r="AW372" s="5">
        <f>F372*AO372</f>
        <v>0</v>
      </c>
      <c r="AX372" s="5">
        <f>F372*AP372</f>
        <v>0</v>
      </c>
      <c r="AY372" s="6" t="s">
        <v>242</v>
      </c>
      <c r="AZ372" s="6" t="s">
        <v>443</v>
      </c>
      <c r="BA372" s="3" t="s">
        <v>407</v>
      </c>
      <c r="BC372" s="5">
        <f>AW372+AX372</f>
        <v>0</v>
      </c>
      <c r="BD372" s="5">
        <f>G372/(100-BE372)*100</f>
        <v>0</v>
      </c>
      <c r="BE372" s="5">
        <v>0</v>
      </c>
      <c r="BF372" s="5">
        <f>372</f>
        <v>372</v>
      </c>
      <c r="BH372" s="5">
        <f>F372*AO372</f>
        <v>0</v>
      </c>
      <c r="BI372" s="5">
        <f>F372*AP372</f>
        <v>0</v>
      </c>
      <c r="BJ372" s="5">
        <f>F372*G372</f>
        <v>0</v>
      </c>
      <c r="BK372" s="5"/>
      <c r="BL372" s="5">
        <v>764</v>
      </c>
      <c r="BW372" s="5">
        <v>21</v>
      </c>
      <c r="BX372" s="2" t="s">
        <v>603</v>
      </c>
    </row>
    <row r="373" spans="1:76" ht="27" customHeight="1" x14ac:dyDescent="0.25">
      <c r="A373" s="187"/>
      <c r="B373" s="155"/>
      <c r="C373" s="189" t="s">
        <v>604</v>
      </c>
      <c r="D373" s="190"/>
      <c r="E373" s="190"/>
      <c r="F373" s="190"/>
      <c r="G373" s="190"/>
      <c r="H373" s="190"/>
      <c r="I373" s="190"/>
      <c r="J373" s="190"/>
      <c r="K373" s="191"/>
    </row>
    <row r="374" spans="1:76" x14ac:dyDescent="0.25">
      <c r="A374" s="201"/>
      <c r="B374" s="202"/>
      <c r="C374" s="203" t="s">
        <v>605</v>
      </c>
      <c r="D374" s="204" t="s">
        <v>493</v>
      </c>
      <c r="E374" s="202"/>
      <c r="F374" s="205">
        <v>8.07</v>
      </c>
      <c r="G374" s="202"/>
      <c r="H374" s="202"/>
      <c r="I374" s="202"/>
      <c r="J374" s="202"/>
      <c r="K374" s="206"/>
    </row>
    <row r="375" spans="1:76" x14ac:dyDescent="0.25">
      <c r="A375" s="187"/>
      <c r="B375" s="188" t="s">
        <v>85</v>
      </c>
      <c r="C375" s="189" t="s">
        <v>606</v>
      </c>
      <c r="D375" s="190"/>
      <c r="E375" s="190"/>
      <c r="F375" s="190"/>
      <c r="G375" s="190"/>
      <c r="H375" s="190"/>
      <c r="I375" s="190"/>
      <c r="J375" s="190"/>
      <c r="K375" s="191"/>
      <c r="BX375" s="7" t="s">
        <v>606</v>
      </c>
    </row>
    <row r="376" spans="1:76" x14ac:dyDescent="0.25">
      <c r="A376" s="175" t="s">
        <v>607</v>
      </c>
      <c r="B376" s="176" t="s">
        <v>608</v>
      </c>
      <c r="C376" s="177" t="s">
        <v>609</v>
      </c>
      <c r="D376" s="178"/>
      <c r="E376" s="176" t="s">
        <v>197</v>
      </c>
      <c r="F376" s="179">
        <v>28</v>
      </c>
      <c r="G376" s="179">
        <v>0</v>
      </c>
      <c r="H376" s="179">
        <f>F376*AO376</f>
        <v>0</v>
      </c>
      <c r="I376" s="179">
        <f>F376*AP376</f>
        <v>0</v>
      </c>
      <c r="J376" s="179">
        <f>F376*G376</f>
        <v>0</v>
      </c>
      <c r="K376" s="180" t="s">
        <v>70</v>
      </c>
      <c r="Z376" s="5">
        <f>IF(AQ376="5",BJ376,0)</f>
        <v>0</v>
      </c>
      <c r="AB376" s="5">
        <f>IF(AQ376="1",BH376,0)</f>
        <v>0</v>
      </c>
      <c r="AC376" s="5">
        <f>IF(AQ376="1",BI376,0)</f>
        <v>0</v>
      </c>
      <c r="AD376" s="5">
        <f>IF(AQ376="7",BH376,0)</f>
        <v>0</v>
      </c>
      <c r="AE376" s="5">
        <f>IF(AQ376="7",BI376,0)</f>
        <v>0</v>
      </c>
      <c r="AF376" s="5">
        <f>IF(AQ376="2",BH376,0)</f>
        <v>0</v>
      </c>
      <c r="AG376" s="5">
        <f>IF(AQ376="2",BI376,0)</f>
        <v>0</v>
      </c>
      <c r="AH376" s="5">
        <f>IF(AQ376="0",BJ376,0)</f>
        <v>0</v>
      </c>
      <c r="AI376" s="3" t="s">
        <v>401</v>
      </c>
      <c r="AJ376" s="5">
        <f>IF(AN376=0,J376,0)</f>
        <v>0</v>
      </c>
      <c r="AK376" s="5">
        <f>IF(AN376=12,J376,0)</f>
        <v>0</v>
      </c>
      <c r="AL376" s="5">
        <f>IF(AN376=21,J376,0)</f>
        <v>0</v>
      </c>
      <c r="AN376" s="5">
        <v>21</v>
      </c>
      <c r="AO376" s="5">
        <f>G376*0.764465379</f>
        <v>0</v>
      </c>
      <c r="AP376" s="5">
        <f>G376*(1-0.764465379)</f>
        <v>0</v>
      </c>
      <c r="AQ376" s="6" t="s">
        <v>105</v>
      </c>
      <c r="AV376" s="5">
        <f>AW376+AX376</f>
        <v>0</v>
      </c>
      <c r="AW376" s="5">
        <f>F376*AO376</f>
        <v>0</v>
      </c>
      <c r="AX376" s="5">
        <f>F376*AP376</f>
        <v>0</v>
      </c>
      <c r="AY376" s="6" t="s">
        <v>242</v>
      </c>
      <c r="AZ376" s="6" t="s">
        <v>443</v>
      </c>
      <c r="BA376" s="3" t="s">
        <v>407</v>
      </c>
      <c r="BC376" s="5">
        <f>AW376+AX376</f>
        <v>0</v>
      </c>
      <c r="BD376" s="5">
        <f>G376/(100-BE376)*100</f>
        <v>0</v>
      </c>
      <c r="BE376" s="5">
        <v>0</v>
      </c>
      <c r="BF376" s="5">
        <f>376</f>
        <v>376</v>
      </c>
      <c r="BH376" s="5">
        <f>F376*AO376</f>
        <v>0</v>
      </c>
      <c r="BI376" s="5">
        <f>F376*AP376</f>
        <v>0</v>
      </c>
      <c r="BJ376" s="5">
        <f>F376*G376</f>
        <v>0</v>
      </c>
      <c r="BK376" s="5"/>
      <c r="BL376" s="5">
        <v>764</v>
      </c>
      <c r="BW376" s="5">
        <v>21</v>
      </c>
      <c r="BX376" s="2" t="s">
        <v>609</v>
      </c>
    </row>
    <row r="377" spans="1:76" ht="27" customHeight="1" x14ac:dyDescent="0.25">
      <c r="A377" s="187"/>
      <c r="B377" s="155"/>
      <c r="C377" s="189" t="s">
        <v>610</v>
      </c>
      <c r="D377" s="190"/>
      <c r="E377" s="190"/>
      <c r="F377" s="190"/>
      <c r="G377" s="190"/>
      <c r="H377" s="190"/>
      <c r="I377" s="190"/>
      <c r="J377" s="190"/>
      <c r="K377" s="191"/>
    </row>
    <row r="378" spans="1:76" x14ac:dyDescent="0.25">
      <c r="A378" s="201"/>
      <c r="B378" s="202"/>
      <c r="C378" s="203" t="s">
        <v>611</v>
      </c>
      <c r="D378" s="204" t="s">
        <v>612</v>
      </c>
      <c r="E378" s="202"/>
      <c r="F378" s="205">
        <v>28</v>
      </c>
      <c r="G378" s="202"/>
      <c r="H378" s="202"/>
      <c r="I378" s="202"/>
      <c r="J378" s="202"/>
      <c r="K378" s="206"/>
    </row>
    <row r="379" spans="1:76" x14ac:dyDescent="0.25">
      <c r="A379" s="213" t="s">
        <v>613</v>
      </c>
      <c r="B379" s="214" t="s">
        <v>614</v>
      </c>
      <c r="C379" s="215" t="s">
        <v>615</v>
      </c>
      <c r="D379" s="216"/>
      <c r="E379" s="214" t="s">
        <v>197</v>
      </c>
      <c r="F379" s="217">
        <v>17.8</v>
      </c>
      <c r="G379" s="217">
        <v>0</v>
      </c>
      <c r="H379" s="217">
        <f>F379*AO379</f>
        <v>0</v>
      </c>
      <c r="I379" s="217">
        <f>F379*AP379</f>
        <v>0</v>
      </c>
      <c r="J379" s="217">
        <f>F379*G379</f>
        <v>0</v>
      </c>
      <c r="K379" s="218" t="s">
        <v>70</v>
      </c>
      <c r="Z379" s="5">
        <f>IF(AQ379="5",BJ379,0)</f>
        <v>0</v>
      </c>
      <c r="AB379" s="5">
        <f>IF(AQ379="1",BH379,0)</f>
        <v>0</v>
      </c>
      <c r="AC379" s="5">
        <f>IF(AQ379="1",BI379,0)</f>
        <v>0</v>
      </c>
      <c r="AD379" s="5">
        <f>IF(AQ379="7",BH379,0)</f>
        <v>0</v>
      </c>
      <c r="AE379" s="5">
        <f>IF(AQ379="7",BI379,0)</f>
        <v>0</v>
      </c>
      <c r="AF379" s="5">
        <f>IF(AQ379="2",BH379,0)</f>
        <v>0</v>
      </c>
      <c r="AG379" s="5">
        <f>IF(AQ379="2",BI379,0)</f>
        <v>0</v>
      </c>
      <c r="AH379" s="5">
        <f>IF(AQ379="0",BJ379,0)</f>
        <v>0</v>
      </c>
      <c r="AI379" s="3" t="s">
        <v>401</v>
      </c>
      <c r="AJ379" s="5">
        <f>IF(AN379=0,J379,0)</f>
        <v>0</v>
      </c>
      <c r="AK379" s="5">
        <f>IF(AN379=12,J379,0)</f>
        <v>0</v>
      </c>
      <c r="AL379" s="5">
        <f>IF(AN379=21,J379,0)</f>
        <v>0</v>
      </c>
      <c r="AN379" s="5">
        <v>21</v>
      </c>
      <c r="AO379" s="5">
        <f>G379*0.500945946</f>
        <v>0</v>
      </c>
      <c r="AP379" s="5">
        <f>G379*(1-0.500945946)</f>
        <v>0</v>
      </c>
      <c r="AQ379" s="6" t="s">
        <v>105</v>
      </c>
      <c r="AV379" s="5">
        <f>AW379+AX379</f>
        <v>0</v>
      </c>
      <c r="AW379" s="5">
        <f>F379*AO379</f>
        <v>0</v>
      </c>
      <c r="AX379" s="5">
        <f>F379*AP379</f>
        <v>0</v>
      </c>
      <c r="AY379" s="6" t="s">
        <v>242</v>
      </c>
      <c r="AZ379" s="6" t="s">
        <v>443</v>
      </c>
      <c r="BA379" s="3" t="s">
        <v>407</v>
      </c>
      <c r="BC379" s="5">
        <f>AW379+AX379</f>
        <v>0</v>
      </c>
      <c r="BD379" s="5">
        <f>G379/(100-BE379)*100</f>
        <v>0</v>
      </c>
      <c r="BE379" s="5">
        <v>0</v>
      </c>
      <c r="BF379" s="5">
        <f>379</f>
        <v>379</v>
      </c>
      <c r="BH379" s="5">
        <f>F379*AO379</f>
        <v>0</v>
      </c>
      <c r="BI379" s="5">
        <f>F379*AP379</f>
        <v>0</v>
      </c>
      <c r="BJ379" s="5">
        <f>F379*G379</f>
        <v>0</v>
      </c>
      <c r="BK379" s="5"/>
      <c r="BL379" s="5">
        <v>764</v>
      </c>
      <c r="BW379" s="5">
        <v>21</v>
      </c>
      <c r="BX379" s="2" t="s">
        <v>615</v>
      </c>
    </row>
    <row r="380" spans="1:76" ht="13.5" customHeight="1" x14ac:dyDescent="0.25">
      <c r="A380" s="187"/>
      <c r="B380" s="155"/>
      <c r="C380" s="189" t="s">
        <v>616</v>
      </c>
      <c r="D380" s="190"/>
      <c r="E380" s="190"/>
      <c r="F380" s="190"/>
      <c r="G380" s="190"/>
      <c r="H380" s="190"/>
      <c r="I380" s="190"/>
      <c r="J380" s="190"/>
      <c r="K380" s="191"/>
    </row>
    <row r="381" spans="1:76" x14ac:dyDescent="0.25">
      <c r="A381" s="201"/>
      <c r="B381" s="202"/>
      <c r="C381" s="203" t="s">
        <v>617</v>
      </c>
      <c r="D381" s="204" t="s">
        <v>618</v>
      </c>
      <c r="E381" s="202"/>
      <c r="F381" s="205">
        <v>17.8</v>
      </c>
      <c r="G381" s="202"/>
      <c r="H381" s="202"/>
      <c r="I381" s="202"/>
      <c r="J381" s="202"/>
      <c r="K381" s="206"/>
    </row>
    <row r="382" spans="1:76" ht="25.5" x14ac:dyDescent="0.25">
      <c r="A382" s="213" t="s">
        <v>619</v>
      </c>
      <c r="B382" s="214" t="s">
        <v>620</v>
      </c>
      <c r="C382" s="215" t="s">
        <v>621</v>
      </c>
      <c r="D382" s="216"/>
      <c r="E382" s="214" t="s">
        <v>197</v>
      </c>
      <c r="F382" s="217">
        <v>17.8</v>
      </c>
      <c r="G382" s="217">
        <v>0</v>
      </c>
      <c r="H382" s="217">
        <f>F382*AO382</f>
        <v>0</v>
      </c>
      <c r="I382" s="217">
        <f>F382*AP382</f>
        <v>0</v>
      </c>
      <c r="J382" s="217">
        <f>F382*G382</f>
        <v>0</v>
      </c>
      <c r="K382" s="218" t="s">
        <v>70</v>
      </c>
      <c r="Z382" s="5">
        <f>IF(AQ382="5",BJ382,0)</f>
        <v>0</v>
      </c>
      <c r="AB382" s="5">
        <f>IF(AQ382="1",BH382,0)</f>
        <v>0</v>
      </c>
      <c r="AC382" s="5">
        <f>IF(AQ382="1",BI382,0)</f>
        <v>0</v>
      </c>
      <c r="AD382" s="5">
        <f>IF(AQ382="7",BH382,0)</f>
        <v>0</v>
      </c>
      <c r="AE382" s="5">
        <f>IF(AQ382="7",BI382,0)</f>
        <v>0</v>
      </c>
      <c r="AF382" s="5">
        <f>IF(AQ382="2",BH382,0)</f>
        <v>0</v>
      </c>
      <c r="AG382" s="5">
        <f>IF(AQ382="2",BI382,0)</f>
        <v>0</v>
      </c>
      <c r="AH382" s="5">
        <f>IF(AQ382="0",BJ382,0)</f>
        <v>0</v>
      </c>
      <c r="AI382" s="3" t="s">
        <v>401</v>
      </c>
      <c r="AJ382" s="5">
        <f>IF(AN382=0,J382,0)</f>
        <v>0</v>
      </c>
      <c r="AK382" s="5">
        <f>IF(AN382=12,J382,0)</f>
        <v>0</v>
      </c>
      <c r="AL382" s="5">
        <f>IF(AN382=21,J382,0)</f>
        <v>0</v>
      </c>
      <c r="AN382" s="5">
        <v>21</v>
      </c>
      <c r="AO382" s="5">
        <f>G382*0.649652138</f>
        <v>0</v>
      </c>
      <c r="AP382" s="5">
        <f>G382*(1-0.649652138)</f>
        <v>0</v>
      </c>
      <c r="AQ382" s="6" t="s">
        <v>105</v>
      </c>
      <c r="AV382" s="5">
        <f>AW382+AX382</f>
        <v>0</v>
      </c>
      <c r="AW382" s="5">
        <f>F382*AO382</f>
        <v>0</v>
      </c>
      <c r="AX382" s="5">
        <f>F382*AP382</f>
        <v>0</v>
      </c>
      <c r="AY382" s="6" t="s">
        <v>242</v>
      </c>
      <c r="AZ382" s="6" t="s">
        <v>443</v>
      </c>
      <c r="BA382" s="3" t="s">
        <v>407</v>
      </c>
      <c r="BC382" s="5">
        <f>AW382+AX382</f>
        <v>0</v>
      </c>
      <c r="BD382" s="5">
        <f>G382/(100-BE382)*100</f>
        <v>0</v>
      </c>
      <c r="BE382" s="5">
        <v>0</v>
      </c>
      <c r="BF382" s="5">
        <f>382</f>
        <v>382</v>
      </c>
      <c r="BH382" s="5">
        <f>F382*AO382</f>
        <v>0</v>
      </c>
      <c r="BI382" s="5">
        <f>F382*AP382</f>
        <v>0</v>
      </c>
      <c r="BJ382" s="5">
        <f>F382*G382</f>
        <v>0</v>
      </c>
      <c r="BK382" s="5"/>
      <c r="BL382" s="5">
        <v>764</v>
      </c>
      <c r="BW382" s="5">
        <v>21</v>
      </c>
      <c r="BX382" s="2" t="s">
        <v>621</v>
      </c>
    </row>
    <row r="383" spans="1:76" x14ac:dyDescent="0.25">
      <c r="A383" s="181"/>
      <c r="B383" s="182"/>
      <c r="C383" s="183" t="s">
        <v>622</v>
      </c>
      <c r="D383" s="184" t="s">
        <v>623</v>
      </c>
      <c r="E383" s="182"/>
      <c r="F383" s="185">
        <v>17.8</v>
      </c>
      <c r="G383" s="182"/>
      <c r="H383" s="182"/>
      <c r="I383" s="182"/>
      <c r="J383" s="182"/>
      <c r="K383" s="186"/>
    </row>
    <row r="384" spans="1:76" ht="25.5" x14ac:dyDescent="0.25">
      <c r="A384" s="213" t="s">
        <v>624</v>
      </c>
      <c r="B384" s="214" t="s">
        <v>625</v>
      </c>
      <c r="C384" s="215" t="s">
        <v>626</v>
      </c>
      <c r="D384" s="216"/>
      <c r="E384" s="214" t="s">
        <v>197</v>
      </c>
      <c r="F384" s="217">
        <v>164.08</v>
      </c>
      <c r="G384" s="217">
        <v>0</v>
      </c>
      <c r="H384" s="217">
        <f>F384*AO384</f>
        <v>0</v>
      </c>
      <c r="I384" s="217">
        <f>F384*AP384</f>
        <v>0</v>
      </c>
      <c r="J384" s="217">
        <f>F384*G384</f>
        <v>0</v>
      </c>
      <c r="K384" s="218" t="s">
        <v>70</v>
      </c>
      <c r="Z384" s="5">
        <f>IF(AQ384="5",BJ384,0)</f>
        <v>0</v>
      </c>
      <c r="AB384" s="5">
        <f>IF(AQ384="1",BH384,0)</f>
        <v>0</v>
      </c>
      <c r="AC384" s="5">
        <f>IF(AQ384="1",BI384,0)</f>
        <v>0</v>
      </c>
      <c r="AD384" s="5">
        <f>IF(AQ384="7",BH384,0)</f>
        <v>0</v>
      </c>
      <c r="AE384" s="5">
        <f>IF(AQ384="7",BI384,0)</f>
        <v>0</v>
      </c>
      <c r="AF384" s="5">
        <f>IF(AQ384="2",BH384,0)</f>
        <v>0</v>
      </c>
      <c r="AG384" s="5">
        <f>IF(AQ384="2",BI384,0)</f>
        <v>0</v>
      </c>
      <c r="AH384" s="5">
        <f>IF(AQ384="0",BJ384,0)</f>
        <v>0</v>
      </c>
      <c r="AI384" s="3" t="s">
        <v>401</v>
      </c>
      <c r="AJ384" s="5">
        <f>IF(AN384=0,J384,0)</f>
        <v>0</v>
      </c>
      <c r="AK384" s="5">
        <f>IF(AN384=12,J384,0)</f>
        <v>0</v>
      </c>
      <c r="AL384" s="5">
        <f>IF(AN384=21,J384,0)</f>
        <v>0</v>
      </c>
      <c r="AN384" s="5">
        <v>21</v>
      </c>
      <c r="AO384" s="5">
        <f>G384*0.483878323</f>
        <v>0</v>
      </c>
      <c r="AP384" s="5">
        <f>G384*(1-0.483878323)</f>
        <v>0</v>
      </c>
      <c r="AQ384" s="6" t="s">
        <v>105</v>
      </c>
      <c r="AV384" s="5">
        <f>AW384+AX384</f>
        <v>0</v>
      </c>
      <c r="AW384" s="5">
        <f>F384*AO384</f>
        <v>0</v>
      </c>
      <c r="AX384" s="5">
        <f>F384*AP384</f>
        <v>0</v>
      </c>
      <c r="AY384" s="6" t="s">
        <v>242</v>
      </c>
      <c r="AZ384" s="6" t="s">
        <v>443</v>
      </c>
      <c r="BA384" s="3" t="s">
        <v>407</v>
      </c>
      <c r="BC384" s="5">
        <f>AW384+AX384</f>
        <v>0</v>
      </c>
      <c r="BD384" s="5">
        <f>G384/(100-BE384)*100</f>
        <v>0</v>
      </c>
      <c r="BE384" s="5">
        <v>0</v>
      </c>
      <c r="BF384" s="5">
        <f>384</f>
        <v>384</v>
      </c>
      <c r="BH384" s="5">
        <f>F384*AO384</f>
        <v>0</v>
      </c>
      <c r="BI384" s="5">
        <f>F384*AP384</f>
        <v>0</v>
      </c>
      <c r="BJ384" s="5">
        <f>F384*G384</f>
        <v>0</v>
      </c>
      <c r="BK384" s="5"/>
      <c r="BL384" s="5">
        <v>764</v>
      </c>
      <c r="BW384" s="5">
        <v>21</v>
      </c>
      <c r="BX384" s="2" t="s">
        <v>626</v>
      </c>
    </row>
    <row r="385" spans="1:76" ht="27" customHeight="1" x14ac:dyDescent="0.25">
      <c r="A385" s="187"/>
      <c r="B385" s="155"/>
      <c r="C385" s="189" t="s">
        <v>627</v>
      </c>
      <c r="D385" s="190"/>
      <c r="E385" s="190"/>
      <c r="F385" s="190"/>
      <c r="G385" s="190"/>
      <c r="H385" s="190"/>
      <c r="I385" s="190"/>
      <c r="J385" s="190"/>
      <c r="K385" s="191"/>
    </row>
    <row r="386" spans="1:76" x14ac:dyDescent="0.25">
      <c r="A386" s="201"/>
      <c r="B386" s="202"/>
      <c r="C386" s="203" t="s">
        <v>628</v>
      </c>
      <c r="D386" s="204" t="s">
        <v>629</v>
      </c>
      <c r="E386" s="202"/>
      <c r="F386" s="205">
        <v>164.08</v>
      </c>
      <c r="G386" s="202"/>
      <c r="H386" s="202"/>
      <c r="I386" s="202"/>
      <c r="J386" s="202"/>
      <c r="K386" s="206"/>
    </row>
    <row r="387" spans="1:76" x14ac:dyDescent="0.25">
      <c r="A387" s="192"/>
      <c r="B387" s="193" t="s">
        <v>85</v>
      </c>
      <c r="C387" s="194" t="s">
        <v>630</v>
      </c>
      <c r="D387" s="195"/>
      <c r="E387" s="195"/>
      <c r="F387" s="195"/>
      <c r="G387" s="195"/>
      <c r="H387" s="195"/>
      <c r="I387" s="195"/>
      <c r="J387" s="195"/>
      <c r="K387" s="196"/>
      <c r="BX387" s="7" t="s">
        <v>630</v>
      </c>
    </row>
    <row r="388" spans="1:76" x14ac:dyDescent="0.25">
      <c r="A388" s="146" t="s">
        <v>631</v>
      </c>
      <c r="B388" s="149" t="s">
        <v>632</v>
      </c>
      <c r="C388" s="116" t="s">
        <v>633</v>
      </c>
      <c r="D388" s="112"/>
      <c r="E388" s="149" t="s">
        <v>372</v>
      </c>
      <c r="F388" s="152">
        <v>43110</v>
      </c>
      <c r="G388" s="152">
        <v>0</v>
      </c>
      <c r="H388" s="152">
        <f>F388*AO388</f>
        <v>0</v>
      </c>
      <c r="I388" s="152">
        <f>F388*AP388</f>
        <v>0</v>
      </c>
      <c r="J388" s="152">
        <f>F388*G388</f>
        <v>0</v>
      </c>
      <c r="K388" s="153" t="s">
        <v>70</v>
      </c>
      <c r="Z388" s="5">
        <f>IF(AQ388="5",BJ388,0)</f>
        <v>0</v>
      </c>
      <c r="AB388" s="5">
        <f>IF(AQ388="1",BH388,0)</f>
        <v>0</v>
      </c>
      <c r="AC388" s="5">
        <f>IF(AQ388="1",BI388,0)</f>
        <v>0</v>
      </c>
      <c r="AD388" s="5">
        <f>IF(AQ388="7",BH388,0)</f>
        <v>0</v>
      </c>
      <c r="AE388" s="5">
        <f>IF(AQ388="7",BI388,0)</f>
        <v>0</v>
      </c>
      <c r="AF388" s="5">
        <f>IF(AQ388="2",BH388,0)</f>
        <v>0</v>
      </c>
      <c r="AG388" s="5">
        <f>IF(AQ388="2",BI388,0)</f>
        <v>0</v>
      </c>
      <c r="AH388" s="5">
        <f>IF(AQ388="0",BJ388,0)</f>
        <v>0</v>
      </c>
      <c r="AI388" s="3" t="s">
        <v>401</v>
      </c>
      <c r="AJ388" s="5">
        <f>IF(AN388=0,J388,0)</f>
        <v>0</v>
      </c>
      <c r="AK388" s="5">
        <f>IF(AN388=12,J388,0)</f>
        <v>0</v>
      </c>
      <c r="AL388" s="5">
        <f>IF(AN388=21,J388,0)</f>
        <v>0</v>
      </c>
      <c r="AN388" s="5">
        <v>21</v>
      </c>
      <c r="AO388" s="5">
        <f>G388*0</f>
        <v>0</v>
      </c>
      <c r="AP388" s="5">
        <f>G388*(1-0)</f>
        <v>0</v>
      </c>
      <c r="AQ388" s="6" t="s">
        <v>96</v>
      </c>
      <c r="AV388" s="5">
        <f>AW388+AX388</f>
        <v>0</v>
      </c>
      <c r="AW388" s="5">
        <f>F388*AO388</f>
        <v>0</v>
      </c>
      <c r="AX388" s="5">
        <f>F388*AP388</f>
        <v>0</v>
      </c>
      <c r="AY388" s="6" t="s">
        <v>242</v>
      </c>
      <c r="AZ388" s="6" t="s">
        <v>443</v>
      </c>
      <c r="BA388" s="3" t="s">
        <v>407</v>
      </c>
      <c r="BC388" s="5">
        <f>AW388+AX388</f>
        <v>0</v>
      </c>
      <c r="BD388" s="5">
        <f>G388/(100-BE388)*100</f>
        <v>0</v>
      </c>
      <c r="BE388" s="5">
        <v>0</v>
      </c>
      <c r="BF388" s="5">
        <f>388</f>
        <v>388</v>
      </c>
      <c r="BH388" s="5">
        <f>F388*AO388</f>
        <v>0</v>
      </c>
      <c r="BI388" s="5">
        <f>F388*AP388</f>
        <v>0</v>
      </c>
      <c r="BJ388" s="5">
        <f>F388*G388</f>
        <v>0</v>
      </c>
      <c r="BK388" s="5"/>
      <c r="BL388" s="5">
        <v>764</v>
      </c>
      <c r="BW388" s="5">
        <v>21</v>
      </c>
      <c r="BX388" s="2" t="s">
        <v>633</v>
      </c>
    </row>
    <row r="389" spans="1:76" x14ac:dyDescent="0.25">
      <c r="A389" s="154"/>
      <c r="B389" s="155"/>
      <c r="C389" s="159" t="s">
        <v>634</v>
      </c>
      <c r="D389" s="160" t="s">
        <v>52</v>
      </c>
      <c r="E389" s="155"/>
      <c r="F389" s="161">
        <v>43110</v>
      </c>
      <c r="G389" s="155"/>
      <c r="H389" s="155"/>
      <c r="I389" s="155"/>
      <c r="J389" s="155"/>
      <c r="K389" s="162"/>
    </row>
    <row r="390" spans="1:76" x14ac:dyDescent="0.25">
      <c r="A390" s="146" t="s">
        <v>52</v>
      </c>
      <c r="B390" s="147" t="s">
        <v>374</v>
      </c>
      <c r="C390" s="148" t="s">
        <v>375</v>
      </c>
      <c r="D390" s="113"/>
      <c r="E390" s="149" t="s">
        <v>33</v>
      </c>
      <c r="F390" s="149" t="s">
        <v>33</v>
      </c>
      <c r="G390" s="149" t="s">
        <v>33</v>
      </c>
      <c r="H390" s="150">
        <f>SUM(H391:H416)</f>
        <v>0</v>
      </c>
      <c r="I390" s="150">
        <f>SUM(I391:I416)</f>
        <v>0</v>
      </c>
      <c r="J390" s="150">
        <f>SUM(J391:J416)</f>
        <v>0</v>
      </c>
      <c r="K390" s="151" t="s">
        <v>52</v>
      </c>
      <c r="AI390" s="3" t="s">
        <v>401</v>
      </c>
      <c r="AS390" s="1">
        <f>SUM(AJ391:AJ416)</f>
        <v>0</v>
      </c>
      <c r="AT390" s="1">
        <f>SUM(AK391:AK416)</f>
        <v>0</v>
      </c>
      <c r="AU390" s="1">
        <f>SUM(AL391:AL416)</f>
        <v>0</v>
      </c>
    </row>
    <row r="391" spans="1:76" x14ac:dyDescent="0.25">
      <c r="A391" s="146" t="s">
        <v>635</v>
      </c>
      <c r="B391" s="149" t="s">
        <v>377</v>
      </c>
      <c r="C391" s="116" t="s">
        <v>378</v>
      </c>
      <c r="D391" s="112"/>
      <c r="E391" s="149" t="s">
        <v>69</v>
      </c>
      <c r="F391" s="152">
        <v>1423.54</v>
      </c>
      <c r="G391" s="152">
        <v>0</v>
      </c>
      <c r="H391" s="152">
        <f>F391*AO391</f>
        <v>0</v>
      </c>
      <c r="I391" s="152">
        <f>F391*AP391</f>
        <v>0</v>
      </c>
      <c r="J391" s="152">
        <f>F391*G391</f>
        <v>0</v>
      </c>
      <c r="K391" s="153" t="s">
        <v>70</v>
      </c>
      <c r="Z391" s="5">
        <f>IF(AQ391="5",BJ391,0)</f>
        <v>0</v>
      </c>
      <c r="AB391" s="5">
        <f>IF(AQ391="1",BH391,0)</f>
        <v>0</v>
      </c>
      <c r="AC391" s="5">
        <f>IF(AQ391="1",BI391,0)</f>
        <v>0</v>
      </c>
      <c r="AD391" s="5">
        <f>IF(AQ391="7",BH391,0)</f>
        <v>0</v>
      </c>
      <c r="AE391" s="5">
        <f>IF(AQ391="7",BI391,0)</f>
        <v>0</v>
      </c>
      <c r="AF391" s="5">
        <f>IF(AQ391="2",BH391,0)</f>
        <v>0</v>
      </c>
      <c r="AG391" s="5">
        <f>IF(AQ391="2",BI391,0)</f>
        <v>0</v>
      </c>
      <c r="AH391" s="5">
        <f>IF(AQ391="0",BJ391,0)</f>
        <v>0</v>
      </c>
      <c r="AI391" s="3" t="s">
        <v>401</v>
      </c>
      <c r="AJ391" s="5">
        <f>IF(AN391=0,J391,0)</f>
        <v>0</v>
      </c>
      <c r="AK391" s="5">
        <f>IF(AN391=12,J391,0)</f>
        <v>0</v>
      </c>
      <c r="AL391" s="5">
        <f>IF(AN391=21,J391,0)</f>
        <v>0</v>
      </c>
      <c r="AN391" s="5">
        <v>21</v>
      </c>
      <c r="AO391" s="5">
        <f>G391*0</f>
        <v>0</v>
      </c>
      <c r="AP391" s="5">
        <f>G391*(1-0)</f>
        <v>0</v>
      </c>
      <c r="AQ391" s="6" t="s">
        <v>105</v>
      </c>
      <c r="AV391" s="5">
        <f>AW391+AX391</f>
        <v>0</v>
      </c>
      <c r="AW391" s="5">
        <f>F391*AO391</f>
        <v>0</v>
      </c>
      <c r="AX391" s="5">
        <f>F391*AP391</f>
        <v>0</v>
      </c>
      <c r="AY391" s="6" t="s">
        <v>379</v>
      </c>
      <c r="AZ391" s="6" t="s">
        <v>443</v>
      </c>
      <c r="BA391" s="3" t="s">
        <v>407</v>
      </c>
      <c r="BC391" s="5">
        <f>AW391+AX391</f>
        <v>0</v>
      </c>
      <c r="BD391" s="5">
        <f>G391/(100-BE391)*100</f>
        <v>0</v>
      </c>
      <c r="BE391" s="5">
        <v>0</v>
      </c>
      <c r="BF391" s="5">
        <f>391</f>
        <v>391</v>
      </c>
      <c r="BH391" s="5">
        <f>F391*AO391</f>
        <v>0</v>
      </c>
      <c r="BI391" s="5">
        <f>F391*AP391</f>
        <v>0</v>
      </c>
      <c r="BJ391" s="5">
        <f>F391*G391</f>
        <v>0</v>
      </c>
      <c r="BK391" s="5"/>
      <c r="BL391" s="5">
        <v>765</v>
      </c>
      <c r="BW391" s="5">
        <v>21</v>
      </c>
      <c r="BX391" s="2" t="s">
        <v>378</v>
      </c>
    </row>
    <row r="392" spans="1:76" ht="13.5" customHeight="1" x14ac:dyDescent="0.25">
      <c r="A392" s="154"/>
      <c r="B392" s="155"/>
      <c r="C392" s="156" t="s">
        <v>380</v>
      </c>
      <c r="D392" s="157"/>
      <c r="E392" s="157"/>
      <c r="F392" s="157"/>
      <c r="G392" s="157"/>
      <c r="H392" s="157"/>
      <c r="I392" s="157"/>
      <c r="J392" s="157"/>
      <c r="K392" s="158"/>
    </row>
    <row r="393" spans="1:76" x14ac:dyDescent="0.25">
      <c r="A393" s="170"/>
      <c r="B393" s="155"/>
      <c r="C393" s="171" t="s">
        <v>425</v>
      </c>
      <c r="D393" s="172" t="s">
        <v>409</v>
      </c>
      <c r="E393" s="155"/>
      <c r="F393" s="173">
        <v>1423.54</v>
      </c>
      <c r="G393" s="155"/>
      <c r="H393" s="155"/>
      <c r="I393" s="155"/>
      <c r="J393" s="155"/>
      <c r="K393" s="174"/>
    </row>
    <row r="394" spans="1:76" x14ac:dyDescent="0.25">
      <c r="A394" s="175" t="s">
        <v>636</v>
      </c>
      <c r="B394" s="176" t="s">
        <v>383</v>
      </c>
      <c r="C394" s="177" t="s">
        <v>384</v>
      </c>
      <c r="D394" s="178"/>
      <c r="E394" s="176" t="s">
        <v>197</v>
      </c>
      <c r="F394" s="179">
        <v>331.03</v>
      </c>
      <c r="G394" s="179">
        <v>0</v>
      </c>
      <c r="H394" s="179">
        <f>F394*AO394</f>
        <v>0</v>
      </c>
      <c r="I394" s="179">
        <f>F394*AP394</f>
        <v>0</v>
      </c>
      <c r="J394" s="179">
        <f>F394*G394</f>
        <v>0</v>
      </c>
      <c r="K394" s="180" t="s">
        <v>70</v>
      </c>
      <c r="Z394" s="5">
        <f>IF(AQ394="5",BJ394,0)</f>
        <v>0</v>
      </c>
      <c r="AB394" s="5">
        <f>IF(AQ394="1",BH394,0)</f>
        <v>0</v>
      </c>
      <c r="AC394" s="5">
        <f>IF(AQ394="1",BI394,0)</f>
        <v>0</v>
      </c>
      <c r="AD394" s="5">
        <f>IF(AQ394="7",BH394,0)</f>
        <v>0</v>
      </c>
      <c r="AE394" s="5">
        <f>IF(AQ394="7",BI394,0)</f>
        <v>0</v>
      </c>
      <c r="AF394" s="5">
        <f>IF(AQ394="2",BH394,0)</f>
        <v>0</v>
      </c>
      <c r="AG394" s="5">
        <f>IF(AQ394="2",BI394,0)</f>
        <v>0</v>
      </c>
      <c r="AH394" s="5">
        <f>IF(AQ394="0",BJ394,0)</f>
        <v>0</v>
      </c>
      <c r="AI394" s="3" t="s">
        <v>401</v>
      </c>
      <c r="AJ394" s="5">
        <f>IF(AN394=0,J394,0)</f>
        <v>0</v>
      </c>
      <c r="AK394" s="5">
        <f>IF(AN394=12,J394,0)</f>
        <v>0</v>
      </c>
      <c r="AL394" s="5">
        <f>IF(AN394=21,J394,0)</f>
        <v>0</v>
      </c>
      <c r="AN394" s="5">
        <v>21</v>
      </c>
      <c r="AO394" s="5">
        <f>G394*0.306990291</f>
        <v>0</v>
      </c>
      <c r="AP394" s="5">
        <f>G394*(1-0.306990291)</f>
        <v>0</v>
      </c>
      <c r="AQ394" s="6" t="s">
        <v>105</v>
      </c>
      <c r="AV394" s="5">
        <f>AW394+AX394</f>
        <v>0</v>
      </c>
      <c r="AW394" s="5">
        <f>F394*AO394</f>
        <v>0</v>
      </c>
      <c r="AX394" s="5">
        <f>F394*AP394</f>
        <v>0</v>
      </c>
      <c r="AY394" s="6" t="s">
        <v>379</v>
      </c>
      <c r="AZ394" s="6" t="s">
        <v>443</v>
      </c>
      <c r="BA394" s="3" t="s">
        <v>407</v>
      </c>
      <c r="BC394" s="5">
        <f>AW394+AX394</f>
        <v>0</v>
      </c>
      <c r="BD394" s="5">
        <f>G394/(100-BE394)*100</f>
        <v>0</v>
      </c>
      <c r="BE394" s="5">
        <v>0</v>
      </c>
      <c r="BF394" s="5">
        <f>394</f>
        <v>394</v>
      </c>
      <c r="BH394" s="5">
        <f>F394*AO394</f>
        <v>0</v>
      </c>
      <c r="BI394" s="5">
        <f>F394*AP394</f>
        <v>0</v>
      </c>
      <c r="BJ394" s="5">
        <f>F394*G394</f>
        <v>0</v>
      </c>
      <c r="BK394" s="5"/>
      <c r="BL394" s="5">
        <v>765</v>
      </c>
      <c r="BW394" s="5">
        <v>21</v>
      </c>
      <c r="BX394" s="2" t="s">
        <v>384</v>
      </c>
    </row>
    <row r="395" spans="1:76" x14ac:dyDescent="0.25">
      <c r="A395" s="181"/>
      <c r="B395" s="182"/>
      <c r="C395" s="183" t="s">
        <v>637</v>
      </c>
      <c r="D395" s="184" t="s">
        <v>638</v>
      </c>
      <c r="E395" s="182"/>
      <c r="F395" s="185">
        <v>164.77</v>
      </c>
      <c r="G395" s="182"/>
      <c r="H395" s="182"/>
      <c r="I395" s="182"/>
      <c r="J395" s="182"/>
      <c r="K395" s="186"/>
    </row>
    <row r="396" spans="1:76" x14ac:dyDescent="0.25">
      <c r="A396" s="181"/>
      <c r="B396" s="182"/>
      <c r="C396" s="183" t="s">
        <v>639</v>
      </c>
      <c r="D396" s="184" t="s">
        <v>640</v>
      </c>
      <c r="E396" s="182"/>
      <c r="F396" s="185">
        <v>166.26</v>
      </c>
      <c r="G396" s="182"/>
      <c r="H396" s="182"/>
      <c r="I396" s="182"/>
      <c r="J396" s="182"/>
      <c r="K396" s="186"/>
    </row>
    <row r="397" spans="1:76" x14ac:dyDescent="0.25">
      <c r="A397" s="207" t="s">
        <v>641</v>
      </c>
      <c r="B397" s="208" t="s">
        <v>391</v>
      </c>
      <c r="C397" s="209" t="s">
        <v>392</v>
      </c>
      <c r="D397" s="210"/>
      <c r="E397" s="208" t="s">
        <v>197</v>
      </c>
      <c r="F397" s="211">
        <v>364.13299999999998</v>
      </c>
      <c r="G397" s="211">
        <v>0</v>
      </c>
      <c r="H397" s="211">
        <f>F397*AO397</f>
        <v>0</v>
      </c>
      <c r="I397" s="211">
        <f>F397*AP397</f>
        <v>0</v>
      </c>
      <c r="J397" s="211">
        <f>F397*G397</f>
        <v>0</v>
      </c>
      <c r="K397" s="212" t="s">
        <v>215</v>
      </c>
      <c r="Z397" s="5">
        <f>IF(AQ397="5",BJ397,0)</f>
        <v>0</v>
      </c>
      <c r="AB397" s="5">
        <f>IF(AQ397="1",BH397,0)</f>
        <v>0</v>
      </c>
      <c r="AC397" s="5">
        <f>IF(AQ397="1",BI397,0)</f>
        <v>0</v>
      </c>
      <c r="AD397" s="5">
        <f>IF(AQ397="7",BH397,0)</f>
        <v>0</v>
      </c>
      <c r="AE397" s="5">
        <f>IF(AQ397="7",BI397,0)</f>
        <v>0</v>
      </c>
      <c r="AF397" s="5">
        <f>IF(AQ397="2",BH397,0)</f>
        <v>0</v>
      </c>
      <c r="AG397" s="5">
        <f>IF(AQ397="2",BI397,0)</f>
        <v>0</v>
      </c>
      <c r="AH397" s="5">
        <f>IF(AQ397="0",BJ397,0)</f>
        <v>0</v>
      </c>
      <c r="AI397" s="3" t="s">
        <v>401</v>
      </c>
      <c r="AJ397" s="9">
        <f>IF(AN397=0,J397,0)</f>
        <v>0</v>
      </c>
      <c r="AK397" s="9">
        <f>IF(AN397=12,J397,0)</f>
        <v>0</v>
      </c>
      <c r="AL397" s="9">
        <f>IF(AN397=21,J397,0)</f>
        <v>0</v>
      </c>
      <c r="AN397" s="5">
        <v>21</v>
      </c>
      <c r="AO397" s="5">
        <f>G397*1</f>
        <v>0</v>
      </c>
      <c r="AP397" s="5">
        <f>G397*(1-1)</f>
        <v>0</v>
      </c>
      <c r="AQ397" s="10" t="s">
        <v>105</v>
      </c>
      <c r="AV397" s="5">
        <f>AW397+AX397</f>
        <v>0</v>
      </c>
      <c r="AW397" s="5">
        <f>F397*AO397</f>
        <v>0</v>
      </c>
      <c r="AX397" s="5">
        <f>F397*AP397</f>
        <v>0</v>
      </c>
      <c r="AY397" s="6" t="s">
        <v>379</v>
      </c>
      <c r="AZ397" s="6" t="s">
        <v>443</v>
      </c>
      <c r="BA397" s="3" t="s">
        <v>407</v>
      </c>
      <c r="BC397" s="5">
        <f>AW397+AX397</f>
        <v>0</v>
      </c>
      <c r="BD397" s="5">
        <f>G397/(100-BE397)*100</f>
        <v>0</v>
      </c>
      <c r="BE397" s="5">
        <v>0</v>
      </c>
      <c r="BF397" s="5">
        <f>397</f>
        <v>397</v>
      </c>
      <c r="BH397" s="9">
        <f>F397*AO397</f>
        <v>0</v>
      </c>
      <c r="BI397" s="9">
        <f>F397*AP397</f>
        <v>0</v>
      </c>
      <c r="BJ397" s="9">
        <f>F397*G397</f>
        <v>0</v>
      </c>
      <c r="BK397" s="9"/>
      <c r="BL397" s="5">
        <v>765</v>
      </c>
      <c r="BW397" s="5">
        <v>21</v>
      </c>
      <c r="BX397" s="8" t="s">
        <v>392</v>
      </c>
    </row>
    <row r="398" spans="1:76" x14ac:dyDescent="0.25">
      <c r="A398" s="181"/>
      <c r="B398" s="182"/>
      <c r="C398" s="183" t="s">
        <v>637</v>
      </c>
      <c r="D398" s="184" t="s">
        <v>638</v>
      </c>
      <c r="E398" s="182"/>
      <c r="F398" s="185">
        <v>164.77</v>
      </c>
      <c r="G398" s="182"/>
      <c r="H398" s="182"/>
      <c r="I398" s="182"/>
      <c r="J398" s="182"/>
      <c r="K398" s="186"/>
    </row>
    <row r="399" spans="1:76" x14ac:dyDescent="0.25">
      <c r="A399" s="181"/>
      <c r="B399" s="182"/>
      <c r="C399" s="183" t="s">
        <v>639</v>
      </c>
      <c r="D399" s="184" t="s">
        <v>640</v>
      </c>
      <c r="E399" s="182"/>
      <c r="F399" s="185">
        <v>166.26</v>
      </c>
      <c r="G399" s="182"/>
      <c r="H399" s="182"/>
      <c r="I399" s="182"/>
      <c r="J399" s="182"/>
      <c r="K399" s="186"/>
    </row>
    <row r="400" spans="1:76" x14ac:dyDescent="0.25">
      <c r="A400" s="181"/>
      <c r="B400" s="182"/>
      <c r="C400" s="183" t="s">
        <v>642</v>
      </c>
      <c r="D400" s="184" t="s">
        <v>52</v>
      </c>
      <c r="E400" s="182"/>
      <c r="F400" s="185">
        <v>33.103000000000002</v>
      </c>
      <c r="G400" s="182"/>
      <c r="H400" s="182"/>
      <c r="I400" s="182"/>
      <c r="J400" s="182"/>
      <c r="K400" s="186"/>
    </row>
    <row r="401" spans="1:76" x14ac:dyDescent="0.25">
      <c r="A401" s="213" t="s">
        <v>643</v>
      </c>
      <c r="B401" s="214" t="s">
        <v>644</v>
      </c>
      <c r="C401" s="215" t="s">
        <v>645</v>
      </c>
      <c r="D401" s="216"/>
      <c r="E401" s="214" t="s">
        <v>69</v>
      </c>
      <c r="F401" s="217">
        <v>1192.347</v>
      </c>
      <c r="G401" s="217">
        <v>0</v>
      </c>
      <c r="H401" s="217">
        <f>F401*AO401</f>
        <v>0</v>
      </c>
      <c r="I401" s="217">
        <f>F401*AP401</f>
        <v>0</v>
      </c>
      <c r="J401" s="217">
        <f>F401*G401</f>
        <v>0</v>
      </c>
      <c r="K401" s="218" t="s">
        <v>70</v>
      </c>
      <c r="Z401" s="5">
        <f>IF(AQ401="5",BJ401,0)</f>
        <v>0</v>
      </c>
      <c r="AB401" s="5">
        <f>IF(AQ401="1",BH401,0)</f>
        <v>0</v>
      </c>
      <c r="AC401" s="5">
        <f>IF(AQ401="1",BI401,0)</f>
        <v>0</v>
      </c>
      <c r="AD401" s="5">
        <f>IF(AQ401="7",BH401,0)</f>
        <v>0</v>
      </c>
      <c r="AE401" s="5">
        <f>IF(AQ401="7",BI401,0)</f>
        <v>0</v>
      </c>
      <c r="AF401" s="5">
        <f>IF(AQ401="2",BH401,0)</f>
        <v>0</v>
      </c>
      <c r="AG401" s="5">
        <f>IF(AQ401="2",BI401,0)</f>
        <v>0</v>
      </c>
      <c r="AH401" s="5">
        <f>IF(AQ401="0",BJ401,0)</f>
        <v>0</v>
      </c>
      <c r="AI401" s="3" t="s">
        <v>401</v>
      </c>
      <c r="AJ401" s="5">
        <f>IF(AN401=0,J401,0)</f>
        <v>0</v>
      </c>
      <c r="AK401" s="5">
        <f>IF(AN401=12,J401,0)</f>
        <v>0</v>
      </c>
      <c r="AL401" s="5">
        <f>IF(AN401=21,J401,0)</f>
        <v>0</v>
      </c>
      <c r="AN401" s="5">
        <v>21</v>
      </c>
      <c r="AO401" s="5">
        <f>G401*0.069333571</f>
        <v>0</v>
      </c>
      <c r="AP401" s="5">
        <f>G401*(1-0.069333571)</f>
        <v>0</v>
      </c>
      <c r="AQ401" s="6" t="s">
        <v>105</v>
      </c>
      <c r="AV401" s="5">
        <f>AW401+AX401</f>
        <v>0</v>
      </c>
      <c r="AW401" s="5">
        <f>F401*AO401</f>
        <v>0</v>
      </c>
      <c r="AX401" s="5">
        <f>F401*AP401</f>
        <v>0</v>
      </c>
      <c r="AY401" s="6" t="s">
        <v>379</v>
      </c>
      <c r="AZ401" s="6" t="s">
        <v>443</v>
      </c>
      <c r="BA401" s="3" t="s">
        <v>407</v>
      </c>
      <c r="BC401" s="5">
        <f>AW401+AX401</f>
        <v>0</v>
      </c>
      <c r="BD401" s="5">
        <f>G401/(100-BE401)*100</f>
        <v>0</v>
      </c>
      <c r="BE401" s="5">
        <v>0</v>
      </c>
      <c r="BF401" s="5">
        <f>401</f>
        <v>401</v>
      </c>
      <c r="BH401" s="5">
        <f>F401*AO401</f>
        <v>0</v>
      </c>
      <c r="BI401" s="5">
        <f>F401*AP401</f>
        <v>0</v>
      </c>
      <c r="BJ401" s="5">
        <f>F401*G401</f>
        <v>0</v>
      </c>
      <c r="BK401" s="5"/>
      <c r="BL401" s="5">
        <v>765</v>
      </c>
      <c r="BW401" s="5">
        <v>21</v>
      </c>
      <c r="BX401" s="2" t="s">
        <v>645</v>
      </c>
    </row>
    <row r="402" spans="1:76" ht="13.5" customHeight="1" x14ac:dyDescent="0.25">
      <c r="A402" s="187"/>
      <c r="B402" s="155"/>
      <c r="C402" s="189" t="s">
        <v>646</v>
      </c>
      <c r="D402" s="190"/>
      <c r="E402" s="190"/>
      <c r="F402" s="190"/>
      <c r="G402" s="190"/>
      <c r="H402" s="190"/>
      <c r="I402" s="190"/>
      <c r="J402" s="190"/>
      <c r="K402" s="191"/>
    </row>
    <row r="403" spans="1:76" x14ac:dyDescent="0.25">
      <c r="A403" s="201"/>
      <c r="B403" s="202"/>
      <c r="C403" s="203" t="s">
        <v>647</v>
      </c>
      <c r="D403" s="204" t="s">
        <v>415</v>
      </c>
      <c r="E403" s="202"/>
      <c r="F403" s="205">
        <v>1192.347</v>
      </c>
      <c r="G403" s="202"/>
      <c r="H403" s="202"/>
      <c r="I403" s="202"/>
      <c r="J403" s="202"/>
      <c r="K403" s="206"/>
    </row>
    <row r="404" spans="1:76" ht="38.25" x14ac:dyDescent="0.25">
      <c r="A404" s="187"/>
      <c r="B404" s="188" t="s">
        <v>85</v>
      </c>
      <c r="C404" s="189" t="s">
        <v>648</v>
      </c>
      <c r="D404" s="190"/>
      <c r="E404" s="190"/>
      <c r="F404" s="190"/>
      <c r="G404" s="190"/>
      <c r="H404" s="190"/>
      <c r="I404" s="190"/>
      <c r="J404" s="190"/>
      <c r="K404" s="191"/>
      <c r="BX404" s="7" t="s">
        <v>648</v>
      </c>
    </row>
    <row r="405" spans="1:76" x14ac:dyDescent="0.25">
      <c r="A405" s="232" t="s">
        <v>649</v>
      </c>
      <c r="B405" s="233" t="s">
        <v>650</v>
      </c>
      <c r="C405" s="234" t="s">
        <v>651</v>
      </c>
      <c r="D405" s="235"/>
      <c r="E405" s="233" t="s">
        <v>69</v>
      </c>
      <c r="F405" s="236">
        <v>1347.35211</v>
      </c>
      <c r="G405" s="236">
        <v>0</v>
      </c>
      <c r="H405" s="236">
        <f>F405*AO405</f>
        <v>0</v>
      </c>
      <c r="I405" s="236">
        <f>F405*AP405</f>
        <v>0</v>
      </c>
      <c r="J405" s="236">
        <f>F405*G405</f>
        <v>0</v>
      </c>
      <c r="K405" s="237" t="s">
        <v>70</v>
      </c>
      <c r="Z405" s="5">
        <f>IF(AQ405="5",BJ405,0)</f>
        <v>0</v>
      </c>
      <c r="AB405" s="5">
        <f>IF(AQ405="1",BH405,0)</f>
        <v>0</v>
      </c>
      <c r="AC405" s="5">
        <f>IF(AQ405="1",BI405,0)</f>
        <v>0</v>
      </c>
      <c r="AD405" s="5">
        <f>IF(AQ405="7",BH405,0)</f>
        <v>0</v>
      </c>
      <c r="AE405" s="5">
        <f>IF(AQ405="7",BI405,0)</f>
        <v>0</v>
      </c>
      <c r="AF405" s="5">
        <f>IF(AQ405="2",BH405,0)</f>
        <v>0</v>
      </c>
      <c r="AG405" s="5">
        <f>IF(AQ405="2",BI405,0)</f>
        <v>0</v>
      </c>
      <c r="AH405" s="5">
        <f>IF(AQ405="0",BJ405,0)</f>
        <v>0</v>
      </c>
      <c r="AI405" s="3" t="s">
        <v>401</v>
      </c>
      <c r="AJ405" s="9">
        <f>IF(AN405=0,J405,0)</f>
        <v>0</v>
      </c>
      <c r="AK405" s="9">
        <f>IF(AN405=12,J405,0)</f>
        <v>0</v>
      </c>
      <c r="AL405" s="9">
        <f>IF(AN405=21,J405,0)</f>
        <v>0</v>
      </c>
      <c r="AN405" s="5">
        <v>21</v>
      </c>
      <c r="AO405" s="5">
        <f>G405*1</f>
        <v>0</v>
      </c>
      <c r="AP405" s="5">
        <f>G405*(1-1)</f>
        <v>0</v>
      </c>
      <c r="AQ405" s="10" t="s">
        <v>105</v>
      </c>
      <c r="AV405" s="5">
        <f>AW405+AX405</f>
        <v>0</v>
      </c>
      <c r="AW405" s="5">
        <f>F405*AO405</f>
        <v>0</v>
      </c>
      <c r="AX405" s="5">
        <f>F405*AP405</f>
        <v>0</v>
      </c>
      <c r="AY405" s="6" t="s">
        <v>379</v>
      </c>
      <c r="AZ405" s="6" t="s">
        <v>443</v>
      </c>
      <c r="BA405" s="3" t="s">
        <v>407</v>
      </c>
      <c r="BC405" s="5">
        <f>AW405+AX405</f>
        <v>0</v>
      </c>
      <c r="BD405" s="5">
        <f>G405/(100-BE405)*100</f>
        <v>0</v>
      </c>
      <c r="BE405" s="5">
        <v>0</v>
      </c>
      <c r="BF405" s="5">
        <f>405</f>
        <v>405</v>
      </c>
      <c r="BH405" s="9">
        <f>F405*AO405</f>
        <v>0</v>
      </c>
      <c r="BI405" s="9">
        <f>F405*AP405</f>
        <v>0</v>
      </c>
      <c r="BJ405" s="9">
        <f>F405*G405</f>
        <v>0</v>
      </c>
      <c r="BK405" s="9"/>
      <c r="BL405" s="5">
        <v>765</v>
      </c>
      <c r="BW405" s="5">
        <v>21</v>
      </c>
      <c r="BX405" s="8" t="s">
        <v>651</v>
      </c>
    </row>
    <row r="406" spans="1:76" x14ac:dyDescent="0.25">
      <c r="A406" s="181"/>
      <c r="B406" s="182"/>
      <c r="C406" s="183" t="s">
        <v>647</v>
      </c>
      <c r="D406" s="184" t="s">
        <v>415</v>
      </c>
      <c r="E406" s="182"/>
      <c r="F406" s="185">
        <v>1192.347</v>
      </c>
      <c r="G406" s="182"/>
      <c r="H406" s="182"/>
      <c r="I406" s="182"/>
      <c r="J406" s="182"/>
      <c r="K406" s="186"/>
    </row>
    <row r="407" spans="1:76" x14ac:dyDescent="0.25">
      <c r="A407" s="181"/>
      <c r="B407" s="182"/>
      <c r="C407" s="183" t="s">
        <v>652</v>
      </c>
      <c r="D407" s="184" t="s">
        <v>52</v>
      </c>
      <c r="E407" s="182"/>
      <c r="F407" s="185">
        <v>155.00511</v>
      </c>
      <c r="G407" s="182"/>
      <c r="H407" s="182"/>
      <c r="I407" s="182"/>
      <c r="J407" s="182"/>
      <c r="K407" s="186"/>
    </row>
    <row r="408" spans="1:76" ht="25.5" x14ac:dyDescent="0.25">
      <c r="A408" s="187"/>
      <c r="B408" s="188" t="s">
        <v>85</v>
      </c>
      <c r="C408" s="189" t="s">
        <v>653</v>
      </c>
      <c r="D408" s="190"/>
      <c r="E408" s="190"/>
      <c r="F408" s="190"/>
      <c r="G408" s="190"/>
      <c r="H408" s="190"/>
      <c r="I408" s="190"/>
      <c r="J408" s="190"/>
      <c r="K408" s="191"/>
      <c r="BX408" s="11" t="s">
        <v>653</v>
      </c>
    </row>
    <row r="409" spans="1:76" x14ac:dyDescent="0.25">
      <c r="A409" s="232" t="s">
        <v>654</v>
      </c>
      <c r="B409" s="233" t="s">
        <v>655</v>
      </c>
      <c r="C409" s="234" t="s">
        <v>656</v>
      </c>
      <c r="D409" s="235"/>
      <c r="E409" s="233" t="s">
        <v>197</v>
      </c>
      <c r="F409" s="236">
        <v>874.38779999999997</v>
      </c>
      <c r="G409" s="236">
        <v>0</v>
      </c>
      <c r="H409" s="236">
        <f>F409*AO409</f>
        <v>0</v>
      </c>
      <c r="I409" s="236">
        <f>F409*AP409</f>
        <v>0</v>
      </c>
      <c r="J409" s="236">
        <f>F409*G409</f>
        <v>0</v>
      </c>
      <c r="K409" s="237" t="s">
        <v>70</v>
      </c>
      <c r="Z409" s="5">
        <f>IF(AQ409="5",BJ409,0)</f>
        <v>0</v>
      </c>
      <c r="AB409" s="5">
        <f>IF(AQ409="1",BH409,0)</f>
        <v>0</v>
      </c>
      <c r="AC409" s="5">
        <f>IF(AQ409="1",BI409,0)</f>
        <v>0</v>
      </c>
      <c r="AD409" s="5">
        <f>IF(AQ409="7",BH409,0)</f>
        <v>0</v>
      </c>
      <c r="AE409" s="5">
        <f>IF(AQ409="7",BI409,0)</f>
        <v>0</v>
      </c>
      <c r="AF409" s="5">
        <f>IF(AQ409="2",BH409,0)</f>
        <v>0</v>
      </c>
      <c r="AG409" s="5">
        <f>IF(AQ409="2",BI409,0)</f>
        <v>0</v>
      </c>
      <c r="AH409" s="5">
        <f>IF(AQ409="0",BJ409,0)</f>
        <v>0</v>
      </c>
      <c r="AI409" s="3" t="s">
        <v>401</v>
      </c>
      <c r="AJ409" s="9">
        <f>IF(AN409=0,J409,0)</f>
        <v>0</v>
      </c>
      <c r="AK409" s="9">
        <f>IF(AN409=12,J409,0)</f>
        <v>0</v>
      </c>
      <c r="AL409" s="9">
        <f>IF(AN409=21,J409,0)</f>
        <v>0</v>
      </c>
      <c r="AN409" s="5">
        <v>21</v>
      </c>
      <c r="AO409" s="5">
        <f>G409*1</f>
        <v>0</v>
      </c>
      <c r="AP409" s="5">
        <f>G409*(1-1)</f>
        <v>0</v>
      </c>
      <c r="AQ409" s="10" t="s">
        <v>105</v>
      </c>
      <c r="AV409" s="5">
        <f>AW409+AX409</f>
        <v>0</v>
      </c>
      <c r="AW409" s="5">
        <f>F409*AO409</f>
        <v>0</v>
      </c>
      <c r="AX409" s="5">
        <f>F409*AP409</f>
        <v>0</v>
      </c>
      <c r="AY409" s="6" t="s">
        <v>379</v>
      </c>
      <c r="AZ409" s="6" t="s">
        <v>443</v>
      </c>
      <c r="BA409" s="3" t="s">
        <v>407</v>
      </c>
      <c r="BC409" s="5">
        <f>AW409+AX409</f>
        <v>0</v>
      </c>
      <c r="BD409" s="5">
        <f>G409/(100-BE409)*100</f>
        <v>0</v>
      </c>
      <c r="BE409" s="5">
        <v>0</v>
      </c>
      <c r="BF409" s="5">
        <f>409</f>
        <v>409</v>
      </c>
      <c r="BH409" s="9">
        <f>F409*AO409</f>
        <v>0</v>
      </c>
      <c r="BI409" s="9">
        <f>F409*AP409</f>
        <v>0</v>
      </c>
      <c r="BJ409" s="9">
        <f>F409*G409</f>
        <v>0</v>
      </c>
      <c r="BK409" s="9"/>
      <c r="BL409" s="5">
        <v>765</v>
      </c>
      <c r="BW409" s="5">
        <v>21</v>
      </c>
      <c r="BX409" s="8" t="s">
        <v>656</v>
      </c>
    </row>
    <row r="410" spans="1:76" x14ac:dyDescent="0.25">
      <c r="A410" s="181"/>
      <c r="B410" s="182"/>
      <c r="C410" s="183" t="s">
        <v>657</v>
      </c>
      <c r="D410" s="184" t="s">
        <v>415</v>
      </c>
      <c r="E410" s="182"/>
      <c r="F410" s="185">
        <v>794.89800000000002</v>
      </c>
      <c r="G410" s="182"/>
      <c r="H410" s="182"/>
      <c r="I410" s="182"/>
      <c r="J410" s="182"/>
      <c r="K410" s="186"/>
    </row>
    <row r="411" spans="1:76" x14ac:dyDescent="0.25">
      <c r="A411" s="181"/>
      <c r="B411" s="182"/>
      <c r="C411" s="183" t="s">
        <v>658</v>
      </c>
      <c r="D411" s="184" t="s">
        <v>52</v>
      </c>
      <c r="E411" s="182"/>
      <c r="F411" s="185">
        <v>79.489800000000002</v>
      </c>
      <c r="G411" s="182"/>
      <c r="H411" s="182"/>
      <c r="I411" s="182"/>
      <c r="J411" s="182"/>
      <c r="K411" s="186"/>
    </row>
    <row r="412" spans="1:76" ht="25.5" x14ac:dyDescent="0.25">
      <c r="A412" s="187"/>
      <c r="B412" s="188" t="s">
        <v>85</v>
      </c>
      <c r="C412" s="189" t="s">
        <v>659</v>
      </c>
      <c r="D412" s="190"/>
      <c r="E412" s="190"/>
      <c r="F412" s="190"/>
      <c r="G412" s="190"/>
      <c r="H412" s="190"/>
      <c r="I412" s="190"/>
      <c r="J412" s="190"/>
      <c r="K412" s="191"/>
      <c r="BX412" s="11" t="s">
        <v>659</v>
      </c>
    </row>
    <row r="413" spans="1:76" x14ac:dyDescent="0.25">
      <c r="A413" s="175" t="s">
        <v>660</v>
      </c>
      <c r="B413" s="176" t="s">
        <v>661</v>
      </c>
      <c r="C413" s="177" t="s">
        <v>662</v>
      </c>
      <c r="D413" s="178"/>
      <c r="E413" s="176" t="s">
        <v>69</v>
      </c>
      <c r="F413" s="179">
        <v>1192.347</v>
      </c>
      <c r="G413" s="179">
        <v>0</v>
      </c>
      <c r="H413" s="179">
        <f>F413*AO413</f>
        <v>0</v>
      </c>
      <c r="I413" s="179">
        <f>F413*AP413</f>
        <v>0</v>
      </c>
      <c r="J413" s="179">
        <f>F413*G413</f>
        <v>0</v>
      </c>
      <c r="K413" s="180" t="s">
        <v>70</v>
      </c>
      <c r="Z413" s="5">
        <f>IF(AQ413="5",BJ413,0)</f>
        <v>0</v>
      </c>
      <c r="AB413" s="5">
        <f>IF(AQ413="1",BH413,0)</f>
        <v>0</v>
      </c>
      <c r="AC413" s="5">
        <f>IF(AQ413="1",BI413,0)</f>
        <v>0</v>
      </c>
      <c r="AD413" s="5">
        <f>IF(AQ413="7",BH413,0)</f>
        <v>0</v>
      </c>
      <c r="AE413" s="5">
        <f>IF(AQ413="7",BI413,0)</f>
        <v>0</v>
      </c>
      <c r="AF413" s="5">
        <f>IF(AQ413="2",BH413,0)</f>
        <v>0</v>
      </c>
      <c r="AG413" s="5">
        <f>IF(AQ413="2",BI413,0)</f>
        <v>0</v>
      </c>
      <c r="AH413" s="5">
        <f>IF(AQ413="0",BJ413,0)</f>
        <v>0</v>
      </c>
      <c r="AI413" s="3" t="s">
        <v>401</v>
      </c>
      <c r="AJ413" s="5">
        <f>IF(AN413=0,J413,0)</f>
        <v>0</v>
      </c>
      <c r="AK413" s="5">
        <f>IF(AN413=12,J413,0)</f>
        <v>0</v>
      </c>
      <c r="AL413" s="5">
        <f>IF(AN413=21,J413,0)</f>
        <v>0</v>
      </c>
      <c r="AN413" s="5">
        <v>21</v>
      </c>
      <c r="AO413" s="5">
        <f>G413*0</f>
        <v>0</v>
      </c>
      <c r="AP413" s="5">
        <f>G413*(1-0)</f>
        <v>0</v>
      </c>
      <c r="AQ413" s="6" t="s">
        <v>105</v>
      </c>
      <c r="AV413" s="5">
        <f>AW413+AX413</f>
        <v>0</v>
      </c>
      <c r="AW413" s="5">
        <f>F413*AO413</f>
        <v>0</v>
      </c>
      <c r="AX413" s="5">
        <f>F413*AP413</f>
        <v>0</v>
      </c>
      <c r="AY413" s="6" t="s">
        <v>379</v>
      </c>
      <c r="AZ413" s="6" t="s">
        <v>443</v>
      </c>
      <c r="BA413" s="3" t="s">
        <v>407</v>
      </c>
      <c r="BC413" s="5">
        <f>AW413+AX413</f>
        <v>0</v>
      </c>
      <c r="BD413" s="5">
        <f>G413/(100-BE413)*100</f>
        <v>0</v>
      </c>
      <c r="BE413" s="5">
        <v>0</v>
      </c>
      <c r="BF413" s="5">
        <f>413</f>
        <v>413</v>
      </c>
      <c r="BH413" s="5">
        <f>F413*AO413</f>
        <v>0</v>
      </c>
      <c r="BI413" s="5">
        <f>F413*AP413</f>
        <v>0</v>
      </c>
      <c r="BJ413" s="5">
        <f>F413*G413</f>
        <v>0</v>
      </c>
      <c r="BK413" s="5"/>
      <c r="BL413" s="5">
        <v>765</v>
      </c>
      <c r="BW413" s="5">
        <v>21</v>
      </c>
      <c r="BX413" s="2" t="s">
        <v>662</v>
      </c>
    </row>
    <row r="414" spans="1:76" x14ac:dyDescent="0.25">
      <c r="A414" s="181"/>
      <c r="B414" s="182"/>
      <c r="C414" s="183" t="s">
        <v>647</v>
      </c>
      <c r="D414" s="184" t="s">
        <v>415</v>
      </c>
      <c r="E414" s="182"/>
      <c r="F414" s="185">
        <v>1192.347</v>
      </c>
      <c r="G414" s="182"/>
      <c r="H414" s="182"/>
      <c r="I414" s="182"/>
      <c r="J414" s="182"/>
      <c r="K414" s="186"/>
    </row>
    <row r="415" spans="1:76" x14ac:dyDescent="0.25">
      <c r="A415" s="192"/>
      <c r="B415" s="193" t="s">
        <v>85</v>
      </c>
      <c r="C415" s="194" t="s">
        <v>663</v>
      </c>
      <c r="D415" s="195"/>
      <c r="E415" s="195"/>
      <c r="F415" s="195"/>
      <c r="G415" s="195"/>
      <c r="H415" s="195"/>
      <c r="I415" s="195"/>
      <c r="J415" s="195"/>
      <c r="K415" s="196"/>
      <c r="BX415" s="7" t="s">
        <v>663</v>
      </c>
    </row>
    <row r="416" spans="1:76" x14ac:dyDescent="0.25">
      <c r="A416" s="146" t="s">
        <v>664</v>
      </c>
      <c r="B416" s="149" t="s">
        <v>665</v>
      </c>
      <c r="C416" s="116" t="s">
        <v>666</v>
      </c>
      <c r="D416" s="112"/>
      <c r="E416" s="149" t="s">
        <v>372</v>
      </c>
      <c r="F416" s="152">
        <v>8250</v>
      </c>
      <c r="G416" s="152">
        <v>0</v>
      </c>
      <c r="H416" s="152">
        <f>F416*AO416</f>
        <v>0</v>
      </c>
      <c r="I416" s="152">
        <f>F416*AP416</f>
        <v>0</v>
      </c>
      <c r="J416" s="152">
        <f>F416*G416</f>
        <v>0</v>
      </c>
      <c r="K416" s="153" t="s">
        <v>70</v>
      </c>
      <c r="Z416" s="5">
        <f>IF(AQ416="5",BJ416,0)</f>
        <v>0</v>
      </c>
      <c r="AB416" s="5">
        <f>IF(AQ416="1",BH416,0)</f>
        <v>0</v>
      </c>
      <c r="AC416" s="5">
        <f>IF(AQ416="1",BI416,0)</f>
        <v>0</v>
      </c>
      <c r="AD416" s="5">
        <f>IF(AQ416="7",BH416,0)</f>
        <v>0</v>
      </c>
      <c r="AE416" s="5">
        <f>IF(AQ416="7",BI416,0)</f>
        <v>0</v>
      </c>
      <c r="AF416" s="5">
        <f>IF(AQ416="2",BH416,0)</f>
        <v>0</v>
      </c>
      <c r="AG416" s="5">
        <f>IF(AQ416="2",BI416,0)</f>
        <v>0</v>
      </c>
      <c r="AH416" s="5">
        <f>IF(AQ416="0",BJ416,0)</f>
        <v>0</v>
      </c>
      <c r="AI416" s="3" t="s">
        <v>401</v>
      </c>
      <c r="AJ416" s="5">
        <f>IF(AN416=0,J416,0)</f>
        <v>0</v>
      </c>
      <c r="AK416" s="5">
        <f>IF(AN416=12,J416,0)</f>
        <v>0</v>
      </c>
      <c r="AL416" s="5">
        <f>IF(AN416=21,J416,0)</f>
        <v>0</v>
      </c>
      <c r="AN416" s="5">
        <v>21</v>
      </c>
      <c r="AO416" s="5">
        <f>G416*0</f>
        <v>0</v>
      </c>
      <c r="AP416" s="5">
        <f>G416*(1-0)</f>
        <v>0</v>
      </c>
      <c r="AQ416" s="6" t="s">
        <v>96</v>
      </c>
      <c r="AV416" s="5">
        <f>AW416+AX416</f>
        <v>0</v>
      </c>
      <c r="AW416" s="5">
        <f>F416*AO416</f>
        <v>0</v>
      </c>
      <c r="AX416" s="5">
        <f>F416*AP416</f>
        <v>0</v>
      </c>
      <c r="AY416" s="6" t="s">
        <v>379</v>
      </c>
      <c r="AZ416" s="6" t="s">
        <v>443</v>
      </c>
      <c r="BA416" s="3" t="s">
        <v>407</v>
      </c>
      <c r="BC416" s="5">
        <f>AW416+AX416</f>
        <v>0</v>
      </c>
      <c r="BD416" s="5">
        <f>G416/(100-BE416)*100</f>
        <v>0</v>
      </c>
      <c r="BE416" s="5">
        <v>0</v>
      </c>
      <c r="BF416" s="5">
        <f>416</f>
        <v>416</v>
      </c>
      <c r="BH416" s="5">
        <f>F416*AO416</f>
        <v>0</v>
      </c>
      <c r="BI416" s="5">
        <f>F416*AP416</f>
        <v>0</v>
      </c>
      <c r="BJ416" s="5">
        <f>F416*G416</f>
        <v>0</v>
      </c>
      <c r="BK416" s="5"/>
      <c r="BL416" s="5">
        <v>765</v>
      </c>
      <c r="BW416" s="5">
        <v>21</v>
      </c>
      <c r="BX416" s="2" t="s">
        <v>666</v>
      </c>
    </row>
    <row r="417" spans="1:76" x14ac:dyDescent="0.25">
      <c r="A417" s="154"/>
      <c r="B417" s="155"/>
      <c r="C417" s="159" t="s">
        <v>667</v>
      </c>
      <c r="D417" s="160" t="s">
        <v>52</v>
      </c>
      <c r="E417" s="155"/>
      <c r="F417" s="161">
        <v>8250</v>
      </c>
      <c r="G417" s="155"/>
      <c r="H417" s="155"/>
      <c r="I417" s="155"/>
      <c r="J417" s="155"/>
      <c r="K417" s="162"/>
    </row>
    <row r="418" spans="1:76" x14ac:dyDescent="0.25">
      <c r="A418" s="225" t="s">
        <v>52</v>
      </c>
      <c r="B418" s="226" t="s">
        <v>668</v>
      </c>
      <c r="C418" s="227" t="s">
        <v>669</v>
      </c>
      <c r="D418" s="228"/>
      <c r="E418" s="229" t="s">
        <v>33</v>
      </c>
      <c r="F418" s="229" t="s">
        <v>33</v>
      </c>
      <c r="G418" s="229" t="s">
        <v>33</v>
      </c>
      <c r="H418" s="230">
        <f>SUM(H419:H419)</f>
        <v>0</v>
      </c>
      <c r="I418" s="230">
        <f>SUM(I419:I419)</f>
        <v>0</v>
      </c>
      <c r="J418" s="230">
        <f>SUM(J419:J419)</f>
        <v>0</v>
      </c>
      <c r="K418" s="231" t="s">
        <v>52</v>
      </c>
      <c r="AI418" s="3" t="s">
        <v>401</v>
      </c>
      <c r="AS418" s="1">
        <f>SUM(AJ419:AJ419)</f>
        <v>0</v>
      </c>
      <c r="AT418" s="1">
        <f>SUM(AK419:AK419)</f>
        <v>0</v>
      </c>
      <c r="AU418" s="1">
        <f>SUM(AL419:AL419)</f>
        <v>0</v>
      </c>
    </row>
    <row r="419" spans="1:76" x14ac:dyDescent="0.25">
      <c r="A419" s="175" t="s">
        <v>670</v>
      </c>
      <c r="B419" s="176" t="s">
        <v>671</v>
      </c>
      <c r="C419" s="177" t="s">
        <v>672</v>
      </c>
      <c r="D419" s="178"/>
      <c r="E419" s="176" t="s">
        <v>300</v>
      </c>
      <c r="F419" s="179">
        <v>131</v>
      </c>
      <c r="G419" s="179">
        <v>0</v>
      </c>
      <c r="H419" s="179">
        <f>F419*AO419</f>
        <v>0</v>
      </c>
      <c r="I419" s="179">
        <f>F419*AP419</f>
        <v>0</v>
      </c>
      <c r="J419" s="179">
        <f>F419*G419</f>
        <v>0</v>
      </c>
      <c r="K419" s="180" t="s">
        <v>70</v>
      </c>
      <c r="Z419" s="5">
        <f>IF(AQ419="5",BJ419,0)</f>
        <v>0</v>
      </c>
      <c r="AB419" s="5">
        <f>IF(AQ419="1",BH419,0)</f>
        <v>0</v>
      </c>
      <c r="AC419" s="5">
        <f>IF(AQ419="1",BI419,0)</f>
        <v>0</v>
      </c>
      <c r="AD419" s="5">
        <f>IF(AQ419="7",BH419,0)</f>
        <v>0</v>
      </c>
      <c r="AE419" s="5">
        <f>IF(AQ419="7",BI419,0)</f>
        <v>0</v>
      </c>
      <c r="AF419" s="5">
        <f>IF(AQ419="2",BH419,0)</f>
        <v>0</v>
      </c>
      <c r="AG419" s="5">
        <f>IF(AQ419="2",BI419,0)</f>
        <v>0</v>
      </c>
      <c r="AH419" s="5">
        <f>IF(AQ419="0",BJ419,0)</f>
        <v>0</v>
      </c>
      <c r="AI419" s="3" t="s">
        <v>401</v>
      </c>
      <c r="AJ419" s="5">
        <f>IF(AN419=0,J419,0)</f>
        <v>0</v>
      </c>
      <c r="AK419" s="5">
        <f>IF(AN419=12,J419,0)</f>
        <v>0</v>
      </c>
      <c r="AL419" s="5">
        <f>IF(AN419=21,J419,0)</f>
        <v>0</v>
      </c>
      <c r="AN419" s="5">
        <v>21</v>
      </c>
      <c r="AO419" s="5">
        <f>G419*0</f>
        <v>0</v>
      </c>
      <c r="AP419" s="5">
        <f>G419*(1-0)</f>
        <v>0</v>
      </c>
      <c r="AQ419" s="6" t="s">
        <v>105</v>
      </c>
      <c r="AV419" s="5">
        <f>AW419+AX419</f>
        <v>0</v>
      </c>
      <c r="AW419" s="5">
        <f>F419*AO419</f>
        <v>0</v>
      </c>
      <c r="AX419" s="5">
        <f>F419*AP419</f>
        <v>0</v>
      </c>
      <c r="AY419" s="6" t="s">
        <v>673</v>
      </c>
      <c r="AZ419" s="6" t="s">
        <v>443</v>
      </c>
      <c r="BA419" s="3" t="s">
        <v>407</v>
      </c>
      <c r="BC419" s="5">
        <f>AW419+AX419</f>
        <v>0</v>
      </c>
      <c r="BD419" s="5">
        <f>G419/(100-BE419)*100</f>
        <v>0</v>
      </c>
      <c r="BE419" s="5">
        <v>0</v>
      </c>
      <c r="BF419" s="5">
        <f>419</f>
        <v>419</v>
      </c>
      <c r="BH419" s="5">
        <f>F419*AO419</f>
        <v>0</v>
      </c>
      <c r="BI419" s="5">
        <f>F419*AP419</f>
        <v>0</v>
      </c>
      <c r="BJ419" s="5">
        <f>F419*G419</f>
        <v>0</v>
      </c>
      <c r="BK419" s="5"/>
      <c r="BL419" s="5">
        <v>766</v>
      </c>
      <c r="BW419" s="5">
        <v>21</v>
      </c>
      <c r="BX419" s="2" t="s">
        <v>672</v>
      </c>
    </row>
    <row r="420" spans="1:76" x14ac:dyDescent="0.25">
      <c r="A420" s="181"/>
      <c r="B420" s="182"/>
      <c r="C420" s="183" t="s">
        <v>674</v>
      </c>
      <c r="D420" s="184" t="s">
        <v>675</v>
      </c>
      <c r="E420" s="182"/>
      <c r="F420" s="185">
        <v>131</v>
      </c>
      <c r="G420" s="182"/>
      <c r="H420" s="182"/>
      <c r="I420" s="182"/>
      <c r="J420" s="182"/>
      <c r="K420" s="186"/>
    </row>
    <row r="421" spans="1:76" ht="25.5" x14ac:dyDescent="0.25">
      <c r="A421" s="192"/>
      <c r="B421" s="193" t="s">
        <v>85</v>
      </c>
      <c r="C421" s="194" t="s">
        <v>676</v>
      </c>
      <c r="D421" s="195"/>
      <c r="E421" s="195"/>
      <c r="F421" s="195"/>
      <c r="G421" s="195"/>
      <c r="H421" s="195"/>
      <c r="I421" s="195"/>
      <c r="J421" s="195"/>
      <c r="K421" s="196"/>
      <c r="BX421" s="7" t="s">
        <v>676</v>
      </c>
    </row>
    <row r="422" spans="1:76" x14ac:dyDescent="0.25">
      <c r="A422" s="225" t="s">
        <v>52</v>
      </c>
      <c r="B422" s="226" t="s">
        <v>677</v>
      </c>
      <c r="C422" s="227" t="s">
        <v>678</v>
      </c>
      <c r="D422" s="228"/>
      <c r="E422" s="229" t="s">
        <v>33</v>
      </c>
      <c r="F422" s="229" t="s">
        <v>33</v>
      </c>
      <c r="G422" s="229" t="s">
        <v>33</v>
      </c>
      <c r="H422" s="230">
        <f>SUM(H423:H423)</f>
        <v>0</v>
      </c>
      <c r="I422" s="230">
        <f>SUM(I423:I423)</f>
        <v>0</v>
      </c>
      <c r="J422" s="230">
        <f>SUM(J423:J423)</f>
        <v>0</v>
      </c>
      <c r="K422" s="231" t="s">
        <v>52</v>
      </c>
      <c r="AI422" s="3" t="s">
        <v>401</v>
      </c>
      <c r="AS422" s="1">
        <f>SUM(AJ423:AJ423)</f>
        <v>0</v>
      </c>
      <c r="AT422" s="1">
        <f>SUM(AK423:AK423)</f>
        <v>0</v>
      </c>
      <c r="AU422" s="1">
        <f>SUM(AL423:AL423)</f>
        <v>0</v>
      </c>
    </row>
    <row r="423" spans="1:76" x14ac:dyDescent="0.25">
      <c r="A423" s="175" t="s">
        <v>679</v>
      </c>
      <c r="B423" s="176" t="s">
        <v>680</v>
      </c>
      <c r="C423" s="177" t="s">
        <v>681</v>
      </c>
      <c r="D423" s="178"/>
      <c r="E423" s="176" t="s">
        <v>69</v>
      </c>
      <c r="F423" s="179">
        <v>2224.3856000000001</v>
      </c>
      <c r="G423" s="179">
        <v>0</v>
      </c>
      <c r="H423" s="179">
        <f>F423*AO423</f>
        <v>0</v>
      </c>
      <c r="I423" s="179">
        <f>F423*AP423</f>
        <v>0</v>
      </c>
      <c r="J423" s="179">
        <f>F423*G423</f>
        <v>0</v>
      </c>
      <c r="K423" s="180" t="s">
        <v>70</v>
      </c>
      <c r="Z423" s="5">
        <f>IF(AQ423="5",BJ423,0)</f>
        <v>0</v>
      </c>
      <c r="AB423" s="5">
        <f>IF(AQ423="1",BH423,0)</f>
        <v>0</v>
      </c>
      <c r="AC423" s="5">
        <f>IF(AQ423="1",BI423,0)</f>
        <v>0</v>
      </c>
      <c r="AD423" s="5">
        <f>IF(AQ423="7",BH423,0)</f>
        <v>0</v>
      </c>
      <c r="AE423" s="5">
        <f>IF(AQ423="7",BI423,0)</f>
        <v>0</v>
      </c>
      <c r="AF423" s="5">
        <f>IF(AQ423="2",BH423,0)</f>
        <v>0</v>
      </c>
      <c r="AG423" s="5">
        <f>IF(AQ423="2",BI423,0)</f>
        <v>0</v>
      </c>
      <c r="AH423" s="5">
        <f>IF(AQ423="0",BJ423,0)</f>
        <v>0</v>
      </c>
      <c r="AI423" s="3" t="s">
        <v>401</v>
      </c>
      <c r="AJ423" s="5">
        <f>IF(AN423=0,J423,0)</f>
        <v>0</v>
      </c>
      <c r="AK423" s="5">
        <f>IF(AN423=12,J423,0)</f>
        <v>0</v>
      </c>
      <c r="AL423" s="5">
        <f>IF(AN423=21,J423,0)</f>
        <v>0</v>
      </c>
      <c r="AN423" s="5">
        <v>21</v>
      </c>
      <c r="AO423" s="5">
        <f>G423*0.191545082</f>
        <v>0</v>
      </c>
      <c r="AP423" s="5">
        <f>G423*(1-0.191545082)</f>
        <v>0</v>
      </c>
      <c r="AQ423" s="6" t="s">
        <v>105</v>
      </c>
      <c r="AV423" s="5">
        <f>AW423+AX423</f>
        <v>0</v>
      </c>
      <c r="AW423" s="5">
        <f>F423*AO423</f>
        <v>0</v>
      </c>
      <c r="AX423" s="5">
        <f>F423*AP423</f>
        <v>0</v>
      </c>
      <c r="AY423" s="6" t="s">
        <v>682</v>
      </c>
      <c r="AZ423" s="6" t="s">
        <v>683</v>
      </c>
      <c r="BA423" s="3" t="s">
        <v>407</v>
      </c>
      <c r="BC423" s="5">
        <f>AW423+AX423</f>
        <v>0</v>
      </c>
      <c r="BD423" s="5">
        <f>G423/(100-BE423)*100</f>
        <v>0</v>
      </c>
      <c r="BE423" s="5">
        <v>0</v>
      </c>
      <c r="BF423" s="5">
        <f>423</f>
        <v>423</v>
      </c>
      <c r="BH423" s="5">
        <f>F423*AO423</f>
        <v>0</v>
      </c>
      <c r="BI423" s="5">
        <f>F423*AP423</f>
        <v>0</v>
      </c>
      <c r="BJ423" s="5">
        <f>F423*G423</f>
        <v>0</v>
      </c>
      <c r="BK423" s="5"/>
      <c r="BL423" s="5">
        <v>784</v>
      </c>
      <c r="BW423" s="5">
        <v>21</v>
      </c>
      <c r="BX423" s="2" t="s">
        <v>681</v>
      </c>
    </row>
    <row r="424" spans="1:76" x14ac:dyDescent="0.25">
      <c r="A424" s="181"/>
      <c r="B424" s="182"/>
      <c r="C424" s="183" t="s">
        <v>684</v>
      </c>
      <c r="D424" s="184" t="s">
        <v>685</v>
      </c>
      <c r="E424" s="182"/>
      <c r="F424" s="185">
        <v>205.01</v>
      </c>
      <c r="G424" s="182"/>
      <c r="H424" s="182"/>
      <c r="I424" s="182"/>
      <c r="J424" s="182"/>
      <c r="K424" s="186"/>
    </row>
    <row r="425" spans="1:76" x14ac:dyDescent="0.25">
      <c r="A425" s="181"/>
      <c r="B425" s="182"/>
      <c r="C425" s="183" t="s">
        <v>686</v>
      </c>
      <c r="D425" s="184" t="s">
        <v>687</v>
      </c>
      <c r="E425" s="182"/>
      <c r="F425" s="185">
        <v>-50.231999999999999</v>
      </c>
      <c r="G425" s="182"/>
      <c r="H425" s="182"/>
      <c r="I425" s="182"/>
      <c r="J425" s="182"/>
      <c r="K425" s="186"/>
    </row>
    <row r="426" spans="1:76" x14ac:dyDescent="0.25">
      <c r="A426" s="181"/>
      <c r="B426" s="182"/>
      <c r="C426" s="183" t="s">
        <v>688</v>
      </c>
      <c r="D426" s="184" t="s">
        <v>689</v>
      </c>
      <c r="E426" s="182"/>
      <c r="F426" s="185">
        <v>97.14</v>
      </c>
      <c r="G426" s="182"/>
      <c r="H426" s="182"/>
      <c r="I426" s="182"/>
      <c r="J426" s="182"/>
      <c r="K426" s="186"/>
    </row>
    <row r="427" spans="1:76" x14ac:dyDescent="0.25">
      <c r="A427" s="181"/>
      <c r="B427" s="182"/>
      <c r="C427" s="183" t="s">
        <v>690</v>
      </c>
      <c r="D427" s="184" t="s">
        <v>691</v>
      </c>
      <c r="E427" s="182"/>
      <c r="F427" s="185">
        <v>182.9</v>
      </c>
      <c r="G427" s="182"/>
      <c r="H427" s="182"/>
      <c r="I427" s="182"/>
      <c r="J427" s="182"/>
      <c r="K427" s="186"/>
    </row>
    <row r="428" spans="1:76" x14ac:dyDescent="0.25">
      <c r="A428" s="181"/>
      <c r="B428" s="182"/>
      <c r="C428" s="183" t="s">
        <v>692</v>
      </c>
      <c r="D428" s="184" t="s">
        <v>693</v>
      </c>
      <c r="E428" s="182"/>
      <c r="F428" s="185">
        <v>325.47750000000002</v>
      </c>
      <c r="G428" s="182"/>
      <c r="H428" s="182"/>
      <c r="I428" s="182"/>
      <c r="J428" s="182"/>
      <c r="K428" s="186"/>
    </row>
    <row r="429" spans="1:76" x14ac:dyDescent="0.25">
      <c r="A429" s="181"/>
      <c r="B429" s="182"/>
      <c r="C429" s="183" t="s">
        <v>694</v>
      </c>
      <c r="D429" s="184" t="s">
        <v>695</v>
      </c>
      <c r="E429" s="182"/>
      <c r="F429" s="185">
        <v>-92.82</v>
      </c>
      <c r="G429" s="182"/>
      <c r="H429" s="182"/>
      <c r="I429" s="182"/>
      <c r="J429" s="182"/>
      <c r="K429" s="186"/>
    </row>
    <row r="430" spans="1:76" x14ac:dyDescent="0.25">
      <c r="A430" s="181"/>
      <c r="B430" s="182"/>
      <c r="C430" s="183" t="s">
        <v>696</v>
      </c>
      <c r="D430" s="184" t="s">
        <v>697</v>
      </c>
      <c r="E430" s="182"/>
      <c r="F430" s="185">
        <v>293.02</v>
      </c>
      <c r="G430" s="182"/>
      <c r="H430" s="182"/>
      <c r="I430" s="182"/>
      <c r="J430" s="182"/>
      <c r="K430" s="186"/>
    </row>
    <row r="431" spans="1:76" x14ac:dyDescent="0.25">
      <c r="A431" s="181"/>
      <c r="B431" s="182"/>
      <c r="C431" s="183" t="s">
        <v>698</v>
      </c>
      <c r="D431" s="184" t="s">
        <v>699</v>
      </c>
      <c r="E431" s="182"/>
      <c r="F431" s="185">
        <v>300.64</v>
      </c>
      <c r="G431" s="182"/>
      <c r="H431" s="182"/>
      <c r="I431" s="182"/>
      <c r="J431" s="182"/>
      <c r="K431" s="186"/>
    </row>
    <row r="432" spans="1:76" x14ac:dyDescent="0.25">
      <c r="A432" s="181"/>
      <c r="B432" s="182"/>
      <c r="C432" s="183" t="s">
        <v>700</v>
      </c>
      <c r="D432" s="184" t="s">
        <v>693</v>
      </c>
      <c r="E432" s="182"/>
      <c r="F432" s="185">
        <v>599.76260000000002</v>
      </c>
      <c r="G432" s="182"/>
      <c r="H432" s="182"/>
      <c r="I432" s="182"/>
      <c r="J432" s="182"/>
      <c r="K432" s="186"/>
    </row>
    <row r="433" spans="1:76" x14ac:dyDescent="0.25">
      <c r="A433" s="181"/>
      <c r="B433" s="182"/>
      <c r="C433" s="183" t="s">
        <v>701</v>
      </c>
      <c r="D433" s="184" t="s">
        <v>702</v>
      </c>
      <c r="E433" s="182"/>
      <c r="F433" s="185">
        <v>363.48750000000001</v>
      </c>
      <c r="G433" s="182"/>
      <c r="H433" s="182"/>
      <c r="I433" s="182"/>
      <c r="J433" s="182"/>
      <c r="K433" s="186"/>
    </row>
    <row r="434" spans="1:76" ht="25.5" x14ac:dyDescent="0.25">
      <c r="A434" s="192"/>
      <c r="B434" s="193" t="s">
        <v>85</v>
      </c>
      <c r="C434" s="194" t="s">
        <v>703</v>
      </c>
      <c r="D434" s="195"/>
      <c r="E434" s="195"/>
      <c r="F434" s="195"/>
      <c r="G434" s="195"/>
      <c r="H434" s="195"/>
      <c r="I434" s="195"/>
      <c r="J434" s="195"/>
      <c r="K434" s="196"/>
      <c r="BX434" s="7" t="s">
        <v>703</v>
      </c>
    </row>
    <row r="435" spans="1:76" x14ac:dyDescent="0.25">
      <c r="A435" s="146" t="s">
        <v>52</v>
      </c>
      <c r="B435" s="147" t="s">
        <v>704</v>
      </c>
      <c r="C435" s="148" t="s">
        <v>705</v>
      </c>
      <c r="D435" s="113"/>
      <c r="E435" s="149" t="s">
        <v>33</v>
      </c>
      <c r="F435" s="149" t="s">
        <v>33</v>
      </c>
      <c r="G435" s="149" t="s">
        <v>33</v>
      </c>
      <c r="H435" s="150">
        <f>SUM(H436:H436)</f>
        <v>0</v>
      </c>
      <c r="I435" s="150">
        <f>SUM(I436:I436)</f>
        <v>0</v>
      </c>
      <c r="J435" s="150">
        <f>SUM(J436:J436)</f>
        <v>0</v>
      </c>
      <c r="K435" s="151" t="s">
        <v>52</v>
      </c>
      <c r="AI435" s="3" t="s">
        <v>401</v>
      </c>
      <c r="AS435" s="1">
        <f>SUM(AJ436:AJ436)</f>
        <v>0</v>
      </c>
      <c r="AT435" s="1">
        <f>SUM(AK436:AK436)</f>
        <v>0</v>
      </c>
      <c r="AU435" s="1">
        <f>SUM(AL436:AL436)</f>
        <v>0</v>
      </c>
    </row>
    <row r="436" spans="1:76" x14ac:dyDescent="0.25">
      <c r="A436" s="146" t="s">
        <v>706</v>
      </c>
      <c r="B436" s="149" t="s">
        <v>707</v>
      </c>
      <c r="C436" s="116" t="s">
        <v>708</v>
      </c>
      <c r="D436" s="112"/>
      <c r="E436" s="149" t="s">
        <v>709</v>
      </c>
      <c r="F436" s="152">
        <v>1</v>
      </c>
      <c r="G436" s="152">
        <v>0</v>
      </c>
      <c r="H436" s="152">
        <f>F436*AO436</f>
        <v>0</v>
      </c>
      <c r="I436" s="152">
        <f>F436*AP436</f>
        <v>0</v>
      </c>
      <c r="J436" s="152">
        <f>F436*G436</f>
        <v>0</v>
      </c>
      <c r="K436" s="153" t="s">
        <v>100</v>
      </c>
      <c r="Z436" s="5">
        <f>IF(AQ436="5",BJ436,0)</f>
        <v>0</v>
      </c>
      <c r="AB436" s="5">
        <f>IF(AQ436="1",BH436,0)</f>
        <v>0</v>
      </c>
      <c r="AC436" s="5">
        <f>IF(AQ436="1",BI436,0)</f>
        <v>0</v>
      </c>
      <c r="AD436" s="5">
        <f>IF(AQ436="7",BH436,0)</f>
        <v>0</v>
      </c>
      <c r="AE436" s="5">
        <f>IF(AQ436="7",BI436,0)</f>
        <v>0</v>
      </c>
      <c r="AF436" s="5">
        <f>IF(AQ436="2",BH436,0)</f>
        <v>0</v>
      </c>
      <c r="AG436" s="5">
        <f>IF(AQ436="2",BI436,0)</f>
        <v>0</v>
      </c>
      <c r="AH436" s="5">
        <f>IF(AQ436="0",BJ436,0)</f>
        <v>0</v>
      </c>
      <c r="AI436" s="3" t="s">
        <v>401</v>
      </c>
      <c r="AJ436" s="5">
        <f>IF(AN436=0,J436,0)</f>
        <v>0</v>
      </c>
      <c r="AK436" s="5">
        <f>IF(AN436=12,J436,0)</f>
        <v>0</v>
      </c>
      <c r="AL436" s="5">
        <f>IF(AN436=21,J436,0)</f>
        <v>0</v>
      </c>
      <c r="AN436" s="5">
        <v>21</v>
      </c>
      <c r="AO436" s="5">
        <f>G436*0.204706</f>
        <v>0</v>
      </c>
      <c r="AP436" s="5">
        <f>G436*(1-0.204706)</f>
        <v>0</v>
      </c>
      <c r="AQ436" s="6" t="s">
        <v>60</v>
      </c>
      <c r="AV436" s="5">
        <f>AW436+AX436</f>
        <v>0</v>
      </c>
      <c r="AW436" s="5">
        <f>F436*AO436</f>
        <v>0</v>
      </c>
      <c r="AX436" s="5">
        <f>F436*AP436</f>
        <v>0</v>
      </c>
      <c r="AY436" s="6" t="s">
        <v>710</v>
      </c>
      <c r="AZ436" s="6" t="s">
        <v>711</v>
      </c>
      <c r="BA436" s="3" t="s">
        <v>407</v>
      </c>
      <c r="BC436" s="5">
        <f>AW436+AX436</f>
        <v>0</v>
      </c>
      <c r="BD436" s="5">
        <f>G436/(100-BE436)*100</f>
        <v>0</v>
      </c>
      <c r="BE436" s="5">
        <v>0</v>
      </c>
      <c r="BF436" s="5">
        <f>436</f>
        <v>436</v>
      </c>
      <c r="BH436" s="5">
        <f>F436*AO436</f>
        <v>0</v>
      </c>
      <c r="BI436" s="5">
        <f>F436*AP436</f>
        <v>0</v>
      </c>
      <c r="BJ436" s="5">
        <f>F436*G436</f>
        <v>0</v>
      </c>
      <c r="BK436" s="5"/>
      <c r="BL436" s="5"/>
      <c r="BW436" s="5">
        <v>21</v>
      </c>
      <c r="BX436" s="2" t="s">
        <v>708</v>
      </c>
    </row>
    <row r="437" spans="1:76" ht="13.5" customHeight="1" x14ac:dyDescent="0.25">
      <c r="A437" s="154"/>
      <c r="B437" s="155"/>
      <c r="C437" s="156" t="s">
        <v>712</v>
      </c>
      <c r="D437" s="157"/>
      <c r="E437" s="157"/>
      <c r="F437" s="157"/>
      <c r="G437" s="157"/>
      <c r="H437" s="157"/>
      <c r="I437" s="157"/>
      <c r="J437" s="157"/>
      <c r="K437" s="158"/>
    </row>
    <row r="438" spans="1:76" x14ac:dyDescent="0.25">
      <c r="A438" s="225" t="s">
        <v>52</v>
      </c>
      <c r="B438" s="226" t="s">
        <v>713</v>
      </c>
      <c r="C438" s="227" t="s">
        <v>714</v>
      </c>
      <c r="D438" s="228"/>
      <c r="E438" s="229" t="s">
        <v>33</v>
      </c>
      <c r="F438" s="229" t="s">
        <v>33</v>
      </c>
      <c r="G438" s="229" t="s">
        <v>33</v>
      </c>
      <c r="H438" s="230">
        <f>SUM(H439:H439)</f>
        <v>0</v>
      </c>
      <c r="I438" s="230">
        <f>SUM(I439:I439)</f>
        <v>0</v>
      </c>
      <c r="J438" s="230">
        <f>SUM(J439:J439)</f>
        <v>0</v>
      </c>
      <c r="K438" s="231" t="s">
        <v>52</v>
      </c>
      <c r="AI438" s="3" t="s">
        <v>401</v>
      </c>
      <c r="AS438" s="1">
        <f>SUM(AJ439:AJ439)</f>
        <v>0</v>
      </c>
      <c r="AT438" s="1">
        <f>SUM(AK439:AK439)</f>
        <v>0</v>
      </c>
      <c r="AU438" s="1">
        <f>SUM(AL439:AL439)</f>
        <v>0</v>
      </c>
    </row>
    <row r="439" spans="1:76" ht="25.5" x14ac:dyDescent="0.25">
      <c r="A439" s="175" t="s">
        <v>715</v>
      </c>
      <c r="B439" s="176" t="s">
        <v>716</v>
      </c>
      <c r="C439" s="177" t="s">
        <v>717</v>
      </c>
      <c r="D439" s="178"/>
      <c r="E439" s="176" t="s">
        <v>300</v>
      </c>
      <c r="F439" s="179">
        <v>2</v>
      </c>
      <c r="G439" s="179">
        <v>0</v>
      </c>
      <c r="H439" s="179">
        <f>F439*AO439</f>
        <v>0</v>
      </c>
      <c r="I439" s="179">
        <f>F439*AP439</f>
        <v>0</v>
      </c>
      <c r="J439" s="179">
        <f>F439*G439</f>
        <v>0</v>
      </c>
      <c r="K439" s="180" t="s">
        <v>100</v>
      </c>
      <c r="Z439" s="5">
        <f>IF(AQ439="5",BJ439,0)</f>
        <v>0</v>
      </c>
      <c r="AB439" s="5">
        <f>IF(AQ439="1",BH439,0)</f>
        <v>0</v>
      </c>
      <c r="AC439" s="5">
        <f>IF(AQ439="1",BI439,0)</f>
        <v>0</v>
      </c>
      <c r="AD439" s="5">
        <f>IF(AQ439="7",BH439,0)</f>
        <v>0</v>
      </c>
      <c r="AE439" s="5">
        <f>IF(AQ439="7",BI439,0)</f>
        <v>0</v>
      </c>
      <c r="AF439" s="5">
        <f>IF(AQ439="2",BH439,0)</f>
        <v>0</v>
      </c>
      <c r="AG439" s="5">
        <f>IF(AQ439="2",BI439,0)</f>
        <v>0</v>
      </c>
      <c r="AH439" s="5">
        <f>IF(AQ439="0",BJ439,0)</f>
        <v>0</v>
      </c>
      <c r="AI439" s="3" t="s">
        <v>401</v>
      </c>
      <c r="AJ439" s="5">
        <f>IF(AN439=0,J439,0)</f>
        <v>0</v>
      </c>
      <c r="AK439" s="5">
        <f>IF(AN439=12,J439,0)</f>
        <v>0</v>
      </c>
      <c r="AL439" s="5">
        <f>IF(AN439=21,J439,0)</f>
        <v>0</v>
      </c>
      <c r="AN439" s="5">
        <v>21</v>
      </c>
      <c r="AO439" s="5">
        <f>G439*0.5</f>
        <v>0</v>
      </c>
      <c r="AP439" s="5">
        <f>G439*(1-0.5)</f>
        <v>0</v>
      </c>
      <c r="AQ439" s="6" t="s">
        <v>60</v>
      </c>
      <c r="AV439" s="5">
        <f>AW439+AX439</f>
        <v>0</v>
      </c>
      <c r="AW439" s="5">
        <f>F439*AO439</f>
        <v>0</v>
      </c>
      <c r="AX439" s="5">
        <f>F439*AP439</f>
        <v>0</v>
      </c>
      <c r="AY439" s="6" t="s">
        <v>718</v>
      </c>
      <c r="AZ439" s="6" t="s">
        <v>711</v>
      </c>
      <c r="BA439" s="3" t="s">
        <v>407</v>
      </c>
      <c r="BC439" s="5">
        <f>AW439+AX439</f>
        <v>0</v>
      </c>
      <c r="BD439" s="5">
        <f>G439/(100-BE439)*100</f>
        <v>0</v>
      </c>
      <c r="BE439" s="5">
        <v>0</v>
      </c>
      <c r="BF439" s="5">
        <f>439</f>
        <v>439</v>
      </c>
      <c r="BH439" s="5">
        <f>F439*AO439</f>
        <v>0</v>
      </c>
      <c r="BI439" s="5">
        <f>F439*AP439</f>
        <v>0</v>
      </c>
      <c r="BJ439" s="5">
        <f>F439*G439</f>
        <v>0</v>
      </c>
      <c r="BK439" s="5"/>
      <c r="BL439" s="5"/>
      <c r="BW439" s="5">
        <v>21</v>
      </c>
      <c r="BX439" s="2" t="s">
        <v>717</v>
      </c>
    </row>
    <row r="440" spans="1:76" ht="13.5" customHeight="1" x14ac:dyDescent="0.25">
      <c r="A440" s="187"/>
      <c r="B440" s="155"/>
      <c r="C440" s="189" t="s">
        <v>719</v>
      </c>
      <c r="D440" s="190"/>
      <c r="E440" s="190"/>
      <c r="F440" s="190"/>
      <c r="G440" s="190"/>
      <c r="H440" s="190"/>
      <c r="I440" s="190"/>
      <c r="J440" s="190"/>
      <c r="K440" s="191"/>
    </row>
    <row r="441" spans="1:76" x14ac:dyDescent="0.25">
      <c r="A441" s="201"/>
      <c r="B441" s="202"/>
      <c r="C441" s="203" t="s">
        <v>60</v>
      </c>
      <c r="D441" s="204" t="s">
        <v>720</v>
      </c>
      <c r="E441" s="202"/>
      <c r="F441" s="205">
        <v>2</v>
      </c>
      <c r="G441" s="202"/>
      <c r="H441" s="202"/>
      <c r="I441" s="202"/>
      <c r="J441" s="202"/>
      <c r="K441" s="206"/>
    </row>
    <row r="442" spans="1:76" x14ac:dyDescent="0.25">
      <c r="A442" s="219" t="s">
        <v>52</v>
      </c>
      <c r="B442" s="238" t="s">
        <v>52</v>
      </c>
      <c r="C442" s="239" t="s">
        <v>721</v>
      </c>
      <c r="D442" s="240"/>
      <c r="E442" s="220" t="s">
        <v>33</v>
      </c>
      <c r="F442" s="220" t="s">
        <v>33</v>
      </c>
      <c r="G442" s="220" t="s">
        <v>33</v>
      </c>
      <c r="H442" s="241">
        <f>H443+H451+H470+H503</f>
        <v>0</v>
      </c>
      <c r="I442" s="241">
        <f>I443+I451+I470+I503</f>
        <v>0</v>
      </c>
      <c r="J442" s="241">
        <f>J443+J451+J470+J503</f>
        <v>0</v>
      </c>
      <c r="K442" s="242" t="s">
        <v>52</v>
      </c>
    </row>
    <row r="443" spans="1:76" x14ac:dyDescent="0.25">
      <c r="A443" s="146" t="s">
        <v>52</v>
      </c>
      <c r="B443" s="147" t="s">
        <v>297</v>
      </c>
      <c r="C443" s="148" t="s">
        <v>722</v>
      </c>
      <c r="D443" s="113"/>
      <c r="E443" s="149" t="s">
        <v>33</v>
      </c>
      <c r="F443" s="149" t="s">
        <v>33</v>
      </c>
      <c r="G443" s="149" t="s">
        <v>33</v>
      </c>
      <c r="H443" s="150">
        <f>SUM(H444:H450)</f>
        <v>0</v>
      </c>
      <c r="I443" s="150">
        <f>SUM(I444:I450)</f>
        <v>0</v>
      </c>
      <c r="J443" s="150">
        <f>SUM(J444:J450)</f>
        <v>0</v>
      </c>
      <c r="K443" s="151" t="s">
        <v>52</v>
      </c>
      <c r="AI443" s="3" t="s">
        <v>723</v>
      </c>
      <c r="AS443" s="1">
        <f>SUM(AJ444:AJ450)</f>
        <v>0</v>
      </c>
      <c r="AT443" s="1">
        <f>SUM(AK444:AK450)</f>
        <v>0</v>
      </c>
      <c r="AU443" s="1">
        <f>SUM(AL444:AL450)</f>
        <v>0</v>
      </c>
    </row>
    <row r="444" spans="1:76" x14ac:dyDescent="0.25">
      <c r="A444" s="146" t="s">
        <v>724</v>
      </c>
      <c r="B444" s="149" t="s">
        <v>725</v>
      </c>
      <c r="C444" s="116" t="s">
        <v>726</v>
      </c>
      <c r="D444" s="112"/>
      <c r="E444" s="149" t="s">
        <v>300</v>
      </c>
      <c r="F444" s="152">
        <v>192.10713999999999</v>
      </c>
      <c r="G444" s="152">
        <v>0</v>
      </c>
      <c r="H444" s="152">
        <f>F444*AO444</f>
        <v>0</v>
      </c>
      <c r="I444" s="152">
        <f>F444*AP444</f>
        <v>0</v>
      </c>
      <c r="J444" s="152">
        <f>F444*G444</f>
        <v>0</v>
      </c>
      <c r="K444" s="153" t="s">
        <v>70</v>
      </c>
      <c r="Z444" s="5">
        <f>IF(AQ444="5",BJ444,0)</f>
        <v>0</v>
      </c>
      <c r="AB444" s="5">
        <f>IF(AQ444="1",BH444,0)</f>
        <v>0</v>
      </c>
      <c r="AC444" s="5">
        <f>IF(AQ444="1",BI444,0)</f>
        <v>0</v>
      </c>
      <c r="AD444" s="5">
        <f>IF(AQ444="7",BH444,0)</f>
        <v>0</v>
      </c>
      <c r="AE444" s="5">
        <f>IF(AQ444="7",BI444,0)</f>
        <v>0</v>
      </c>
      <c r="AF444" s="5">
        <f>IF(AQ444="2",BH444,0)</f>
        <v>0</v>
      </c>
      <c r="AG444" s="5">
        <f>IF(AQ444="2",BI444,0)</f>
        <v>0</v>
      </c>
      <c r="AH444" s="5">
        <f>IF(AQ444="0",BJ444,0)</f>
        <v>0</v>
      </c>
      <c r="AI444" s="3" t="s">
        <v>723</v>
      </c>
      <c r="AJ444" s="5">
        <f>IF(AN444=0,J444,0)</f>
        <v>0</v>
      </c>
      <c r="AK444" s="5">
        <f>IF(AN444=12,J444,0)</f>
        <v>0</v>
      </c>
      <c r="AL444" s="5">
        <f>IF(AN444=21,J444,0)</f>
        <v>0</v>
      </c>
      <c r="AN444" s="5">
        <v>21</v>
      </c>
      <c r="AO444" s="5">
        <f>G444*0.330932504</f>
        <v>0</v>
      </c>
      <c r="AP444" s="5">
        <f>G444*(1-0.330932504)</f>
        <v>0</v>
      </c>
      <c r="AQ444" s="6" t="s">
        <v>57</v>
      </c>
      <c r="AV444" s="5">
        <f>AW444+AX444</f>
        <v>0</v>
      </c>
      <c r="AW444" s="5">
        <f>F444*AO444</f>
        <v>0</v>
      </c>
      <c r="AX444" s="5">
        <f>F444*AP444</f>
        <v>0</v>
      </c>
      <c r="AY444" s="6" t="s">
        <v>727</v>
      </c>
      <c r="AZ444" s="6" t="s">
        <v>728</v>
      </c>
      <c r="BA444" s="3" t="s">
        <v>729</v>
      </c>
      <c r="BC444" s="5">
        <f>AW444+AX444</f>
        <v>0</v>
      </c>
      <c r="BD444" s="5">
        <f>G444/(100-BE444)*100</f>
        <v>0</v>
      </c>
      <c r="BE444" s="5">
        <v>0</v>
      </c>
      <c r="BF444" s="5">
        <f>444</f>
        <v>444</v>
      </c>
      <c r="BH444" s="5">
        <f>F444*AO444</f>
        <v>0</v>
      </c>
      <c r="BI444" s="5">
        <f>F444*AP444</f>
        <v>0</v>
      </c>
      <c r="BJ444" s="5">
        <f>F444*G444</f>
        <v>0</v>
      </c>
      <c r="BK444" s="5"/>
      <c r="BL444" s="5">
        <v>41</v>
      </c>
      <c r="BW444" s="5">
        <v>21</v>
      </c>
      <c r="BX444" s="2" t="s">
        <v>726</v>
      </c>
    </row>
    <row r="445" spans="1:76" ht="40.5" customHeight="1" x14ac:dyDescent="0.25">
      <c r="A445" s="154"/>
      <c r="B445" s="155"/>
      <c r="C445" s="156" t="s">
        <v>730</v>
      </c>
      <c r="D445" s="157"/>
      <c r="E445" s="157"/>
      <c r="F445" s="157"/>
      <c r="G445" s="157"/>
      <c r="H445" s="157"/>
      <c r="I445" s="157"/>
      <c r="J445" s="157"/>
      <c r="K445" s="158"/>
    </row>
    <row r="446" spans="1:76" x14ac:dyDescent="0.25">
      <c r="A446" s="154"/>
      <c r="B446" s="155"/>
      <c r="C446" s="159" t="s">
        <v>731</v>
      </c>
      <c r="D446" s="160" t="s">
        <v>732</v>
      </c>
      <c r="E446" s="155"/>
      <c r="F446" s="161">
        <v>64.428569999999993</v>
      </c>
      <c r="G446" s="155"/>
      <c r="H446" s="155"/>
      <c r="I446" s="155"/>
      <c r="J446" s="155"/>
      <c r="K446" s="162"/>
    </row>
    <row r="447" spans="1:76" x14ac:dyDescent="0.25">
      <c r="A447" s="154"/>
      <c r="B447" s="155"/>
      <c r="C447" s="159" t="s">
        <v>733</v>
      </c>
      <c r="D447" s="160" t="s">
        <v>734</v>
      </c>
      <c r="E447" s="155"/>
      <c r="F447" s="161">
        <v>86.578569999999999</v>
      </c>
      <c r="G447" s="155"/>
      <c r="H447" s="155"/>
      <c r="I447" s="155"/>
      <c r="J447" s="155"/>
      <c r="K447" s="162"/>
    </row>
    <row r="448" spans="1:76" x14ac:dyDescent="0.25">
      <c r="A448" s="154"/>
      <c r="B448" s="155"/>
      <c r="C448" s="159" t="s">
        <v>735</v>
      </c>
      <c r="D448" s="160" t="s">
        <v>736</v>
      </c>
      <c r="E448" s="155"/>
      <c r="F448" s="161">
        <v>41.1</v>
      </c>
      <c r="G448" s="155"/>
      <c r="H448" s="155"/>
      <c r="I448" s="155"/>
      <c r="J448" s="155"/>
      <c r="K448" s="162"/>
    </row>
    <row r="449" spans="1:76" ht="38.25" x14ac:dyDescent="0.25">
      <c r="A449" s="154"/>
      <c r="B449" s="163" t="s">
        <v>85</v>
      </c>
      <c r="C449" s="156" t="s">
        <v>737</v>
      </c>
      <c r="D449" s="157"/>
      <c r="E449" s="157"/>
      <c r="F449" s="157"/>
      <c r="G449" s="157"/>
      <c r="H449" s="157"/>
      <c r="I449" s="157"/>
      <c r="J449" s="157"/>
      <c r="K449" s="158"/>
      <c r="BX449" s="7" t="s">
        <v>737</v>
      </c>
    </row>
    <row r="450" spans="1:76" x14ac:dyDescent="0.25">
      <c r="A450" s="146" t="s">
        <v>738</v>
      </c>
      <c r="B450" s="149" t="s">
        <v>739</v>
      </c>
      <c r="C450" s="116" t="s">
        <v>740</v>
      </c>
      <c r="D450" s="112"/>
      <c r="E450" s="149" t="s">
        <v>128</v>
      </c>
      <c r="F450" s="152">
        <v>3.15056</v>
      </c>
      <c r="G450" s="152">
        <v>0</v>
      </c>
      <c r="H450" s="152">
        <f>F450*AO450</f>
        <v>0</v>
      </c>
      <c r="I450" s="152">
        <f>F450*AP450</f>
        <v>0</v>
      </c>
      <c r="J450" s="152">
        <f>F450*G450</f>
        <v>0</v>
      </c>
      <c r="K450" s="153" t="s">
        <v>70</v>
      </c>
      <c r="Z450" s="5">
        <f>IF(AQ450="5",BJ450,0)</f>
        <v>0</v>
      </c>
      <c r="AB450" s="5">
        <f>IF(AQ450="1",BH450,0)</f>
        <v>0</v>
      </c>
      <c r="AC450" s="5">
        <f>IF(AQ450="1",BI450,0)</f>
        <v>0</v>
      </c>
      <c r="AD450" s="5">
        <f>IF(AQ450="7",BH450,0)</f>
        <v>0</v>
      </c>
      <c r="AE450" s="5">
        <f>IF(AQ450="7",BI450,0)</f>
        <v>0</v>
      </c>
      <c r="AF450" s="5">
        <f>IF(AQ450="2",BH450,0)</f>
        <v>0</v>
      </c>
      <c r="AG450" s="5">
        <f>IF(AQ450="2",BI450,0)</f>
        <v>0</v>
      </c>
      <c r="AH450" s="5">
        <f>IF(AQ450="0",BJ450,0)</f>
        <v>0</v>
      </c>
      <c r="AI450" s="3" t="s">
        <v>723</v>
      </c>
      <c r="AJ450" s="5">
        <f>IF(AN450=0,J450,0)</f>
        <v>0</v>
      </c>
      <c r="AK450" s="5">
        <f>IF(AN450=12,J450,0)</f>
        <v>0</v>
      </c>
      <c r="AL450" s="5">
        <f>IF(AN450=21,J450,0)</f>
        <v>0</v>
      </c>
      <c r="AN450" s="5">
        <v>21</v>
      </c>
      <c r="AO450" s="5">
        <f>G450*0</f>
        <v>0</v>
      </c>
      <c r="AP450" s="5">
        <f>G450*(1-0)</f>
        <v>0</v>
      </c>
      <c r="AQ450" s="6" t="s">
        <v>96</v>
      </c>
      <c r="AV450" s="5">
        <f>AW450+AX450</f>
        <v>0</v>
      </c>
      <c r="AW450" s="5">
        <f>F450*AO450</f>
        <v>0</v>
      </c>
      <c r="AX450" s="5">
        <f>F450*AP450</f>
        <v>0</v>
      </c>
      <c r="AY450" s="6" t="s">
        <v>727</v>
      </c>
      <c r="AZ450" s="6" t="s">
        <v>728</v>
      </c>
      <c r="BA450" s="3" t="s">
        <v>729</v>
      </c>
      <c r="BC450" s="5">
        <f>AW450+AX450</f>
        <v>0</v>
      </c>
      <c r="BD450" s="5">
        <f>G450/(100-BE450)*100</f>
        <v>0</v>
      </c>
      <c r="BE450" s="5">
        <v>0</v>
      </c>
      <c r="BF450" s="5">
        <f>450</f>
        <v>450</v>
      </c>
      <c r="BH450" s="5">
        <f>F450*AO450</f>
        <v>0</v>
      </c>
      <c r="BI450" s="5">
        <f>F450*AP450</f>
        <v>0</v>
      </c>
      <c r="BJ450" s="5">
        <f>F450*G450</f>
        <v>0</v>
      </c>
      <c r="BK450" s="5"/>
      <c r="BL450" s="5">
        <v>41</v>
      </c>
      <c r="BW450" s="5">
        <v>21</v>
      </c>
      <c r="BX450" s="2" t="s">
        <v>740</v>
      </c>
    </row>
    <row r="451" spans="1:76" x14ac:dyDescent="0.25">
      <c r="A451" s="146" t="s">
        <v>52</v>
      </c>
      <c r="B451" s="147" t="s">
        <v>399</v>
      </c>
      <c r="C451" s="148" t="s">
        <v>400</v>
      </c>
      <c r="D451" s="113"/>
      <c r="E451" s="149" t="s">
        <v>33</v>
      </c>
      <c r="F451" s="149" t="s">
        <v>33</v>
      </c>
      <c r="G451" s="149" t="s">
        <v>33</v>
      </c>
      <c r="H451" s="150">
        <f>SUM(H452:H468)</f>
        <v>0</v>
      </c>
      <c r="I451" s="150">
        <f>SUM(I452:I468)</f>
        <v>0</v>
      </c>
      <c r="J451" s="150">
        <f>SUM(J452:J468)</f>
        <v>0</v>
      </c>
      <c r="K451" s="151" t="s">
        <v>52</v>
      </c>
      <c r="AI451" s="3" t="s">
        <v>723</v>
      </c>
      <c r="AS451" s="1">
        <f>SUM(AJ452:AJ468)</f>
        <v>0</v>
      </c>
      <c r="AT451" s="1">
        <f>SUM(AK452:AK468)</f>
        <v>0</v>
      </c>
      <c r="AU451" s="1">
        <f>SUM(AL452:AL468)</f>
        <v>0</v>
      </c>
    </row>
    <row r="452" spans="1:76" x14ac:dyDescent="0.25">
      <c r="A452" s="146" t="s">
        <v>741</v>
      </c>
      <c r="B452" s="149" t="s">
        <v>742</v>
      </c>
      <c r="C452" s="116" t="s">
        <v>743</v>
      </c>
      <c r="D452" s="112"/>
      <c r="E452" s="149" t="s">
        <v>69</v>
      </c>
      <c r="F452" s="152">
        <v>268.95</v>
      </c>
      <c r="G452" s="152">
        <v>0</v>
      </c>
      <c r="H452" s="152">
        <f>F452*AO452</f>
        <v>0</v>
      </c>
      <c r="I452" s="152">
        <f>F452*AP452</f>
        <v>0</v>
      </c>
      <c r="J452" s="152">
        <f>F452*G452</f>
        <v>0</v>
      </c>
      <c r="K452" s="153" t="s">
        <v>70</v>
      </c>
      <c r="Z452" s="5">
        <f>IF(AQ452="5",BJ452,0)</f>
        <v>0</v>
      </c>
      <c r="AB452" s="5">
        <f>IF(AQ452="1",BH452,0)</f>
        <v>0</v>
      </c>
      <c r="AC452" s="5">
        <f>IF(AQ452="1",BI452,0)</f>
        <v>0</v>
      </c>
      <c r="AD452" s="5">
        <f>IF(AQ452="7",BH452,0)</f>
        <v>0</v>
      </c>
      <c r="AE452" s="5">
        <f>IF(AQ452="7",BI452,0)</f>
        <v>0</v>
      </c>
      <c r="AF452" s="5">
        <f>IF(AQ452="2",BH452,0)</f>
        <v>0</v>
      </c>
      <c r="AG452" s="5">
        <f>IF(AQ452="2",BI452,0)</f>
        <v>0</v>
      </c>
      <c r="AH452" s="5">
        <f>IF(AQ452="0",BJ452,0)</f>
        <v>0</v>
      </c>
      <c r="AI452" s="3" t="s">
        <v>723</v>
      </c>
      <c r="AJ452" s="5">
        <f>IF(AN452=0,J452,0)</f>
        <v>0</v>
      </c>
      <c r="AK452" s="5">
        <f>IF(AN452=12,J452,0)</f>
        <v>0</v>
      </c>
      <c r="AL452" s="5">
        <f>IF(AN452=21,J452,0)</f>
        <v>0</v>
      </c>
      <c r="AN452" s="5">
        <v>21</v>
      </c>
      <c r="AO452" s="5">
        <f>G452*0.292301587</f>
        <v>0</v>
      </c>
      <c r="AP452" s="5">
        <f>G452*(1-0.292301587)</f>
        <v>0</v>
      </c>
      <c r="AQ452" s="6" t="s">
        <v>105</v>
      </c>
      <c r="AV452" s="5">
        <f>AW452+AX452</f>
        <v>0</v>
      </c>
      <c r="AW452" s="5">
        <f>F452*AO452</f>
        <v>0</v>
      </c>
      <c r="AX452" s="5">
        <f>F452*AP452</f>
        <v>0</v>
      </c>
      <c r="AY452" s="6" t="s">
        <v>405</v>
      </c>
      <c r="AZ452" s="6" t="s">
        <v>744</v>
      </c>
      <c r="BA452" s="3" t="s">
        <v>729</v>
      </c>
      <c r="BC452" s="5">
        <f>AW452+AX452</f>
        <v>0</v>
      </c>
      <c r="BD452" s="5">
        <f>G452/(100-BE452)*100</f>
        <v>0</v>
      </c>
      <c r="BE452" s="5">
        <v>0</v>
      </c>
      <c r="BF452" s="5">
        <f>452</f>
        <v>452</v>
      </c>
      <c r="BH452" s="5">
        <f>F452*AO452</f>
        <v>0</v>
      </c>
      <c r="BI452" s="5">
        <f>F452*AP452</f>
        <v>0</v>
      </c>
      <c r="BJ452" s="5">
        <f>F452*G452</f>
        <v>0</v>
      </c>
      <c r="BK452" s="5"/>
      <c r="BL452" s="5">
        <v>713</v>
      </c>
      <c r="BW452" s="5">
        <v>21</v>
      </c>
      <c r="BX452" s="2" t="s">
        <v>743</v>
      </c>
    </row>
    <row r="453" spans="1:76" ht="13.5" customHeight="1" x14ac:dyDescent="0.25">
      <c r="A453" s="154"/>
      <c r="B453" s="155"/>
      <c r="C453" s="156" t="s">
        <v>745</v>
      </c>
      <c r="D453" s="157"/>
      <c r="E453" s="157"/>
      <c r="F453" s="157"/>
      <c r="G453" s="157"/>
      <c r="H453" s="157"/>
      <c r="I453" s="157"/>
      <c r="J453" s="157"/>
      <c r="K453" s="158"/>
    </row>
    <row r="454" spans="1:76" x14ac:dyDescent="0.25">
      <c r="A454" s="154"/>
      <c r="B454" s="155"/>
      <c r="C454" s="159" t="s">
        <v>746</v>
      </c>
      <c r="D454" s="160" t="s">
        <v>732</v>
      </c>
      <c r="E454" s="155"/>
      <c r="F454" s="161">
        <v>90.2</v>
      </c>
      <c r="G454" s="155"/>
      <c r="H454" s="155"/>
      <c r="I454" s="155"/>
      <c r="J454" s="155"/>
      <c r="K454" s="162"/>
    </row>
    <row r="455" spans="1:76" x14ac:dyDescent="0.25">
      <c r="A455" s="154"/>
      <c r="B455" s="155"/>
      <c r="C455" s="159" t="s">
        <v>747</v>
      </c>
      <c r="D455" s="160" t="s">
        <v>734</v>
      </c>
      <c r="E455" s="155"/>
      <c r="F455" s="161">
        <v>121.21</v>
      </c>
      <c r="G455" s="155"/>
      <c r="H455" s="155"/>
      <c r="I455" s="155"/>
      <c r="J455" s="155"/>
      <c r="K455" s="162"/>
    </row>
    <row r="456" spans="1:76" x14ac:dyDescent="0.25">
      <c r="A456" s="154"/>
      <c r="B456" s="155"/>
      <c r="C456" s="159" t="s">
        <v>748</v>
      </c>
      <c r="D456" s="160" t="s">
        <v>736</v>
      </c>
      <c r="E456" s="155"/>
      <c r="F456" s="161">
        <v>57.54</v>
      </c>
      <c r="G456" s="155"/>
      <c r="H456" s="155"/>
      <c r="I456" s="155"/>
      <c r="J456" s="155"/>
      <c r="K456" s="162"/>
    </row>
    <row r="457" spans="1:76" ht="25.5" x14ac:dyDescent="0.25">
      <c r="A457" s="146" t="s">
        <v>749</v>
      </c>
      <c r="B457" s="149" t="s">
        <v>750</v>
      </c>
      <c r="C457" s="116" t="s">
        <v>751</v>
      </c>
      <c r="D457" s="112"/>
      <c r="E457" s="149" t="s">
        <v>69</v>
      </c>
      <c r="F457" s="152">
        <v>260.88150000000002</v>
      </c>
      <c r="G457" s="152">
        <v>0</v>
      </c>
      <c r="H457" s="152">
        <f>F457*AO457</f>
        <v>0</v>
      </c>
      <c r="I457" s="152">
        <f>F457*AP457</f>
        <v>0</v>
      </c>
      <c r="J457" s="152">
        <f>F457*G457</f>
        <v>0</v>
      </c>
      <c r="K457" s="153" t="s">
        <v>70</v>
      </c>
      <c r="Z457" s="5">
        <f>IF(AQ457="5",BJ457,0)</f>
        <v>0</v>
      </c>
      <c r="AB457" s="5">
        <f>IF(AQ457="1",BH457,0)</f>
        <v>0</v>
      </c>
      <c r="AC457" s="5">
        <f>IF(AQ457="1",BI457,0)</f>
        <v>0</v>
      </c>
      <c r="AD457" s="5">
        <f>IF(AQ457="7",BH457,0)</f>
        <v>0</v>
      </c>
      <c r="AE457" s="5">
        <f>IF(AQ457="7",BI457,0)</f>
        <v>0</v>
      </c>
      <c r="AF457" s="5">
        <f>IF(AQ457="2",BH457,0)</f>
        <v>0</v>
      </c>
      <c r="AG457" s="5">
        <f>IF(AQ457="2",BI457,0)</f>
        <v>0</v>
      </c>
      <c r="AH457" s="5">
        <f>IF(AQ457="0",BJ457,0)</f>
        <v>0</v>
      </c>
      <c r="AI457" s="3" t="s">
        <v>723</v>
      </c>
      <c r="AJ457" s="5">
        <f>IF(AN457=0,J457,0)</f>
        <v>0</v>
      </c>
      <c r="AK457" s="5">
        <f>IF(AN457=12,J457,0)</f>
        <v>0</v>
      </c>
      <c r="AL457" s="5">
        <f>IF(AN457=21,J457,0)</f>
        <v>0</v>
      </c>
      <c r="AN457" s="5">
        <v>21</v>
      </c>
      <c r="AO457" s="5">
        <f>G457*0.061860468</f>
        <v>0</v>
      </c>
      <c r="AP457" s="5">
        <f>G457*(1-0.061860468)</f>
        <v>0</v>
      </c>
      <c r="AQ457" s="6" t="s">
        <v>105</v>
      </c>
      <c r="AV457" s="5">
        <f>AW457+AX457</f>
        <v>0</v>
      </c>
      <c r="AW457" s="5">
        <f>F457*AO457</f>
        <v>0</v>
      </c>
      <c r="AX457" s="5">
        <f>F457*AP457</f>
        <v>0</v>
      </c>
      <c r="AY457" s="6" t="s">
        <v>405</v>
      </c>
      <c r="AZ457" s="6" t="s">
        <v>744</v>
      </c>
      <c r="BA457" s="3" t="s">
        <v>729</v>
      </c>
      <c r="BC457" s="5">
        <f>AW457+AX457</f>
        <v>0</v>
      </c>
      <c r="BD457" s="5">
        <f>G457/(100-BE457)*100</f>
        <v>0</v>
      </c>
      <c r="BE457" s="5">
        <v>0</v>
      </c>
      <c r="BF457" s="5">
        <f>457</f>
        <v>457</v>
      </c>
      <c r="BH457" s="5">
        <f>F457*AO457</f>
        <v>0</v>
      </c>
      <c r="BI457" s="5">
        <f>F457*AP457</f>
        <v>0</v>
      </c>
      <c r="BJ457" s="5">
        <f>F457*G457</f>
        <v>0</v>
      </c>
      <c r="BK457" s="5"/>
      <c r="BL457" s="5">
        <v>713</v>
      </c>
      <c r="BW457" s="5">
        <v>21</v>
      </c>
      <c r="BX457" s="2" t="s">
        <v>751</v>
      </c>
    </row>
    <row r="458" spans="1:76" x14ac:dyDescent="0.25">
      <c r="A458" s="154"/>
      <c r="B458" s="155"/>
      <c r="C458" s="159" t="s">
        <v>752</v>
      </c>
      <c r="D458" s="160" t="s">
        <v>732</v>
      </c>
      <c r="E458" s="155"/>
      <c r="F458" s="161">
        <v>87.494</v>
      </c>
      <c r="G458" s="155"/>
      <c r="H458" s="155"/>
      <c r="I458" s="155"/>
      <c r="J458" s="155"/>
      <c r="K458" s="162"/>
    </row>
    <row r="459" spans="1:76" x14ac:dyDescent="0.25">
      <c r="A459" s="154"/>
      <c r="B459" s="155"/>
      <c r="C459" s="159" t="s">
        <v>753</v>
      </c>
      <c r="D459" s="160" t="s">
        <v>734</v>
      </c>
      <c r="E459" s="155"/>
      <c r="F459" s="161">
        <v>117.5737</v>
      </c>
      <c r="G459" s="155"/>
      <c r="H459" s="155"/>
      <c r="I459" s="155"/>
      <c r="J459" s="155"/>
      <c r="K459" s="162"/>
    </row>
    <row r="460" spans="1:76" x14ac:dyDescent="0.25">
      <c r="A460" s="154"/>
      <c r="B460" s="155"/>
      <c r="C460" s="159" t="s">
        <v>754</v>
      </c>
      <c r="D460" s="160" t="s">
        <v>736</v>
      </c>
      <c r="E460" s="155"/>
      <c r="F460" s="161">
        <v>55.813800000000001</v>
      </c>
      <c r="G460" s="155"/>
      <c r="H460" s="155"/>
      <c r="I460" s="155"/>
      <c r="J460" s="155"/>
      <c r="K460" s="162"/>
    </row>
    <row r="461" spans="1:76" ht="63.75" x14ac:dyDescent="0.25">
      <c r="A461" s="154"/>
      <c r="B461" s="163" t="s">
        <v>85</v>
      </c>
      <c r="C461" s="156" t="s">
        <v>755</v>
      </c>
      <c r="D461" s="157"/>
      <c r="E461" s="157"/>
      <c r="F461" s="157"/>
      <c r="G461" s="157"/>
      <c r="H461" s="157"/>
      <c r="I461" s="157"/>
      <c r="J461" s="157"/>
      <c r="K461" s="158"/>
      <c r="BX461" s="7" t="s">
        <v>755</v>
      </c>
    </row>
    <row r="462" spans="1:76" x14ac:dyDescent="0.25">
      <c r="A462" s="164" t="s">
        <v>756</v>
      </c>
      <c r="B462" s="165" t="s">
        <v>757</v>
      </c>
      <c r="C462" s="166" t="s">
        <v>758</v>
      </c>
      <c r="D462" s="167"/>
      <c r="E462" s="165" t="s">
        <v>69</v>
      </c>
      <c r="F462" s="168">
        <v>273.92556999999999</v>
      </c>
      <c r="G462" s="168">
        <v>0</v>
      </c>
      <c r="H462" s="168">
        <f>F462*AO462</f>
        <v>0</v>
      </c>
      <c r="I462" s="168">
        <f>F462*AP462</f>
        <v>0</v>
      </c>
      <c r="J462" s="168">
        <f>F462*G462</f>
        <v>0</v>
      </c>
      <c r="K462" s="169" t="s">
        <v>70</v>
      </c>
      <c r="Z462" s="5">
        <f>IF(AQ462="5",BJ462,0)</f>
        <v>0</v>
      </c>
      <c r="AB462" s="5">
        <f>IF(AQ462="1",BH462,0)</f>
        <v>0</v>
      </c>
      <c r="AC462" s="5">
        <f>IF(AQ462="1",BI462,0)</f>
        <v>0</v>
      </c>
      <c r="AD462" s="5">
        <f>IF(AQ462="7",BH462,0)</f>
        <v>0</v>
      </c>
      <c r="AE462" s="5">
        <f>IF(AQ462="7",BI462,0)</f>
        <v>0</v>
      </c>
      <c r="AF462" s="5">
        <f>IF(AQ462="2",BH462,0)</f>
        <v>0</v>
      </c>
      <c r="AG462" s="5">
        <f>IF(AQ462="2",BI462,0)</f>
        <v>0</v>
      </c>
      <c r="AH462" s="5">
        <f>IF(AQ462="0",BJ462,0)</f>
        <v>0</v>
      </c>
      <c r="AI462" s="3" t="s">
        <v>723</v>
      </c>
      <c r="AJ462" s="9">
        <f>IF(AN462=0,J462,0)</f>
        <v>0</v>
      </c>
      <c r="AK462" s="9">
        <f>IF(AN462=12,J462,0)</f>
        <v>0</v>
      </c>
      <c r="AL462" s="9">
        <f>IF(AN462=21,J462,0)</f>
        <v>0</v>
      </c>
      <c r="AN462" s="5">
        <v>21</v>
      </c>
      <c r="AO462" s="5">
        <f>G462*1</f>
        <v>0</v>
      </c>
      <c r="AP462" s="5">
        <f>G462*(1-1)</f>
        <v>0</v>
      </c>
      <c r="AQ462" s="10" t="s">
        <v>105</v>
      </c>
      <c r="AV462" s="5">
        <f>AW462+AX462</f>
        <v>0</v>
      </c>
      <c r="AW462" s="5">
        <f>F462*AO462</f>
        <v>0</v>
      </c>
      <c r="AX462" s="5">
        <f>F462*AP462</f>
        <v>0</v>
      </c>
      <c r="AY462" s="6" t="s">
        <v>405</v>
      </c>
      <c r="AZ462" s="6" t="s">
        <v>744</v>
      </c>
      <c r="BA462" s="3" t="s">
        <v>729</v>
      </c>
      <c r="BC462" s="5">
        <f>AW462+AX462</f>
        <v>0</v>
      </c>
      <c r="BD462" s="5">
        <f>G462/(100-BE462)*100</f>
        <v>0</v>
      </c>
      <c r="BE462" s="5">
        <v>0</v>
      </c>
      <c r="BF462" s="5">
        <f>462</f>
        <v>462</v>
      </c>
      <c r="BH462" s="9">
        <f>F462*AO462</f>
        <v>0</v>
      </c>
      <c r="BI462" s="9">
        <f>F462*AP462</f>
        <v>0</v>
      </c>
      <c r="BJ462" s="9">
        <f>F462*G462</f>
        <v>0</v>
      </c>
      <c r="BK462" s="9"/>
      <c r="BL462" s="5">
        <v>713</v>
      </c>
      <c r="BW462" s="5">
        <v>21</v>
      </c>
      <c r="BX462" s="8" t="s">
        <v>758</v>
      </c>
    </row>
    <row r="463" spans="1:76" x14ac:dyDescent="0.25">
      <c r="A463" s="154"/>
      <c r="B463" s="155"/>
      <c r="C463" s="159" t="s">
        <v>752</v>
      </c>
      <c r="D463" s="160" t="s">
        <v>732</v>
      </c>
      <c r="E463" s="155"/>
      <c r="F463" s="161">
        <v>87.494</v>
      </c>
      <c r="G463" s="155"/>
      <c r="H463" s="155"/>
      <c r="I463" s="155"/>
      <c r="J463" s="155"/>
      <c r="K463" s="162"/>
    </row>
    <row r="464" spans="1:76" x14ac:dyDescent="0.25">
      <c r="A464" s="154"/>
      <c r="B464" s="155"/>
      <c r="C464" s="159" t="s">
        <v>753</v>
      </c>
      <c r="D464" s="160" t="s">
        <v>734</v>
      </c>
      <c r="E464" s="155"/>
      <c r="F464" s="161">
        <v>117.5737</v>
      </c>
      <c r="G464" s="155"/>
      <c r="H464" s="155"/>
      <c r="I464" s="155"/>
      <c r="J464" s="155"/>
      <c r="K464" s="162"/>
    </row>
    <row r="465" spans="1:76" x14ac:dyDescent="0.25">
      <c r="A465" s="154"/>
      <c r="B465" s="155"/>
      <c r="C465" s="159" t="s">
        <v>754</v>
      </c>
      <c r="D465" s="160" t="s">
        <v>736</v>
      </c>
      <c r="E465" s="155"/>
      <c r="F465" s="161">
        <v>55.813800000000001</v>
      </c>
      <c r="G465" s="155"/>
      <c r="H465" s="155"/>
      <c r="I465" s="155"/>
      <c r="J465" s="155"/>
      <c r="K465" s="162"/>
    </row>
    <row r="466" spans="1:76" x14ac:dyDescent="0.25">
      <c r="A466" s="154"/>
      <c r="B466" s="155"/>
      <c r="C466" s="159" t="s">
        <v>759</v>
      </c>
      <c r="D466" s="160" t="s">
        <v>52</v>
      </c>
      <c r="E466" s="155"/>
      <c r="F466" s="161">
        <v>13.04407</v>
      </c>
      <c r="G466" s="155"/>
      <c r="H466" s="155"/>
      <c r="I466" s="155"/>
      <c r="J466" s="155"/>
      <c r="K466" s="162"/>
    </row>
    <row r="467" spans="1:76" ht="140.25" x14ac:dyDescent="0.25">
      <c r="A467" s="154"/>
      <c r="B467" s="163" t="s">
        <v>85</v>
      </c>
      <c r="C467" s="156" t="s">
        <v>760</v>
      </c>
      <c r="D467" s="157"/>
      <c r="E467" s="157"/>
      <c r="F467" s="157"/>
      <c r="G467" s="157"/>
      <c r="H467" s="157"/>
      <c r="I467" s="157"/>
      <c r="J467" s="157"/>
      <c r="K467" s="158"/>
      <c r="BX467" s="11" t="s">
        <v>760</v>
      </c>
    </row>
    <row r="468" spans="1:76" x14ac:dyDescent="0.25">
      <c r="A468" s="146" t="s">
        <v>761</v>
      </c>
      <c r="B468" s="149" t="s">
        <v>438</v>
      </c>
      <c r="C468" s="116" t="s">
        <v>439</v>
      </c>
      <c r="D468" s="112"/>
      <c r="E468" s="149" t="s">
        <v>372</v>
      </c>
      <c r="F468" s="152">
        <v>1100</v>
      </c>
      <c r="G468" s="152">
        <v>0</v>
      </c>
      <c r="H468" s="152">
        <f>F468*AO468</f>
        <v>0</v>
      </c>
      <c r="I468" s="152">
        <f>F468*AP468</f>
        <v>0</v>
      </c>
      <c r="J468" s="152">
        <f>F468*G468</f>
        <v>0</v>
      </c>
      <c r="K468" s="153" t="s">
        <v>70</v>
      </c>
      <c r="Z468" s="5">
        <f>IF(AQ468="5",BJ468,0)</f>
        <v>0</v>
      </c>
      <c r="AB468" s="5">
        <f>IF(AQ468="1",BH468,0)</f>
        <v>0</v>
      </c>
      <c r="AC468" s="5">
        <f>IF(AQ468="1",BI468,0)</f>
        <v>0</v>
      </c>
      <c r="AD468" s="5">
        <f>IF(AQ468="7",BH468,0)</f>
        <v>0</v>
      </c>
      <c r="AE468" s="5">
        <f>IF(AQ468="7",BI468,0)</f>
        <v>0</v>
      </c>
      <c r="AF468" s="5">
        <f>IF(AQ468="2",BH468,0)</f>
        <v>0</v>
      </c>
      <c r="AG468" s="5">
        <f>IF(AQ468="2",BI468,0)</f>
        <v>0</v>
      </c>
      <c r="AH468" s="5">
        <f>IF(AQ468="0",BJ468,0)</f>
        <v>0</v>
      </c>
      <c r="AI468" s="3" t="s">
        <v>723</v>
      </c>
      <c r="AJ468" s="5">
        <f>IF(AN468=0,J468,0)</f>
        <v>0</v>
      </c>
      <c r="AK468" s="5">
        <f>IF(AN468=12,J468,0)</f>
        <v>0</v>
      </c>
      <c r="AL468" s="5">
        <f>IF(AN468=21,J468,0)</f>
        <v>0</v>
      </c>
      <c r="AN468" s="5">
        <v>21</v>
      </c>
      <c r="AO468" s="5">
        <f>G468*0</f>
        <v>0</v>
      </c>
      <c r="AP468" s="5">
        <f>G468*(1-0)</f>
        <v>0</v>
      </c>
      <c r="AQ468" s="6" t="s">
        <v>96</v>
      </c>
      <c r="AV468" s="5">
        <f>AW468+AX468</f>
        <v>0</v>
      </c>
      <c r="AW468" s="5">
        <f>F468*AO468</f>
        <v>0</v>
      </c>
      <c r="AX468" s="5">
        <f>F468*AP468</f>
        <v>0</v>
      </c>
      <c r="AY468" s="6" t="s">
        <v>405</v>
      </c>
      <c r="AZ468" s="6" t="s">
        <v>744</v>
      </c>
      <c r="BA468" s="3" t="s">
        <v>729</v>
      </c>
      <c r="BC468" s="5">
        <f>AW468+AX468</f>
        <v>0</v>
      </c>
      <c r="BD468" s="5">
        <f>G468/(100-BE468)*100</f>
        <v>0</v>
      </c>
      <c r="BE468" s="5">
        <v>0</v>
      </c>
      <c r="BF468" s="5">
        <f>468</f>
        <v>468</v>
      </c>
      <c r="BH468" s="5">
        <f>F468*AO468</f>
        <v>0</v>
      </c>
      <c r="BI468" s="5">
        <f>F468*AP468</f>
        <v>0</v>
      </c>
      <c r="BJ468" s="5">
        <f>F468*G468</f>
        <v>0</v>
      </c>
      <c r="BK468" s="5"/>
      <c r="BL468" s="5">
        <v>713</v>
      </c>
      <c r="BW468" s="5">
        <v>21</v>
      </c>
      <c r="BX468" s="2" t="s">
        <v>439</v>
      </c>
    </row>
    <row r="469" spans="1:76" x14ac:dyDescent="0.25">
      <c r="A469" s="154"/>
      <c r="B469" s="155"/>
      <c r="C469" s="159" t="s">
        <v>762</v>
      </c>
      <c r="D469" s="160" t="s">
        <v>52</v>
      </c>
      <c r="E469" s="155"/>
      <c r="F469" s="161">
        <v>1100</v>
      </c>
      <c r="G469" s="155"/>
      <c r="H469" s="155"/>
      <c r="I469" s="155"/>
      <c r="J469" s="155"/>
      <c r="K469" s="162"/>
    </row>
    <row r="470" spans="1:76" x14ac:dyDescent="0.25">
      <c r="A470" s="146" t="s">
        <v>52</v>
      </c>
      <c r="B470" s="147" t="s">
        <v>668</v>
      </c>
      <c r="C470" s="148" t="s">
        <v>669</v>
      </c>
      <c r="D470" s="113"/>
      <c r="E470" s="149" t="s">
        <v>33</v>
      </c>
      <c r="F470" s="149" t="s">
        <v>33</v>
      </c>
      <c r="G470" s="149" t="s">
        <v>33</v>
      </c>
      <c r="H470" s="150">
        <f>SUM(H471:H501)</f>
        <v>0</v>
      </c>
      <c r="I470" s="150">
        <f>SUM(I471:I501)</f>
        <v>0</v>
      </c>
      <c r="J470" s="150">
        <f>SUM(J471:J501)</f>
        <v>0</v>
      </c>
      <c r="K470" s="151" t="s">
        <v>52</v>
      </c>
      <c r="AI470" s="3" t="s">
        <v>723</v>
      </c>
      <c r="AS470" s="1">
        <f>SUM(AJ471:AJ501)</f>
        <v>0</v>
      </c>
      <c r="AT470" s="1">
        <f>SUM(AK471:AK501)</f>
        <v>0</v>
      </c>
      <c r="AU470" s="1">
        <f>SUM(AL471:AL501)</f>
        <v>0</v>
      </c>
    </row>
    <row r="471" spans="1:76" x14ac:dyDescent="0.25">
      <c r="A471" s="146" t="s">
        <v>763</v>
      </c>
      <c r="B471" s="149" t="s">
        <v>764</v>
      </c>
      <c r="C471" s="116" t="s">
        <v>765</v>
      </c>
      <c r="D471" s="112"/>
      <c r="E471" s="149" t="s">
        <v>300</v>
      </c>
      <c r="F471" s="152">
        <v>131</v>
      </c>
      <c r="G471" s="152">
        <v>0</v>
      </c>
      <c r="H471" s="152">
        <f>F471*AO471</f>
        <v>0</v>
      </c>
      <c r="I471" s="152">
        <f>F471*AP471</f>
        <v>0</v>
      </c>
      <c r="J471" s="152">
        <f>F471*G471</f>
        <v>0</v>
      </c>
      <c r="K471" s="153" t="s">
        <v>70</v>
      </c>
      <c r="Z471" s="5">
        <f>IF(AQ471="5",BJ471,0)</f>
        <v>0</v>
      </c>
      <c r="AB471" s="5">
        <f>IF(AQ471="1",BH471,0)</f>
        <v>0</v>
      </c>
      <c r="AC471" s="5">
        <f>IF(AQ471="1",BI471,0)</f>
        <v>0</v>
      </c>
      <c r="AD471" s="5">
        <f>IF(AQ471="7",BH471,0)</f>
        <v>0</v>
      </c>
      <c r="AE471" s="5">
        <f>IF(AQ471="7",BI471,0)</f>
        <v>0</v>
      </c>
      <c r="AF471" s="5">
        <f>IF(AQ471="2",BH471,0)</f>
        <v>0</v>
      </c>
      <c r="AG471" s="5">
        <f>IF(AQ471="2",BI471,0)</f>
        <v>0</v>
      </c>
      <c r="AH471" s="5">
        <f>IF(AQ471="0",BJ471,0)</f>
        <v>0</v>
      </c>
      <c r="AI471" s="3" t="s">
        <v>723</v>
      </c>
      <c r="AJ471" s="5">
        <f>IF(AN471=0,J471,0)</f>
        <v>0</v>
      </c>
      <c r="AK471" s="5">
        <f>IF(AN471=12,J471,0)</f>
        <v>0</v>
      </c>
      <c r="AL471" s="5">
        <f>IF(AN471=21,J471,0)</f>
        <v>0</v>
      </c>
      <c r="AN471" s="5">
        <v>21</v>
      </c>
      <c r="AO471" s="5">
        <f>G471*0.003031895</f>
        <v>0</v>
      </c>
      <c r="AP471" s="5">
        <f>G471*(1-0.003031895)</f>
        <v>0</v>
      </c>
      <c r="AQ471" s="6" t="s">
        <v>105</v>
      </c>
      <c r="AV471" s="5">
        <f>AW471+AX471</f>
        <v>0</v>
      </c>
      <c r="AW471" s="5">
        <f>F471*AO471</f>
        <v>0</v>
      </c>
      <c r="AX471" s="5">
        <f>F471*AP471</f>
        <v>0</v>
      </c>
      <c r="AY471" s="6" t="s">
        <v>673</v>
      </c>
      <c r="AZ471" s="6" t="s">
        <v>766</v>
      </c>
      <c r="BA471" s="3" t="s">
        <v>729</v>
      </c>
      <c r="BC471" s="5">
        <f>AW471+AX471</f>
        <v>0</v>
      </c>
      <c r="BD471" s="5">
        <f>G471/(100-BE471)*100</f>
        <v>0</v>
      </c>
      <c r="BE471" s="5">
        <v>0</v>
      </c>
      <c r="BF471" s="5">
        <f>471</f>
        <v>471</v>
      </c>
      <c r="BH471" s="5">
        <f>F471*AO471</f>
        <v>0</v>
      </c>
      <c r="BI471" s="5">
        <f>F471*AP471</f>
        <v>0</v>
      </c>
      <c r="BJ471" s="5">
        <f>F471*G471</f>
        <v>0</v>
      </c>
      <c r="BK471" s="5"/>
      <c r="BL471" s="5">
        <v>766</v>
      </c>
      <c r="BW471" s="5">
        <v>21</v>
      </c>
      <c r="BX471" s="2" t="s">
        <v>765</v>
      </c>
    </row>
    <row r="472" spans="1:76" ht="40.5" customHeight="1" x14ac:dyDescent="0.25">
      <c r="A472" s="154"/>
      <c r="B472" s="155"/>
      <c r="C472" s="156" t="s">
        <v>767</v>
      </c>
      <c r="D472" s="157"/>
      <c r="E472" s="157"/>
      <c r="F472" s="157"/>
      <c r="G472" s="157"/>
      <c r="H472" s="157"/>
      <c r="I472" s="157"/>
      <c r="J472" s="157"/>
      <c r="K472" s="158"/>
    </row>
    <row r="473" spans="1:76" x14ac:dyDescent="0.25">
      <c r="A473" s="154"/>
      <c r="B473" s="155"/>
      <c r="C473" s="159" t="s">
        <v>768</v>
      </c>
      <c r="D473" s="160" t="s">
        <v>481</v>
      </c>
      <c r="E473" s="155"/>
      <c r="F473" s="161">
        <v>131</v>
      </c>
      <c r="G473" s="155"/>
      <c r="H473" s="155"/>
      <c r="I473" s="155"/>
      <c r="J473" s="155"/>
      <c r="K473" s="162"/>
    </row>
    <row r="474" spans="1:76" x14ac:dyDescent="0.25">
      <c r="A474" s="154"/>
      <c r="B474" s="163" t="s">
        <v>85</v>
      </c>
      <c r="C474" s="156" t="s">
        <v>769</v>
      </c>
      <c r="D474" s="157"/>
      <c r="E474" s="157"/>
      <c r="F474" s="157"/>
      <c r="G474" s="157"/>
      <c r="H474" s="157"/>
      <c r="I474" s="157"/>
      <c r="J474" s="157"/>
      <c r="K474" s="158"/>
      <c r="BX474" s="7" t="s">
        <v>769</v>
      </c>
    </row>
    <row r="475" spans="1:76" x14ac:dyDescent="0.25">
      <c r="A475" s="164" t="s">
        <v>768</v>
      </c>
      <c r="B475" s="165" t="s">
        <v>770</v>
      </c>
      <c r="C475" s="166" t="s">
        <v>771</v>
      </c>
      <c r="D475" s="167"/>
      <c r="E475" s="165" t="s">
        <v>300</v>
      </c>
      <c r="F475" s="168">
        <v>131</v>
      </c>
      <c r="G475" s="168">
        <v>0</v>
      </c>
      <c r="H475" s="168">
        <f>F475*AO475</f>
        <v>0</v>
      </c>
      <c r="I475" s="168">
        <f>F475*AP475</f>
        <v>0</v>
      </c>
      <c r="J475" s="168">
        <f>F475*G475</f>
        <v>0</v>
      </c>
      <c r="K475" s="169" t="s">
        <v>772</v>
      </c>
      <c r="Z475" s="5">
        <f>IF(AQ475="5",BJ475,0)</f>
        <v>0</v>
      </c>
      <c r="AB475" s="5">
        <f>IF(AQ475="1",BH475,0)</f>
        <v>0</v>
      </c>
      <c r="AC475" s="5">
        <f>IF(AQ475="1",BI475,0)</f>
        <v>0</v>
      </c>
      <c r="AD475" s="5">
        <f>IF(AQ475="7",BH475,0)</f>
        <v>0</v>
      </c>
      <c r="AE475" s="5">
        <f>IF(AQ475="7",BI475,0)</f>
        <v>0</v>
      </c>
      <c r="AF475" s="5">
        <f>IF(AQ475="2",BH475,0)</f>
        <v>0</v>
      </c>
      <c r="AG475" s="5">
        <f>IF(AQ475="2",BI475,0)</f>
        <v>0</v>
      </c>
      <c r="AH475" s="5">
        <f>IF(AQ475="0",BJ475,0)</f>
        <v>0</v>
      </c>
      <c r="AI475" s="3" t="s">
        <v>723</v>
      </c>
      <c r="AJ475" s="9">
        <f>IF(AN475=0,J475,0)</f>
        <v>0</v>
      </c>
      <c r="AK475" s="9">
        <f>IF(AN475=12,J475,0)</f>
        <v>0</v>
      </c>
      <c r="AL475" s="9">
        <f>IF(AN475=21,J475,0)</f>
        <v>0</v>
      </c>
      <c r="AN475" s="5">
        <v>21</v>
      </c>
      <c r="AO475" s="5">
        <f>G475*1</f>
        <v>0</v>
      </c>
      <c r="AP475" s="5">
        <f>G475*(1-1)</f>
        <v>0</v>
      </c>
      <c r="AQ475" s="10" t="s">
        <v>105</v>
      </c>
      <c r="AV475" s="5">
        <f>AW475+AX475</f>
        <v>0</v>
      </c>
      <c r="AW475" s="5">
        <f>F475*AO475</f>
        <v>0</v>
      </c>
      <c r="AX475" s="5">
        <f>F475*AP475</f>
        <v>0</v>
      </c>
      <c r="AY475" s="6" t="s">
        <v>673</v>
      </c>
      <c r="AZ475" s="6" t="s">
        <v>766</v>
      </c>
      <c r="BA475" s="3" t="s">
        <v>729</v>
      </c>
      <c r="BC475" s="5">
        <f>AW475+AX475</f>
        <v>0</v>
      </c>
      <c r="BD475" s="5">
        <f>G475/(100-BE475)*100</f>
        <v>0</v>
      </c>
      <c r="BE475" s="5">
        <v>0</v>
      </c>
      <c r="BF475" s="5">
        <f>475</f>
        <v>475</v>
      </c>
      <c r="BH475" s="9">
        <f>F475*AO475</f>
        <v>0</v>
      </c>
      <c r="BI475" s="9">
        <f>F475*AP475</f>
        <v>0</v>
      </c>
      <c r="BJ475" s="9">
        <f>F475*G475</f>
        <v>0</v>
      </c>
      <c r="BK475" s="9"/>
      <c r="BL475" s="5">
        <v>766</v>
      </c>
      <c r="BW475" s="5">
        <v>21</v>
      </c>
      <c r="BX475" s="8" t="s">
        <v>771</v>
      </c>
    </row>
    <row r="476" spans="1:76" x14ac:dyDescent="0.25">
      <c r="A476" s="154"/>
      <c r="B476" s="155"/>
      <c r="C476" s="159" t="s">
        <v>768</v>
      </c>
      <c r="D476" s="160" t="s">
        <v>481</v>
      </c>
      <c r="E476" s="155"/>
      <c r="F476" s="161">
        <v>131</v>
      </c>
      <c r="G476" s="155"/>
      <c r="H476" s="155"/>
      <c r="I476" s="155"/>
      <c r="J476" s="155"/>
      <c r="K476" s="162"/>
    </row>
    <row r="477" spans="1:76" x14ac:dyDescent="0.25">
      <c r="A477" s="154"/>
      <c r="B477" s="163" t="s">
        <v>85</v>
      </c>
      <c r="C477" s="156" t="s">
        <v>773</v>
      </c>
      <c r="D477" s="157"/>
      <c r="E477" s="157"/>
      <c r="F477" s="157"/>
      <c r="G477" s="157"/>
      <c r="H477" s="157"/>
      <c r="I477" s="157"/>
      <c r="J477" s="157"/>
      <c r="K477" s="158"/>
      <c r="BX477" s="11" t="s">
        <v>773</v>
      </c>
    </row>
    <row r="478" spans="1:76" ht="25.5" x14ac:dyDescent="0.25">
      <c r="A478" s="164" t="s">
        <v>774</v>
      </c>
      <c r="B478" s="165" t="s">
        <v>775</v>
      </c>
      <c r="C478" s="166" t="s">
        <v>776</v>
      </c>
      <c r="D478" s="167"/>
      <c r="E478" s="165" t="s">
        <v>300</v>
      </c>
      <c r="F478" s="168">
        <v>131</v>
      </c>
      <c r="G478" s="168">
        <v>0</v>
      </c>
      <c r="H478" s="168">
        <f>F478*AO478</f>
        <v>0</v>
      </c>
      <c r="I478" s="168">
        <f>F478*AP478</f>
        <v>0</v>
      </c>
      <c r="J478" s="168">
        <f>F478*G478</f>
        <v>0</v>
      </c>
      <c r="K478" s="169" t="s">
        <v>772</v>
      </c>
      <c r="Z478" s="5">
        <f>IF(AQ478="5",BJ478,0)</f>
        <v>0</v>
      </c>
      <c r="AB478" s="5">
        <f>IF(AQ478="1",BH478,0)</f>
        <v>0</v>
      </c>
      <c r="AC478" s="5">
        <f>IF(AQ478="1",BI478,0)</f>
        <v>0</v>
      </c>
      <c r="AD478" s="5">
        <f>IF(AQ478="7",BH478,0)</f>
        <v>0</v>
      </c>
      <c r="AE478" s="5">
        <f>IF(AQ478="7",BI478,0)</f>
        <v>0</v>
      </c>
      <c r="AF478" s="5">
        <f>IF(AQ478="2",BH478,0)</f>
        <v>0</v>
      </c>
      <c r="AG478" s="5">
        <f>IF(AQ478="2",BI478,0)</f>
        <v>0</v>
      </c>
      <c r="AH478" s="5">
        <f>IF(AQ478="0",BJ478,0)</f>
        <v>0</v>
      </c>
      <c r="AI478" s="3" t="s">
        <v>723</v>
      </c>
      <c r="AJ478" s="9">
        <f>IF(AN478=0,J478,0)</f>
        <v>0</v>
      </c>
      <c r="AK478" s="9">
        <f>IF(AN478=12,J478,0)</f>
        <v>0</v>
      </c>
      <c r="AL478" s="9">
        <f>IF(AN478=21,J478,0)</f>
        <v>0</v>
      </c>
      <c r="AN478" s="5">
        <v>21</v>
      </c>
      <c r="AO478" s="5">
        <f>G478*1</f>
        <v>0</v>
      </c>
      <c r="AP478" s="5">
        <f>G478*(1-1)</f>
        <v>0</v>
      </c>
      <c r="AQ478" s="10" t="s">
        <v>105</v>
      </c>
      <c r="AV478" s="5">
        <f>AW478+AX478</f>
        <v>0</v>
      </c>
      <c r="AW478" s="5">
        <f>F478*AO478</f>
        <v>0</v>
      </c>
      <c r="AX478" s="5">
        <f>F478*AP478</f>
        <v>0</v>
      </c>
      <c r="AY478" s="6" t="s">
        <v>673</v>
      </c>
      <c r="AZ478" s="6" t="s">
        <v>766</v>
      </c>
      <c r="BA478" s="3" t="s">
        <v>729</v>
      </c>
      <c r="BC478" s="5">
        <f>AW478+AX478</f>
        <v>0</v>
      </c>
      <c r="BD478" s="5">
        <f>G478/(100-BE478)*100</f>
        <v>0</v>
      </c>
      <c r="BE478" s="5">
        <v>0</v>
      </c>
      <c r="BF478" s="5">
        <f>478</f>
        <v>478</v>
      </c>
      <c r="BH478" s="9">
        <f>F478*AO478</f>
        <v>0</v>
      </c>
      <c r="BI478" s="9">
        <f>F478*AP478</f>
        <v>0</v>
      </c>
      <c r="BJ478" s="9">
        <f>F478*G478</f>
        <v>0</v>
      </c>
      <c r="BK478" s="9"/>
      <c r="BL478" s="5">
        <v>766</v>
      </c>
      <c r="BW478" s="5">
        <v>21</v>
      </c>
      <c r="BX478" s="8" t="s">
        <v>776</v>
      </c>
    </row>
    <row r="479" spans="1:76" x14ac:dyDescent="0.25">
      <c r="A479" s="154"/>
      <c r="B479" s="155"/>
      <c r="C479" s="159" t="s">
        <v>768</v>
      </c>
      <c r="D479" s="160" t="s">
        <v>777</v>
      </c>
      <c r="E479" s="155"/>
      <c r="F479" s="161">
        <v>131</v>
      </c>
      <c r="G479" s="155"/>
      <c r="H479" s="155"/>
      <c r="I479" s="155"/>
      <c r="J479" s="155"/>
      <c r="K479" s="162"/>
    </row>
    <row r="480" spans="1:76" x14ac:dyDescent="0.25">
      <c r="A480" s="154"/>
      <c r="B480" s="163" t="s">
        <v>85</v>
      </c>
      <c r="C480" s="156" t="s">
        <v>778</v>
      </c>
      <c r="D480" s="157"/>
      <c r="E480" s="157"/>
      <c r="F480" s="157"/>
      <c r="G480" s="157"/>
      <c r="H480" s="157"/>
      <c r="I480" s="157"/>
      <c r="J480" s="157"/>
      <c r="K480" s="158"/>
      <c r="BX480" s="11" t="s">
        <v>778</v>
      </c>
    </row>
    <row r="481" spans="1:76" x14ac:dyDescent="0.25">
      <c r="A481" s="164" t="s">
        <v>779</v>
      </c>
      <c r="B481" s="165" t="s">
        <v>780</v>
      </c>
      <c r="C481" s="166" t="s">
        <v>781</v>
      </c>
      <c r="D481" s="167"/>
      <c r="E481" s="165" t="s">
        <v>300</v>
      </c>
      <c r="F481" s="168">
        <v>98</v>
      </c>
      <c r="G481" s="168">
        <v>0</v>
      </c>
      <c r="H481" s="168">
        <f>F481*AO481</f>
        <v>0</v>
      </c>
      <c r="I481" s="168">
        <f>F481*AP481</f>
        <v>0</v>
      </c>
      <c r="J481" s="168">
        <f>F481*G481</f>
        <v>0</v>
      </c>
      <c r="K481" s="169" t="s">
        <v>772</v>
      </c>
      <c r="Z481" s="5">
        <f>IF(AQ481="5",BJ481,0)</f>
        <v>0</v>
      </c>
      <c r="AB481" s="5">
        <f>IF(AQ481="1",BH481,0)</f>
        <v>0</v>
      </c>
      <c r="AC481" s="5">
        <f>IF(AQ481="1",BI481,0)</f>
        <v>0</v>
      </c>
      <c r="AD481" s="5">
        <f>IF(AQ481="7",BH481,0)</f>
        <v>0</v>
      </c>
      <c r="AE481" s="5">
        <f>IF(AQ481="7",BI481,0)</f>
        <v>0</v>
      </c>
      <c r="AF481" s="5">
        <f>IF(AQ481="2",BH481,0)</f>
        <v>0</v>
      </c>
      <c r="AG481" s="5">
        <f>IF(AQ481="2",BI481,0)</f>
        <v>0</v>
      </c>
      <c r="AH481" s="5">
        <f>IF(AQ481="0",BJ481,0)</f>
        <v>0</v>
      </c>
      <c r="AI481" s="3" t="s">
        <v>723</v>
      </c>
      <c r="AJ481" s="9">
        <f>IF(AN481=0,J481,0)</f>
        <v>0</v>
      </c>
      <c r="AK481" s="9">
        <f>IF(AN481=12,J481,0)</f>
        <v>0</v>
      </c>
      <c r="AL481" s="9">
        <f>IF(AN481=21,J481,0)</f>
        <v>0</v>
      </c>
      <c r="AN481" s="5">
        <v>21</v>
      </c>
      <c r="AO481" s="5">
        <f>G481*1</f>
        <v>0</v>
      </c>
      <c r="AP481" s="5">
        <f>G481*(1-1)</f>
        <v>0</v>
      </c>
      <c r="AQ481" s="10" t="s">
        <v>105</v>
      </c>
      <c r="AV481" s="5">
        <f>AW481+AX481</f>
        <v>0</v>
      </c>
      <c r="AW481" s="5">
        <f>F481*AO481</f>
        <v>0</v>
      </c>
      <c r="AX481" s="5">
        <f>F481*AP481</f>
        <v>0</v>
      </c>
      <c r="AY481" s="6" t="s">
        <v>673</v>
      </c>
      <c r="AZ481" s="6" t="s">
        <v>766</v>
      </c>
      <c r="BA481" s="3" t="s">
        <v>729</v>
      </c>
      <c r="BC481" s="5">
        <f>AW481+AX481</f>
        <v>0</v>
      </c>
      <c r="BD481" s="5">
        <f>G481/(100-BE481)*100</f>
        <v>0</v>
      </c>
      <c r="BE481" s="5">
        <v>0</v>
      </c>
      <c r="BF481" s="5">
        <f>481</f>
        <v>481</v>
      </c>
      <c r="BH481" s="9">
        <f>F481*AO481</f>
        <v>0</v>
      </c>
      <c r="BI481" s="9">
        <f>F481*AP481</f>
        <v>0</v>
      </c>
      <c r="BJ481" s="9">
        <f>F481*G481</f>
        <v>0</v>
      </c>
      <c r="BK481" s="9"/>
      <c r="BL481" s="5">
        <v>766</v>
      </c>
      <c r="BW481" s="5">
        <v>21</v>
      </c>
      <c r="BX481" s="8" t="s">
        <v>781</v>
      </c>
    </row>
    <row r="482" spans="1:76" x14ac:dyDescent="0.25">
      <c r="A482" s="154"/>
      <c r="B482" s="155"/>
      <c r="C482" s="159" t="s">
        <v>569</v>
      </c>
      <c r="D482" s="160" t="s">
        <v>782</v>
      </c>
      <c r="E482" s="155"/>
      <c r="F482" s="161">
        <v>98</v>
      </c>
      <c r="G482" s="155"/>
      <c r="H482" s="155"/>
      <c r="I482" s="155"/>
      <c r="J482" s="155"/>
      <c r="K482" s="162"/>
    </row>
    <row r="483" spans="1:76" x14ac:dyDescent="0.25">
      <c r="A483" s="154"/>
      <c r="B483" s="163" t="s">
        <v>85</v>
      </c>
      <c r="C483" s="156" t="s">
        <v>778</v>
      </c>
      <c r="D483" s="157"/>
      <c r="E483" s="157"/>
      <c r="F483" s="157"/>
      <c r="G483" s="157"/>
      <c r="H483" s="157"/>
      <c r="I483" s="157"/>
      <c r="J483" s="157"/>
      <c r="K483" s="158"/>
      <c r="BX483" s="11" t="s">
        <v>778</v>
      </c>
    </row>
    <row r="484" spans="1:76" ht="25.5" x14ac:dyDescent="0.25">
      <c r="A484" s="164" t="s">
        <v>783</v>
      </c>
      <c r="B484" s="165" t="s">
        <v>784</v>
      </c>
      <c r="C484" s="166" t="s">
        <v>785</v>
      </c>
      <c r="D484" s="167"/>
      <c r="E484" s="165" t="s">
        <v>300</v>
      </c>
      <c r="F484" s="168">
        <v>26</v>
      </c>
      <c r="G484" s="168">
        <v>0</v>
      </c>
      <c r="H484" s="168">
        <f>F484*AO484</f>
        <v>0</v>
      </c>
      <c r="I484" s="168">
        <f>F484*AP484</f>
        <v>0</v>
      </c>
      <c r="J484" s="168">
        <f>F484*G484</f>
        <v>0</v>
      </c>
      <c r="K484" s="169" t="s">
        <v>772</v>
      </c>
      <c r="Z484" s="5">
        <f>IF(AQ484="5",BJ484,0)</f>
        <v>0</v>
      </c>
      <c r="AB484" s="5">
        <f>IF(AQ484="1",BH484,0)</f>
        <v>0</v>
      </c>
      <c r="AC484" s="5">
        <f>IF(AQ484="1",BI484,0)</f>
        <v>0</v>
      </c>
      <c r="AD484" s="5">
        <f>IF(AQ484="7",BH484,0)</f>
        <v>0</v>
      </c>
      <c r="AE484" s="5">
        <f>IF(AQ484="7",BI484,0)</f>
        <v>0</v>
      </c>
      <c r="AF484" s="5">
        <f>IF(AQ484="2",BH484,0)</f>
        <v>0</v>
      </c>
      <c r="AG484" s="5">
        <f>IF(AQ484="2",BI484,0)</f>
        <v>0</v>
      </c>
      <c r="AH484" s="5">
        <f>IF(AQ484="0",BJ484,0)</f>
        <v>0</v>
      </c>
      <c r="AI484" s="3" t="s">
        <v>723</v>
      </c>
      <c r="AJ484" s="9">
        <f>IF(AN484=0,J484,0)</f>
        <v>0</v>
      </c>
      <c r="AK484" s="9">
        <f>IF(AN484=12,J484,0)</f>
        <v>0</v>
      </c>
      <c r="AL484" s="9">
        <f>IF(AN484=21,J484,0)</f>
        <v>0</v>
      </c>
      <c r="AN484" s="5">
        <v>21</v>
      </c>
      <c r="AO484" s="5">
        <f>G484*1</f>
        <v>0</v>
      </c>
      <c r="AP484" s="5">
        <f>G484*(1-1)</f>
        <v>0</v>
      </c>
      <c r="AQ484" s="10" t="s">
        <v>105</v>
      </c>
      <c r="AV484" s="5">
        <f>AW484+AX484</f>
        <v>0</v>
      </c>
      <c r="AW484" s="5">
        <f>F484*AO484</f>
        <v>0</v>
      </c>
      <c r="AX484" s="5">
        <f>F484*AP484</f>
        <v>0</v>
      </c>
      <c r="AY484" s="6" t="s">
        <v>673</v>
      </c>
      <c r="AZ484" s="6" t="s">
        <v>766</v>
      </c>
      <c r="BA484" s="3" t="s">
        <v>729</v>
      </c>
      <c r="BC484" s="5">
        <f>AW484+AX484</f>
        <v>0</v>
      </c>
      <c r="BD484" s="5">
        <f>G484/(100-BE484)*100</f>
        <v>0</v>
      </c>
      <c r="BE484" s="5">
        <v>0</v>
      </c>
      <c r="BF484" s="5">
        <f>484</f>
        <v>484</v>
      </c>
      <c r="BH484" s="9">
        <f>F484*AO484</f>
        <v>0</v>
      </c>
      <c r="BI484" s="9">
        <f>F484*AP484</f>
        <v>0</v>
      </c>
      <c r="BJ484" s="9">
        <f>F484*G484</f>
        <v>0</v>
      </c>
      <c r="BK484" s="9"/>
      <c r="BL484" s="5">
        <v>766</v>
      </c>
      <c r="BW484" s="5">
        <v>21</v>
      </c>
      <c r="BX484" s="8" t="s">
        <v>785</v>
      </c>
    </row>
    <row r="485" spans="1:76" x14ac:dyDescent="0.25">
      <c r="A485" s="154"/>
      <c r="B485" s="155"/>
      <c r="C485" s="159" t="s">
        <v>211</v>
      </c>
      <c r="D485" s="160" t="s">
        <v>786</v>
      </c>
      <c r="E485" s="155"/>
      <c r="F485" s="161">
        <v>26</v>
      </c>
      <c r="G485" s="155"/>
      <c r="H485" s="155"/>
      <c r="I485" s="155"/>
      <c r="J485" s="155"/>
      <c r="K485" s="162"/>
    </row>
    <row r="486" spans="1:76" ht="38.25" x14ac:dyDescent="0.25">
      <c r="A486" s="154"/>
      <c r="B486" s="163" t="s">
        <v>85</v>
      </c>
      <c r="C486" s="156" t="s">
        <v>787</v>
      </c>
      <c r="D486" s="157"/>
      <c r="E486" s="157"/>
      <c r="F486" s="157"/>
      <c r="G486" s="157"/>
      <c r="H486" s="157"/>
      <c r="I486" s="157"/>
      <c r="J486" s="157"/>
      <c r="K486" s="158"/>
      <c r="BX486" s="11" t="s">
        <v>787</v>
      </c>
    </row>
    <row r="487" spans="1:76" ht="25.5" x14ac:dyDescent="0.25">
      <c r="A487" s="164" t="s">
        <v>788</v>
      </c>
      <c r="B487" s="165" t="s">
        <v>789</v>
      </c>
      <c r="C487" s="166" t="s">
        <v>790</v>
      </c>
      <c r="D487" s="167"/>
      <c r="E487" s="165" t="s">
        <v>300</v>
      </c>
      <c r="F487" s="168">
        <v>22</v>
      </c>
      <c r="G487" s="168">
        <v>0</v>
      </c>
      <c r="H487" s="168">
        <f>F487*AO487</f>
        <v>0</v>
      </c>
      <c r="I487" s="168">
        <f>F487*AP487</f>
        <v>0</v>
      </c>
      <c r="J487" s="168">
        <f>F487*G487</f>
        <v>0</v>
      </c>
      <c r="K487" s="169" t="s">
        <v>772</v>
      </c>
      <c r="Z487" s="5">
        <f>IF(AQ487="5",BJ487,0)</f>
        <v>0</v>
      </c>
      <c r="AB487" s="5">
        <f>IF(AQ487="1",BH487,0)</f>
        <v>0</v>
      </c>
      <c r="AC487" s="5">
        <f>IF(AQ487="1",BI487,0)</f>
        <v>0</v>
      </c>
      <c r="AD487" s="5">
        <f>IF(AQ487="7",BH487,0)</f>
        <v>0</v>
      </c>
      <c r="AE487" s="5">
        <f>IF(AQ487="7",BI487,0)</f>
        <v>0</v>
      </c>
      <c r="AF487" s="5">
        <f>IF(AQ487="2",BH487,0)</f>
        <v>0</v>
      </c>
      <c r="AG487" s="5">
        <f>IF(AQ487="2",BI487,0)</f>
        <v>0</v>
      </c>
      <c r="AH487" s="5">
        <f>IF(AQ487="0",BJ487,0)</f>
        <v>0</v>
      </c>
      <c r="AI487" s="3" t="s">
        <v>723</v>
      </c>
      <c r="AJ487" s="9">
        <f>IF(AN487=0,J487,0)</f>
        <v>0</v>
      </c>
      <c r="AK487" s="9">
        <f>IF(AN487=12,J487,0)</f>
        <v>0</v>
      </c>
      <c r="AL487" s="9">
        <f>IF(AN487=21,J487,0)</f>
        <v>0</v>
      </c>
      <c r="AN487" s="5">
        <v>21</v>
      </c>
      <c r="AO487" s="5">
        <f>G487*1</f>
        <v>0</v>
      </c>
      <c r="AP487" s="5">
        <f>G487*(1-1)</f>
        <v>0</v>
      </c>
      <c r="AQ487" s="10" t="s">
        <v>105</v>
      </c>
      <c r="AV487" s="5">
        <f>AW487+AX487</f>
        <v>0</v>
      </c>
      <c r="AW487" s="5">
        <f>F487*AO487</f>
        <v>0</v>
      </c>
      <c r="AX487" s="5">
        <f>F487*AP487</f>
        <v>0</v>
      </c>
      <c r="AY487" s="6" t="s">
        <v>673</v>
      </c>
      <c r="AZ487" s="6" t="s">
        <v>766</v>
      </c>
      <c r="BA487" s="3" t="s">
        <v>729</v>
      </c>
      <c r="BC487" s="5">
        <f>AW487+AX487</f>
        <v>0</v>
      </c>
      <c r="BD487" s="5">
        <f>G487/(100-BE487)*100</f>
        <v>0</v>
      </c>
      <c r="BE487" s="5">
        <v>0</v>
      </c>
      <c r="BF487" s="5">
        <f>487</f>
        <v>487</v>
      </c>
      <c r="BH487" s="9">
        <f>F487*AO487</f>
        <v>0</v>
      </c>
      <c r="BI487" s="9">
        <f>F487*AP487</f>
        <v>0</v>
      </c>
      <c r="BJ487" s="9">
        <f>F487*G487</f>
        <v>0</v>
      </c>
      <c r="BK487" s="9"/>
      <c r="BL487" s="5">
        <v>766</v>
      </c>
      <c r="BW487" s="5">
        <v>21</v>
      </c>
      <c r="BX487" s="8" t="s">
        <v>790</v>
      </c>
    </row>
    <row r="488" spans="1:76" x14ac:dyDescent="0.25">
      <c r="A488" s="154"/>
      <c r="B488" s="155"/>
      <c r="C488" s="159" t="s">
        <v>177</v>
      </c>
      <c r="D488" s="160" t="s">
        <v>791</v>
      </c>
      <c r="E488" s="155"/>
      <c r="F488" s="161">
        <v>22</v>
      </c>
      <c r="G488" s="155"/>
      <c r="H488" s="155"/>
      <c r="I488" s="155"/>
      <c r="J488" s="155"/>
      <c r="K488" s="162"/>
    </row>
    <row r="489" spans="1:76" ht="25.5" x14ac:dyDescent="0.25">
      <c r="A489" s="164" t="s">
        <v>792</v>
      </c>
      <c r="B489" s="165" t="s">
        <v>793</v>
      </c>
      <c r="C489" s="166" t="s">
        <v>794</v>
      </c>
      <c r="D489" s="167"/>
      <c r="E489" s="165" t="s">
        <v>300</v>
      </c>
      <c r="F489" s="168">
        <v>26</v>
      </c>
      <c r="G489" s="168">
        <v>0</v>
      </c>
      <c r="H489" s="168">
        <f>F489*AO489</f>
        <v>0</v>
      </c>
      <c r="I489" s="168">
        <f>F489*AP489</f>
        <v>0</v>
      </c>
      <c r="J489" s="168">
        <f>F489*G489</f>
        <v>0</v>
      </c>
      <c r="K489" s="169" t="s">
        <v>772</v>
      </c>
      <c r="Z489" s="5">
        <f>IF(AQ489="5",BJ489,0)</f>
        <v>0</v>
      </c>
      <c r="AB489" s="5">
        <f>IF(AQ489="1",BH489,0)</f>
        <v>0</v>
      </c>
      <c r="AC489" s="5">
        <f>IF(AQ489="1",BI489,0)</f>
        <v>0</v>
      </c>
      <c r="AD489" s="5">
        <f>IF(AQ489="7",BH489,0)</f>
        <v>0</v>
      </c>
      <c r="AE489" s="5">
        <f>IF(AQ489="7",BI489,0)</f>
        <v>0</v>
      </c>
      <c r="AF489" s="5">
        <f>IF(AQ489="2",BH489,0)</f>
        <v>0</v>
      </c>
      <c r="AG489" s="5">
        <f>IF(AQ489="2",BI489,0)</f>
        <v>0</v>
      </c>
      <c r="AH489" s="5">
        <f>IF(AQ489="0",BJ489,0)</f>
        <v>0</v>
      </c>
      <c r="AI489" s="3" t="s">
        <v>723</v>
      </c>
      <c r="AJ489" s="9">
        <f>IF(AN489=0,J489,0)</f>
        <v>0</v>
      </c>
      <c r="AK489" s="9">
        <f>IF(AN489=12,J489,0)</f>
        <v>0</v>
      </c>
      <c r="AL489" s="9">
        <f>IF(AN489=21,J489,0)</f>
        <v>0</v>
      </c>
      <c r="AN489" s="5">
        <v>21</v>
      </c>
      <c r="AO489" s="5">
        <f>G489*1</f>
        <v>0</v>
      </c>
      <c r="AP489" s="5">
        <f>G489*(1-1)</f>
        <v>0</v>
      </c>
      <c r="AQ489" s="10" t="s">
        <v>105</v>
      </c>
      <c r="AV489" s="5">
        <f>AW489+AX489</f>
        <v>0</v>
      </c>
      <c r="AW489" s="5">
        <f>F489*AO489</f>
        <v>0</v>
      </c>
      <c r="AX489" s="5">
        <f>F489*AP489</f>
        <v>0</v>
      </c>
      <c r="AY489" s="6" t="s">
        <v>673</v>
      </c>
      <c r="AZ489" s="6" t="s">
        <v>766</v>
      </c>
      <c r="BA489" s="3" t="s">
        <v>729</v>
      </c>
      <c r="BC489" s="5">
        <f>AW489+AX489</f>
        <v>0</v>
      </c>
      <c r="BD489" s="5">
        <f>G489/(100-BE489)*100</f>
        <v>0</v>
      </c>
      <c r="BE489" s="5">
        <v>0</v>
      </c>
      <c r="BF489" s="5">
        <f>489</f>
        <v>489</v>
      </c>
      <c r="BH489" s="9">
        <f>F489*AO489</f>
        <v>0</v>
      </c>
      <c r="BI489" s="9">
        <f>F489*AP489</f>
        <v>0</v>
      </c>
      <c r="BJ489" s="9">
        <f>F489*G489</f>
        <v>0</v>
      </c>
      <c r="BK489" s="9"/>
      <c r="BL489" s="5">
        <v>766</v>
      </c>
      <c r="BW489" s="5">
        <v>21</v>
      </c>
      <c r="BX489" s="8" t="s">
        <v>794</v>
      </c>
    </row>
    <row r="490" spans="1:76" x14ac:dyDescent="0.25">
      <c r="A490" s="154"/>
      <c r="B490" s="155"/>
      <c r="C490" s="159" t="s">
        <v>211</v>
      </c>
      <c r="D490" s="160" t="s">
        <v>795</v>
      </c>
      <c r="E490" s="155"/>
      <c r="F490" s="161">
        <v>26</v>
      </c>
      <c r="G490" s="155"/>
      <c r="H490" s="155"/>
      <c r="I490" s="155"/>
      <c r="J490" s="155"/>
      <c r="K490" s="162"/>
    </row>
    <row r="491" spans="1:76" ht="25.5" x14ac:dyDescent="0.25">
      <c r="A491" s="164" t="s">
        <v>796</v>
      </c>
      <c r="B491" s="165" t="s">
        <v>797</v>
      </c>
      <c r="C491" s="166" t="s">
        <v>798</v>
      </c>
      <c r="D491" s="167"/>
      <c r="E491" s="165" t="s">
        <v>300</v>
      </c>
      <c r="F491" s="168">
        <v>12</v>
      </c>
      <c r="G491" s="168">
        <v>0</v>
      </c>
      <c r="H491" s="168">
        <f>F491*AO491</f>
        <v>0</v>
      </c>
      <c r="I491" s="168">
        <f>F491*AP491</f>
        <v>0</v>
      </c>
      <c r="J491" s="168">
        <f>F491*G491</f>
        <v>0</v>
      </c>
      <c r="K491" s="169" t="s">
        <v>772</v>
      </c>
      <c r="Z491" s="5">
        <f>IF(AQ491="5",BJ491,0)</f>
        <v>0</v>
      </c>
      <c r="AB491" s="5">
        <f>IF(AQ491="1",BH491,0)</f>
        <v>0</v>
      </c>
      <c r="AC491" s="5">
        <f>IF(AQ491="1",BI491,0)</f>
        <v>0</v>
      </c>
      <c r="AD491" s="5">
        <f>IF(AQ491="7",BH491,0)</f>
        <v>0</v>
      </c>
      <c r="AE491" s="5">
        <f>IF(AQ491="7",BI491,0)</f>
        <v>0</v>
      </c>
      <c r="AF491" s="5">
        <f>IF(AQ491="2",BH491,0)</f>
        <v>0</v>
      </c>
      <c r="AG491" s="5">
        <f>IF(AQ491="2",BI491,0)</f>
        <v>0</v>
      </c>
      <c r="AH491" s="5">
        <f>IF(AQ491="0",BJ491,0)</f>
        <v>0</v>
      </c>
      <c r="AI491" s="3" t="s">
        <v>723</v>
      </c>
      <c r="AJ491" s="9">
        <f>IF(AN491=0,J491,0)</f>
        <v>0</v>
      </c>
      <c r="AK491" s="9">
        <f>IF(AN491=12,J491,0)</f>
        <v>0</v>
      </c>
      <c r="AL491" s="9">
        <f>IF(AN491=21,J491,0)</f>
        <v>0</v>
      </c>
      <c r="AN491" s="5">
        <v>21</v>
      </c>
      <c r="AO491" s="5">
        <f>G491*1</f>
        <v>0</v>
      </c>
      <c r="AP491" s="5">
        <f>G491*(1-1)</f>
        <v>0</v>
      </c>
      <c r="AQ491" s="10" t="s">
        <v>105</v>
      </c>
      <c r="AV491" s="5">
        <f>AW491+AX491</f>
        <v>0</v>
      </c>
      <c r="AW491" s="5">
        <f>F491*AO491</f>
        <v>0</v>
      </c>
      <c r="AX491" s="5">
        <f>F491*AP491</f>
        <v>0</v>
      </c>
      <c r="AY491" s="6" t="s">
        <v>673</v>
      </c>
      <c r="AZ491" s="6" t="s">
        <v>766</v>
      </c>
      <c r="BA491" s="3" t="s">
        <v>729</v>
      </c>
      <c r="BC491" s="5">
        <f>AW491+AX491</f>
        <v>0</v>
      </c>
      <c r="BD491" s="5">
        <f>G491/(100-BE491)*100</f>
        <v>0</v>
      </c>
      <c r="BE491" s="5">
        <v>0</v>
      </c>
      <c r="BF491" s="5">
        <f>491</f>
        <v>491</v>
      </c>
      <c r="BH491" s="9">
        <f>F491*AO491</f>
        <v>0</v>
      </c>
      <c r="BI491" s="9">
        <f>F491*AP491</f>
        <v>0</v>
      </c>
      <c r="BJ491" s="9">
        <f>F491*G491</f>
        <v>0</v>
      </c>
      <c r="BK491" s="9"/>
      <c r="BL491" s="5">
        <v>766</v>
      </c>
      <c r="BW491" s="5">
        <v>21</v>
      </c>
      <c r="BX491" s="8" t="s">
        <v>798</v>
      </c>
    </row>
    <row r="492" spans="1:76" x14ac:dyDescent="0.25">
      <c r="A492" s="154"/>
      <c r="B492" s="155"/>
      <c r="C492" s="159" t="s">
        <v>120</v>
      </c>
      <c r="D492" s="160" t="s">
        <v>799</v>
      </c>
      <c r="E492" s="155"/>
      <c r="F492" s="161">
        <v>12</v>
      </c>
      <c r="G492" s="155"/>
      <c r="H492" s="155"/>
      <c r="I492" s="155"/>
      <c r="J492" s="155"/>
      <c r="K492" s="162"/>
    </row>
    <row r="493" spans="1:76" ht="25.5" x14ac:dyDescent="0.25">
      <c r="A493" s="164" t="s">
        <v>800</v>
      </c>
      <c r="B493" s="165" t="s">
        <v>801</v>
      </c>
      <c r="C493" s="166" t="s">
        <v>802</v>
      </c>
      <c r="D493" s="167"/>
      <c r="E493" s="165" t="s">
        <v>300</v>
      </c>
      <c r="F493" s="168">
        <v>2</v>
      </c>
      <c r="G493" s="168">
        <v>0</v>
      </c>
      <c r="H493" s="168">
        <f>F493*AO493</f>
        <v>0</v>
      </c>
      <c r="I493" s="168">
        <f>F493*AP493</f>
        <v>0</v>
      </c>
      <c r="J493" s="168">
        <f>F493*G493</f>
        <v>0</v>
      </c>
      <c r="K493" s="169" t="s">
        <v>772</v>
      </c>
      <c r="Z493" s="5">
        <f>IF(AQ493="5",BJ493,0)</f>
        <v>0</v>
      </c>
      <c r="AB493" s="5">
        <f>IF(AQ493="1",BH493,0)</f>
        <v>0</v>
      </c>
      <c r="AC493" s="5">
        <f>IF(AQ493="1",BI493,0)</f>
        <v>0</v>
      </c>
      <c r="AD493" s="5">
        <f>IF(AQ493="7",BH493,0)</f>
        <v>0</v>
      </c>
      <c r="AE493" s="5">
        <f>IF(AQ493="7",BI493,0)</f>
        <v>0</v>
      </c>
      <c r="AF493" s="5">
        <f>IF(AQ493="2",BH493,0)</f>
        <v>0</v>
      </c>
      <c r="AG493" s="5">
        <f>IF(AQ493="2",BI493,0)</f>
        <v>0</v>
      </c>
      <c r="AH493" s="5">
        <f>IF(AQ493="0",BJ493,0)</f>
        <v>0</v>
      </c>
      <c r="AI493" s="3" t="s">
        <v>723</v>
      </c>
      <c r="AJ493" s="9">
        <f>IF(AN493=0,J493,0)</f>
        <v>0</v>
      </c>
      <c r="AK493" s="9">
        <f>IF(AN493=12,J493,0)</f>
        <v>0</v>
      </c>
      <c r="AL493" s="9">
        <f>IF(AN493=21,J493,0)</f>
        <v>0</v>
      </c>
      <c r="AN493" s="5">
        <v>21</v>
      </c>
      <c r="AO493" s="5">
        <f>G493*1</f>
        <v>0</v>
      </c>
      <c r="AP493" s="5">
        <f>G493*(1-1)</f>
        <v>0</v>
      </c>
      <c r="AQ493" s="10" t="s">
        <v>105</v>
      </c>
      <c r="AV493" s="5">
        <f>AW493+AX493</f>
        <v>0</v>
      </c>
      <c r="AW493" s="5">
        <f>F493*AO493</f>
        <v>0</v>
      </c>
      <c r="AX493" s="5">
        <f>F493*AP493</f>
        <v>0</v>
      </c>
      <c r="AY493" s="6" t="s">
        <v>673</v>
      </c>
      <c r="AZ493" s="6" t="s">
        <v>766</v>
      </c>
      <c r="BA493" s="3" t="s">
        <v>729</v>
      </c>
      <c r="BC493" s="5">
        <f>AW493+AX493</f>
        <v>0</v>
      </c>
      <c r="BD493" s="5">
        <f>G493/(100-BE493)*100</f>
        <v>0</v>
      </c>
      <c r="BE493" s="5">
        <v>0</v>
      </c>
      <c r="BF493" s="5">
        <f>493</f>
        <v>493</v>
      </c>
      <c r="BH493" s="9">
        <f>F493*AO493</f>
        <v>0</v>
      </c>
      <c r="BI493" s="9">
        <f>F493*AP493</f>
        <v>0</v>
      </c>
      <c r="BJ493" s="9">
        <f>F493*G493</f>
        <v>0</v>
      </c>
      <c r="BK493" s="9"/>
      <c r="BL493" s="5">
        <v>766</v>
      </c>
      <c r="BW493" s="5">
        <v>21</v>
      </c>
      <c r="BX493" s="8" t="s">
        <v>802</v>
      </c>
    </row>
    <row r="494" spans="1:76" x14ac:dyDescent="0.25">
      <c r="A494" s="154"/>
      <c r="B494" s="155"/>
      <c r="C494" s="159" t="s">
        <v>60</v>
      </c>
      <c r="D494" s="160" t="s">
        <v>803</v>
      </c>
      <c r="E494" s="155"/>
      <c r="F494" s="161">
        <v>2</v>
      </c>
      <c r="G494" s="155"/>
      <c r="H494" s="155"/>
      <c r="I494" s="155"/>
      <c r="J494" s="155"/>
      <c r="K494" s="162"/>
    </row>
    <row r="495" spans="1:76" ht="25.5" x14ac:dyDescent="0.25">
      <c r="A495" s="164" t="s">
        <v>804</v>
      </c>
      <c r="B495" s="165" t="s">
        <v>805</v>
      </c>
      <c r="C495" s="166" t="s">
        <v>806</v>
      </c>
      <c r="D495" s="167"/>
      <c r="E495" s="165" t="s">
        <v>300</v>
      </c>
      <c r="F495" s="168">
        <v>16</v>
      </c>
      <c r="G495" s="168">
        <v>0</v>
      </c>
      <c r="H495" s="168">
        <f>F495*AO495</f>
        <v>0</v>
      </c>
      <c r="I495" s="168">
        <f>F495*AP495</f>
        <v>0</v>
      </c>
      <c r="J495" s="168">
        <f>F495*G495</f>
        <v>0</v>
      </c>
      <c r="K495" s="169" t="s">
        <v>772</v>
      </c>
      <c r="Z495" s="5">
        <f>IF(AQ495="5",BJ495,0)</f>
        <v>0</v>
      </c>
      <c r="AB495" s="5">
        <f>IF(AQ495="1",BH495,0)</f>
        <v>0</v>
      </c>
      <c r="AC495" s="5">
        <f>IF(AQ495="1",BI495,0)</f>
        <v>0</v>
      </c>
      <c r="AD495" s="5">
        <f>IF(AQ495="7",BH495,0)</f>
        <v>0</v>
      </c>
      <c r="AE495" s="5">
        <f>IF(AQ495="7",BI495,0)</f>
        <v>0</v>
      </c>
      <c r="AF495" s="5">
        <f>IF(AQ495="2",BH495,0)</f>
        <v>0</v>
      </c>
      <c r="AG495" s="5">
        <f>IF(AQ495="2",BI495,0)</f>
        <v>0</v>
      </c>
      <c r="AH495" s="5">
        <f>IF(AQ495="0",BJ495,0)</f>
        <v>0</v>
      </c>
      <c r="AI495" s="3" t="s">
        <v>723</v>
      </c>
      <c r="AJ495" s="9">
        <f>IF(AN495=0,J495,0)</f>
        <v>0</v>
      </c>
      <c r="AK495" s="9">
        <f>IF(AN495=12,J495,0)</f>
        <v>0</v>
      </c>
      <c r="AL495" s="9">
        <f>IF(AN495=21,J495,0)</f>
        <v>0</v>
      </c>
      <c r="AN495" s="5">
        <v>21</v>
      </c>
      <c r="AO495" s="5">
        <f>G495*1</f>
        <v>0</v>
      </c>
      <c r="AP495" s="5">
        <f>G495*(1-1)</f>
        <v>0</v>
      </c>
      <c r="AQ495" s="10" t="s">
        <v>105</v>
      </c>
      <c r="AV495" s="5">
        <f>AW495+AX495</f>
        <v>0</v>
      </c>
      <c r="AW495" s="5">
        <f>F495*AO495</f>
        <v>0</v>
      </c>
      <c r="AX495" s="5">
        <f>F495*AP495</f>
        <v>0</v>
      </c>
      <c r="AY495" s="6" t="s">
        <v>673</v>
      </c>
      <c r="AZ495" s="6" t="s">
        <v>766</v>
      </c>
      <c r="BA495" s="3" t="s">
        <v>729</v>
      </c>
      <c r="BC495" s="5">
        <f>AW495+AX495</f>
        <v>0</v>
      </c>
      <c r="BD495" s="5">
        <f>G495/(100-BE495)*100</f>
        <v>0</v>
      </c>
      <c r="BE495" s="5">
        <v>0</v>
      </c>
      <c r="BF495" s="5">
        <f>495</f>
        <v>495</v>
      </c>
      <c r="BH495" s="9">
        <f>F495*AO495</f>
        <v>0</v>
      </c>
      <c r="BI495" s="9">
        <f>F495*AP495</f>
        <v>0</v>
      </c>
      <c r="BJ495" s="9">
        <f>F495*G495</f>
        <v>0</v>
      </c>
      <c r="BK495" s="9"/>
      <c r="BL495" s="5">
        <v>766</v>
      </c>
      <c r="BW495" s="5">
        <v>21</v>
      </c>
      <c r="BX495" s="8" t="s">
        <v>806</v>
      </c>
    </row>
    <row r="496" spans="1:76" x14ac:dyDescent="0.25">
      <c r="A496" s="154"/>
      <c r="B496" s="155"/>
      <c r="C496" s="159" t="s">
        <v>142</v>
      </c>
      <c r="D496" s="160" t="s">
        <v>803</v>
      </c>
      <c r="E496" s="155"/>
      <c r="F496" s="161">
        <v>16</v>
      </c>
      <c r="G496" s="155"/>
      <c r="H496" s="155"/>
      <c r="I496" s="155"/>
      <c r="J496" s="155"/>
      <c r="K496" s="162"/>
    </row>
    <row r="497" spans="1:76" ht="25.5" x14ac:dyDescent="0.25">
      <c r="A497" s="164" t="s">
        <v>807</v>
      </c>
      <c r="B497" s="165" t="s">
        <v>808</v>
      </c>
      <c r="C497" s="166" t="s">
        <v>809</v>
      </c>
      <c r="D497" s="167"/>
      <c r="E497" s="165" t="s">
        <v>300</v>
      </c>
      <c r="F497" s="168">
        <v>11</v>
      </c>
      <c r="G497" s="168">
        <v>0</v>
      </c>
      <c r="H497" s="168">
        <f>F497*AO497</f>
        <v>0</v>
      </c>
      <c r="I497" s="168">
        <f>F497*AP497</f>
        <v>0</v>
      </c>
      <c r="J497" s="168">
        <f>F497*G497</f>
        <v>0</v>
      </c>
      <c r="K497" s="169" t="s">
        <v>772</v>
      </c>
      <c r="Z497" s="5">
        <f>IF(AQ497="5",BJ497,0)</f>
        <v>0</v>
      </c>
      <c r="AB497" s="5">
        <f>IF(AQ497="1",BH497,0)</f>
        <v>0</v>
      </c>
      <c r="AC497" s="5">
        <f>IF(AQ497="1",BI497,0)</f>
        <v>0</v>
      </c>
      <c r="AD497" s="5">
        <f>IF(AQ497="7",BH497,0)</f>
        <v>0</v>
      </c>
      <c r="AE497" s="5">
        <f>IF(AQ497="7",BI497,0)</f>
        <v>0</v>
      </c>
      <c r="AF497" s="5">
        <f>IF(AQ497="2",BH497,0)</f>
        <v>0</v>
      </c>
      <c r="AG497" s="5">
        <f>IF(AQ497="2",BI497,0)</f>
        <v>0</v>
      </c>
      <c r="AH497" s="5">
        <f>IF(AQ497="0",BJ497,0)</f>
        <v>0</v>
      </c>
      <c r="AI497" s="3" t="s">
        <v>723</v>
      </c>
      <c r="AJ497" s="9">
        <f>IF(AN497=0,J497,0)</f>
        <v>0</v>
      </c>
      <c r="AK497" s="9">
        <f>IF(AN497=12,J497,0)</f>
        <v>0</v>
      </c>
      <c r="AL497" s="9">
        <f>IF(AN497=21,J497,0)</f>
        <v>0</v>
      </c>
      <c r="AN497" s="5">
        <v>21</v>
      </c>
      <c r="AO497" s="5">
        <f>G497*1</f>
        <v>0</v>
      </c>
      <c r="AP497" s="5">
        <f>G497*(1-1)</f>
        <v>0</v>
      </c>
      <c r="AQ497" s="10" t="s">
        <v>105</v>
      </c>
      <c r="AV497" s="5">
        <f>AW497+AX497</f>
        <v>0</v>
      </c>
      <c r="AW497" s="5">
        <f>F497*AO497</f>
        <v>0</v>
      </c>
      <c r="AX497" s="5">
        <f>F497*AP497</f>
        <v>0</v>
      </c>
      <c r="AY497" s="6" t="s">
        <v>673</v>
      </c>
      <c r="AZ497" s="6" t="s">
        <v>766</v>
      </c>
      <c r="BA497" s="3" t="s">
        <v>729</v>
      </c>
      <c r="BC497" s="5">
        <f>AW497+AX497</f>
        <v>0</v>
      </c>
      <c r="BD497" s="5">
        <f>G497/(100-BE497)*100</f>
        <v>0</v>
      </c>
      <c r="BE497" s="5">
        <v>0</v>
      </c>
      <c r="BF497" s="5">
        <f>497</f>
        <v>497</v>
      </c>
      <c r="BH497" s="9">
        <f>F497*AO497</f>
        <v>0</v>
      </c>
      <c r="BI497" s="9">
        <f>F497*AP497</f>
        <v>0</v>
      </c>
      <c r="BJ497" s="9">
        <f>F497*G497</f>
        <v>0</v>
      </c>
      <c r="BK497" s="9"/>
      <c r="BL497" s="5">
        <v>766</v>
      </c>
      <c r="BW497" s="5">
        <v>21</v>
      </c>
      <c r="BX497" s="8" t="s">
        <v>809</v>
      </c>
    </row>
    <row r="498" spans="1:76" x14ac:dyDescent="0.25">
      <c r="A498" s="154"/>
      <c r="B498" s="155"/>
      <c r="C498" s="159" t="s">
        <v>117</v>
      </c>
      <c r="D498" s="160" t="s">
        <v>810</v>
      </c>
      <c r="E498" s="155"/>
      <c r="F498" s="161">
        <v>11</v>
      </c>
      <c r="G498" s="155"/>
      <c r="H498" s="155"/>
      <c r="I498" s="155"/>
      <c r="J498" s="155"/>
      <c r="K498" s="162"/>
    </row>
    <row r="499" spans="1:76" ht="25.5" x14ac:dyDescent="0.25">
      <c r="A499" s="164" t="s">
        <v>811</v>
      </c>
      <c r="B499" s="165" t="s">
        <v>812</v>
      </c>
      <c r="C499" s="166" t="s">
        <v>813</v>
      </c>
      <c r="D499" s="167"/>
      <c r="E499" s="165" t="s">
        <v>300</v>
      </c>
      <c r="F499" s="168">
        <v>16</v>
      </c>
      <c r="G499" s="168">
        <v>0</v>
      </c>
      <c r="H499" s="168">
        <f>F499*AO499</f>
        <v>0</v>
      </c>
      <c r="I499" s="168">
        <f>F499*AP499</f>
        <v>0</v>
      </c>
      <c r="J499" s="168">
        <f>F499*G499</f>
        <v>0</v>
      </c>
      <c r="K499" s="169" t="s">
        <v>772</v>
      </c>
      <c r="Z499" s="5">
        <f>IF(AQ499="5",BJ499,0)</f>
        <v>0</v>
      </c>
      <c r="AB499" s="5">
        <f>IF(AQ499="1",BH499,0)</f>
        <v>0</v>
      </c>
      <c r="AC499" s="5">
        <f>IF(AQ499="1",BI499,0)</f>
        <v>0</v>
      </c>
      <c r="AD499" s="5">
        <f>IF(AQ499="7",BH499,0)</f>
        <v>0</v>
      </c>
      <c r="AE499" s="5">
        <f>IF(AQ499="7",BI499,0)</f>
        <v>0</v>
      </c>
      <c r="AF499" s="5">
        <f>IF(AQ499="2",BH499,0)</f>
        <v>0</v>
      </c>
      <c r="AG499" s="5">
        <f>IF(AQ499="2",BI499,0)</f>
        <v>0</v>
      </c>
      <c r="AH499" s="5">
        <f>IF(AQ499="0",BJ499,0)</f>
        <v>0</v>
      </c>
      <c r="AI499" s="3" t="s">
        <v>723</v>
      </c>
      <c r="AJ499" s="9">
        <f>IF(AN499=0,J499,0)</f>
        <v>0</v>
      </c>
      <c r="AK499" s="9">
        <f>IF(AN499=12,J499,0)</f>
        <v>0</v>
      </c>
      <c r="AL499" s="9">
        <f>IF(AN499=21,J499,0)</f>
        <v>0</v>
      </c>
      <c r="AN499" s="5">
        <v>21</v>
      </c>
      <c r="AO499" s="5">
        <f>G499*1</f>
        <v>0</v>
      </c>
      <c r="AP499" s="5">
        <f>G499*(1-1)</f>
        <v>0</v>
      </c>
      <c r="AQ499" s="10" t="s">
        <v>105</v>
      </c>
      <c r="AV499" s="5">
        <f>AW499+AX499</f>
        <v>0</v>
      </c>
      <c r="AW499" s="5">
        <f>F499*AO499</f>
        <v>0</v>
      </c>
      <c r="AX499" s="5">
        <f>F499*AP499</f>
        <v>0</v>
      </c>
      <c r="AY499" s="6" t="s">
        <v>673</v>
      </c>
      <c r="AZ499" s="6" t="s">
        <v>766</v>
      </c>
      <c r="BA499" s="3" t="s">
        <v>729</v>
      </c>
      <c r="BC499" s="5">
        <f>AW499+AX499</f>
        <v>0</v>
      </c>
      <c r="BD499" s="5">
        <f>G499/(100-BE499)*100</f>
        <v>0</v>
      </c>
      <c r="BE499" s="5">
        <v>0</v>
      </c>
      <c r="BF499" s="5">
        <f>499</f>
        <v>499</v>
      </c>
      <c r="BH499" s="9">
        <f>F499*AO499</f>
        <v>0</v>
      </c>
      <c r="BI499" s="9">
        <f>F499*AP499</f>
        <v>0</v>
      </c>
      <c r="BJ499" s="9">
        <f>F499*G499</f>
        <v>0</v>
      </c>
      <c r="BK499" s="9"/>
      <c r="BL499" s="5">
        <v>766</v>
      </c>
      <c r="BW499" s="5">
        <v>21</v>
      </c>
      <c r="BX499" s="8" t="s">
        <v>813</v>
      </c>
    </row>
    <row r="500" spans="1:76" x14ac:dyDescent="0.25">
      <c r="A500" s="154"/>
      <c r="B500" s="155"/>
      <c r="C500" s="159" t="s">
        <v>142</v>
      </c>
      <c r="D500" s="160" t="s">
        <v>810</v>
      </c>
      <c r="E500" s="155"/>
      <c r="F500" s="161">
        <v>16</v>
      </c>
      <c r="G500" s="155"/>
      <c r="H500" s="155"/>
      <c r="I500" s="155"/>
      <c r="J500" s="155"/>
      <c r="K500" s="162"/>
    </row>
    <row r="501" spans="1:76" x14ac:dyDescent="0.25">
      <c r="A501" s="146" t="s">
        <v>814</v>
      </c>
      <c r="B501" s="149" t="s">
        <v>815</v>
      </c>
      <c r="C501" s="116" t="s">
        <v>816</v>
      </c>
      <c r="D501" s="112"/>
      <c r="E501" s="149" t="s">
        <v>372</v>
      </c>
      <c r="F501" s="152">
        <v>82780</v>
      </c>
      <c r="G501" s="152">
        <v>0</v>
      </c>
      <c r="H501" s="152">
        <f>F501*AO501</f>
        <v>0</v>
      </c>
      <c r="I501" s="152">
        <f>F501*AP501</f>
        <v>0</v>
      </c>
      <c r="J501" s="152">
        <f>F501*G501</f>
        <v>0</v>
      </c>
      <c r="K501" s="153" t="s">
        <v>70</v>
      </c>
      <c r="Z501" s="5">
        <f>IF(AQ501="5",BJ501,0)</f>
        <v>0</v>
      </c>
      <c r="AB501" s="5">
        <f>IF(AQ501="1",BH501,0)</f>
        <v>0</v>
      </c>
      <c r="AC501" s="5">
        <f>IF(AQ501="1",BI501,0)</f>
        <v>0</v>
      </c>
      <c r="AD501" s="5">
        <f>IF(AQ501="7",BH501,0)</f>
        <v>0</v>
      </c>
      <c r="AE501" s="5">
        <f>IF(AQ501="7",BI501,0)</f>
        <v>0</v>
      </c>
      <c r="AF501" s="5">
        <f>IF(AQ501="2",BH501,0)</f>
        <v>0</v>
      </c>
      <c r="AG501" s="5">
        <f>IF(AQ501="2",BI501,0)</f>
        <v>0</v>
      </c>
      <c r="AH501" s="5">
        <f>IF(AQ501="0",BJ501,0)</f>
        <v>0</v>
      </c>
      <c r="AI501" s="3" t="s">
        <v>723</v>
      </c>
      <c r="AJ501" s="5">
        <f>IF(AN501=0,J501,0)</f>
        <v>0</v>
      </c>
      <c r="AK501" s="5">
        <f>IF(AN501=12,J501,0)</f>
        <v>0</v>
      </c>
      <c r="AL501" s="5">
        <f>IF(AN501=21,J501,0)</f>
        <v>0</v>
      </c>
      <c r="AN501" s="5">
        <v>21</v>
      </c>
      <c r="AO501" s="5">
        <f>G501*0</f>
        <v>0</v>
      </c>
      <c r="AP501" s="5">
        <f>G501*(1-0)</f>
        <v>0</v>
      </c>
      <c r="AQ501" s="6" t="s">
        <v>96</v>
      </c>
      <c r="AV501" s="5">
        <f>AW501+AX501</f>
        <v>0</v>
      </c>
      <c r="AW501" s="5">
        <f>F501*AO501</f>
        <v>0</v>
      </c>
      <c r="AX501" s="5">
        <f>F501*AP501</f>
        <v>0</v>
      </c>
      <c r="AY501" s="6" t="s">
        <v>673</v>
      </c>
      <c r="AZ501" s="6" t="s">
        <v>766</v>
      </c>
      <c r="BA501" s="3" t="s">
        <v>729</v>
      </c>
      <c r="BC501" s="5">
        <f>AW501+AX501</f>
        <v>0</v>
      </c>
      <c r="BD501" s="5">
        <f>G501/(100-BE501)*100</f>
        <v>0</v>
      </c>
      <c r="BE501" s="5">
        <v>0</v>
      </c>
      <c r="BF501" s="5">
        <f>501</f>
        <v>501</v>
      </c>
      <c r="BH501" s="5">
        <f>F501*AO501</f>
        <v>0</v>
      </c>
      <c r="BI501" s="5">
        <f>F501*AP501</f>
        <v>0</v>
      </c>
      <c r="BJ501" s="5">
        <f>F501*G501</f>
        <v>0</v>
      </c>
      <c r="BK501" s="5"/>
      <c r="BL501" s="5">
        <v>766</v>
      </c>
      <c r="BW501" s="5">
        <v>21</v>
      </c>
      <c r="BX501" s="2" t="s">
        <v>816</v>
      </c>
    </row>
    <row r="502" spans="1:76" x14ac:dyDescent="0.25">
      <c r="A502" s="154"/>
      <c r="B502" s="155"/>
      <c r="C502" s="159" t="s">
        <v>817</v>
      </c>
      <c r="D502" s="160" t="s">
        <v>52</v>
      </c>
      <c r="E502" s="155"/>
      <c r="F502" s="161">
        <v>82780</v>
      </c>
      <c r="G502" s="155"/>
      <c r="H502" s="155"/>
      <c r="I502" s="155"/>
      <c r="J502" s="155"/>
      <c r="K502" s="162"/>
    </row>
    <row r="503" spans="1:76" x14ac:dyDescent="0.25">
      <c r="A503" s="146" t="s">
        <v>52</v>
      </c>
      <c r="B503" s="147" t="s">
        <v>65</v>
      </c>
      <c r="C503" s="148" t="s">
        <v>66</v>
      </c>
      <c r="D503" s="113"/>
      <c r="E503" s="149" t="s">
        <v>33</v>
      </c>
      <c r="F503" s="149" t="s">
        <v>33</v>
      </c>
      <c r="G503" s="149" t="s">
        <v>33</v>
      </c>
      <c r="H503" s="150">
        <f>SUM(H504:H504)</f>
        <v>0</v>
      </c>
      <c r="I503" s="150">
        <f>SUM(I504:I504)</f>
        <v>0</v>
      </c>
      <c r="J503" s="150">
        <f>SUM(J504:J504)</f>
        <v>0</v>
      </c>
      <c r="K503" s="151" t="s">
        <v>52</v>
      </c>
      <c r="AI503" s="3" t="s">
        <v>723</v>
      </c>
      <c r="AS503" s="1">
        <f>SUM(AJ504:AJ504)</f>
        <v>0</v>
      </c>
      <c r="AT503" s="1">
        <f>SUM(AK504:AK504)</f>
        <v>0</v>
      </c>
      <c r="AU503" s="1">
        <f>SUM(AL504:AL504)</f>
        <v>0</v>
      </c>
    </row>
    <row r="504" spans="1:76" x14ac:dyDescent="0.25">
      <c r="A504" s="146" t="s">
        <v>818</v>
      </c>
      <c r="B504" s="149" t="s">
        <v>819</v>
      </c>
      <c r="C504" s="116" t="s">
        <v>820</v>
      </c>
      <c r="D504" s="112"/>
      <c r="E504" s="149" t="s">
        <v>69</v>
      </c>
      <c r="F504" s="152">
        <v>102.18</v>
      </c>
      <c r="G504" s="152">
        <v>0</v>
      </c>
      <c r="H504" s="152">
        <f>F504*AO504</f>
        <v>0</v>
      </c>
      <c r="I504" s="152">
        <f>F504*AP504</f>
        <v>0</v>
      </c>
      <c r="J504" s="152">
        <f>F504*G504</f>
        <v>0</v>
      </c>
      <c r="K504" s="153" t="s">
        <v>70</v>
      </c>
      <c r="Z504" s="5">
        <f>IF(AQ504="5",BJ504,0)</f>
        <v>0</v>
      </c>
      <c r="AB504" s="5">
        <f>IF(AQ504="1",BH504,0)</f>
        <v>0</v>
      </c>
      <c r="AC504" s="5">
        <f>IF(AQ504="1",BI504,0)</f>
        <v>0</v>
      </c>
      <c r="AD504" s="5">
        <f>IF(AQ504="7",BH504,0)</f>
        <v>0</v>
      </c>
      <c r="AE504" s="5">
        <f>IF(AQ504="7",BI504,0)</f>
        <v>0</v>
      </c>
      <c r="AF504" s="5">
        <f>IF(AQ504="2",BH504,0)</f>
        <v>0</v>
      </c>
      <c r="AG504" s="5">
        <f>IF(AQ504="2",BI504,0)</f>
        <v>0</v>
      </c>
      <c r="AH504" s="5">
        <f>IF(AQ504="0",BJ504,0)</f>
        <v>0</v>
      </c>
      <c r="AI504" s="3" t="s">
        <v>723</v>
      </c>
      <c r="AJ504" s="5">
        <f>IF(AN504=0,J504,0)</f>
        <v>0</v>
      </c>
      <c r="AK504" s="5">
        <f>IF(AN504=12,J504,0)</f>
        <v>0</v>
      </c>
      <c r="AL504" s="5">
        <f>IF(AN504=21,J504,0)</f>
        <v>0</v>
      </c>
      <c r="AN504" s="5">
        <v>21</v>
      </c>
      <c r="AO504" s="5">
        <f>G504*0.326186686</f>
        <v>0</v>
      </c>
      <c r="AP504" s="5">
        <f>G504*(1-0.326186686)</f>
        <v>0</v>
      </c>
      <c r="AQ504" s="6" t="s">
        <v>57</v>
      </c>
      <c r="AV504" s="5">
        <f>AW504+AX504</f>
        <v>0</v>
      </c>
      <c r="AW504" s="5">
        <f>F504*AO504</f>
        <v>0</v>
      </c>
      <c r="AX504" s="5">
        <f>F504*AP504</f>
        <v>0</v>
      </c>
      <c r="AY504" s="6" t="s">
        <v>71</v>
      </c>
      <c r="AZ504" s="6" t="s">
        <v>821</v>
      </c>
      <c r="BA504" s="3" t="s">
        <v>729</v>
      </c>
      <c r="BC504" s="5">
        <f>AW504+AX504</f>
        <v>0</v>
      </c>
      <c r="BD504" s="5">
        <f>G504/(100-BE504)*100</f>
        <v>0</v>
      </c>
      <c r="BE504" s="5">
        <v>0</v>
      </c>
      <c r="BF504" s="5">
        <f>504</f>
        <v>504</v>
      </c>
      <c r="BH504" s="5">
        <f>F504*AO504</f>
        <v>0</v>
      </c>
      <c r="BI504" s="5">
        <f>F504*AP504</f>
        <v>0</v>
      </c>
      <c r="BJ504" s="5">
        <f>F504*G504</f>
        <v>0</v>
      </c>
      <c r="BK504" s="5"/>
      <c r="BL504" s="5">
        <v>94</v>
      </c>
      <c r="BW504" s="5">
        <v>21</v>
      </c>
      <c r="BX504" s="2" t="s">
        <v>820</v>
      </c>
    </row>
    <row r="505" spans="1:76" x14ac:dyDescent="0.25">
      <c r="A505" s="154"/>
      <c r="B505" s="155"/>
      <c r="C505" s="159" t="s">
        <v>822</v>
      </c>
      <c r="D505" s="160" t="s">
        <v>823</v>
      </c>
      <c r="E505" s="155"/>
      <c r="F505" s="161">
        <v>102.18</v>
      </c>
      <c r="G505" s="155"/>
      <c r="H505" s="155"/>
      <c r="I505" s="155"/>
      <c r="J505" s="155"/>
      <c r="K505" s="162"/>
    </row>
    <row r="506" spans="1:76" x14ac:dyDescent="0.25">
      <c r="A506" s="146" t="s">
        <v>52</v>
      </c>
      <c r="B506" s="147" t="s">
        <v>52</v>
      </c>
      <c r="C506" s="148" t="s">
        <v>824</v>
      </c>
      <c r="D506" s="113"/>
      <c r="E506" s="149" t="s">
        <v>33</v>
      </c>
      <c r="F506" s="149" t="s">
        <v>33</v>
      </c>
      <c r="G506" s="149" t="s">
        <v>33</v>
      </c>
      <c r="H506" s="150">
        <f>H507+H522+H533+H543</f>
        <v>0</v>
      </c>
      <c r="I506" s="150">
        <f>I507+I522+I533+I543</f>
        <v>0</v>
      </c>
      <c r="J506" s="150">
        <f>J507+J522+J533+J543</f>
        <v>0</v>
      </c>
      <c r="K506" s="151" t="s">
        <v>52</v>
      </c>
    </row>
    <row r="507" spans="1:76" x14ac:dyDescent="0.25">
      <c r="A507" s="146" t="s">
        <v>52</v>
      </c>
      <c r="B507" s="147" t="s">
        <v>825</v>
      </c>
      <c r="C507" s="148" t="s">
        <v>826</v>
      </c>
      <c r="D507" s="113"/>
      <c r="E507" s="149" t="s">
        <v>33</v>
      </c>
      <c r="F507" s="149" t="s">
        <v>33</v>
      </c>
      <c r="G507" s="149" t="s">
        <v>33</v>
      </c>
      <c r="H507" s="150">
        <f>SUM(H508:H520)</f>
        <v>0</v>
      </c>
      <c r="I507" s="150">
        <f>SUM(I508:I520)</f>
        <v>0</v>
      </c>
      <c r="J507" s="150">
        <f>SUM(J508:J520)</f>
        <v>0</v>
      </c>
      <c r="K507" s="151" t="s">
        <v>52</v>
      </c>
      <c r="AI507" s="3" t="s">
        <v>827</v>
      </c>
      <c r="AS507" s="1">
        <f>SUM(AJ508:AJ520)</f>
        <v>0</v>
      </c>
      <c r="AT507" s="1">
        <f>SUM(AK508:AK520)</f>
        <v>0</v>
      </c>
      <c r="AU507" s="1">
        <f>SUM(AL508:AL520)</f>
        <v>0</v>
      </c>
    </row>
    <row r="508" spans="1:76" x14ac:dyDescent="0.25">
      <c r="A508" s="146" t="s">
        <v>828</v>
      </c>
      <c r="B508" s="149" t="s">
        <v>829</v>
      </c>
      <c r="C508" s="116" t="s">
        <v>830</v>
      </c>
      <c r="D508" s="112"/>
      <c r="E508" s="149" t="s">
        <v>197</v>
      </c>
      <c r="F508" s="152">
        <v>3.4</v>
      </c>
      <c r="G508" s="152">
        <v>0</v>
      </c>
      <c r="H508" s="152">
        <f>F508*AO508</f>
        <v>0</v>
      </c>
      <c r="I508" s="152">
        <f>F508*AP508</f>
        <v>0</v>
      </c>
      <c r="J508" s="152">
        <f>F508*G508</f>
        <v>0</v>
      </c>
      <c r="K508" s="153" t="s">
        <v>70</v>
      </c>
      <c r="Z508" s="5">
        <f>IF(AQ508="5",BJ508,0)</f>
        <v>0</v>
      </c>
      <c r="AB508" s="5">
        <f>IF(AQ508="1",BH508,0)</f>
        <v>0</v>
      </c>
      <c r="AC508" s="5">
        <f>IF(AQ508="1",BI508,0)</f>
        <v>0</v>
      </c>
      <c r="AD508" s="5">
        <f>IF(AQ508="7",BH508,0)</f>
        <v>0</v>
      </c>
      <c r="AE508" s="5">
        <f>IF(AQ508="7",BI508,0)</f>
        <v>0</v>
      </c>
      <c r="AF508" s="5">
        <f>IF(AQ508="2",BH508,0)</f>
        <v>0</v>
      </c>
      <c r="AG508" s="5">
        <f>IF(AQ508="2",BI508,0)</f>
        <v>0</v>
      </c>
      <c r="AH508" s="5">
        <f>IF(AQ508="0",BJ508,0)</f>
        <v>0</v>
      </c>
      <c r="AI508" s="3" t="s">
        <v>827</v>
      </c>
      <c r="AJ508" s="5">
        <f>IF(AN508=0,J508,0)</f>
        <v>0</v>
      </c>
      <c r="AK508" s="5">
        <f>IF(AN508=12,J508,0)</f>
        <v>0</v>
      </c>
      <c r="AL508" s="5">
        <f>IF(AN508=21,J508,0)</f>
        <v>0</v>
      </c>
      <c r="AN508" s="5">
        <v>21</v>
      </c>
      <c r="AO508" s="5">
        <f>G508*0</f>
        <v>0</v>
      </c>
      <c r="AP508" s="5">
        <f>G508*(1-0)</f>
        <v>0</v>
      </c>
      <c r="AQ508" s="6" t="s">
        <v>105</v>
      </c>
      <c r="AV508" s="5">
        <f>AW508+AX508</f>
        <v>0</v>
      </c>
      <c r="AW508" s="5">
        <f>F508*AO508</f>
        <v>0</v>
      </c>
      <c r="AX508" s="5">
        <f>F508*AP508</f>
        <v>0</v>
      </c>
      <c r="AY508" s="6" t="s">
        <v>831</v>
      </c>
      <c r="AZ508" s="6" t="s">
        <v>832</v>
      </c>
      <c r="BA508" s="3" t="s">
        <v>833</v>
      </c>
      <c r="BC508" s="5">
        <f>AW508+AX508</f>
        <v>0</v>
      </c>
      <c r="BD508" s="5">
        <f>G508/(100-BE508)*100</f>
        <v>0</v>
      </c>
      <c r="BE508" s="5">
        <v>0</v>
      </c>
      <c r="BF508" s="5">
        <f>508</f>
        <v>508</v>
      </c>
      <c r="BH508" s="5">
        <f>F508*AO508</f>
        <v>0</v>
      </c>
      <c r="BI508" s="5">
        <f>F508*AP508</f>
        <v>0</v>
      </c>
      <c r="BJ508" s="5">
        <f>F508*G508</f>
        <v>0</v>
      </c>
      <c r="BK508" s="5"/>
      <c r="BL508" s="5">
        <v>763</v>
      </c>
      <c r="BW508" s="5">
        <v>21</v>
      </c>
      <c r="BX508" s="2" t="s">
        <v>830</v>
      </c>
    </row>
    <row r="509" spans="1:76" ht="13.5" customHeight="1" x14ac:dyDescent="0.25">
      <c r="A509" s="154"/>
      <c r="B509" s="155"/>
      <c r="C509" s="156" t="s">
        <v>834</v>
      </c>
      <c r="D509" s="157"/>
      <c r="E509" s="157"/>
      <c r="F509" s="157"/>
      <c r="G509" s="157"/>
      <c r="H509" s="157"/>
      <c r="I509" s="157"/>
      <c r="J509" s="157"/>
      <c r="K509" s="158"/>
    </row>
    <row r="510" spans="1:76" x14ac:dyDescent="0.25">
      <c r="A510" s="154"/>
      <c r="B510" s="155"/>
      <c r="C510" s="159" t="s">
        <v>835</v>
      </c>
      <c r="D510" s="160" t="s">
        <v>836</v>
      </c>
      <c r="E510" s="155"/>
      <c r="F510" s="161">
        <v>2.1</v>
      </c>
      <c r="G510" s="155"/>
      <c r="H510" s="155"/>
      <c r="I510" s="155"/>
      <c r="J510" s="155"/>
      <c r="K510" s="162"/>
    </row>
    <row r="511" spans="1:76" x14ac:dyDescent="0.25">
      <c r="A511" s="154"/>
      <c r="B511" s="155"/>
      <c r="C511" s="159" t="s">
        <v>837</v>
      </c>
      <c r="D511" s="160" t="s">
        <v>838</v>
      </c>
      <c r="E511" s="155"/>
      <c r="F511" s="161">
        <v>1.3</v>
      </c>
      <c r="G511" s="155"/>
      <c r="H511" s="155"/>
      <c r="I511" s="155"/>
      <c r="J511" s="155"/>
      <c r="K511" s="162"/>
    </row>
    <row r="512" spans="1:76" x14ac:dyDescent="0.25">
      <c r="A512" s="154"/>
      <c r="B512" s="163" t="s">
        <v>85</v>
      </c>
      <c r="C512" s="156" t="s">
        <v>839</v>
      </c>
      <c r="D512" s="157"/>
      <c r="E512" s="157"/>
      <c r="F512" s="157"/>
      <c r="G512" s="157"/>
      <c r="H512" s="157"/>
      <c r="I512" s="157"/>
      <c r="J512" s="157"/>
      <c r="K512" s="158"/>
      <c r="BX512" s="7" t="s">
        <v>839</v>
      </c>
    </row>
    <row r="513" spans="1:76" x14ac:dyDescent="0.25">
      <c r="A513" s="164" t="s">
        <v>840</v>
      </c>
      <c r="B513" s="165" t="s">
        <v>841</v>
      </c>
      <c r="C513" s="166" t="s">
        <v>842</v>
      </c>
      <c r="D513" s="167"/>
      <c r="E513" s="165" t="s">
        <v>197</v>
      </c>
      <c r="F513" s="168">
        <v>31.46</v>
      </c>
      <c r="G513" s="168">
        <v>0</v>
      </c>
      <c r="H513" s="168">
        <f>F513*AO513</f>
        <v>0</v>
      </c>
      <c r="I513" s="168">
        <f>F513*AP513</f>
        <v>0</v>
      </c>
      <c r="J513" s="168">
        <f>F513*G513</f>
        <v>0</v>
      </c>
      <c r="K513" s="169" t="s">
        <v>70</v>
      </c>
      <c r="Z513" s="5">
        <f>IF(AQ513="5",BJ513,0)</f>
        <v>0</v>
      </c>
      <c r="AB513" s="5">
        <f>IF(AQ513="1",BH513,0)</f>
        <v>0</v>
      </c>
      <c r="AC513" s="5">
        <f>IF(AQ513="1",BI513,0)</f>
        <v>0</v>
      </c>
      <c r="AD513" s="5">
        <f>IF(AQ513="7",BH513,0)</f>
        <v>0</v>
      </c>
      <c r="AE513" s="5">
        <f>IF(AQ513="7",BI513,0)</f>
        <v>0</v>
      </c>
      <c r="AF513" s="5">
        <f>IF(AQ513="2",BH513,0)</f>
        <v>0</v>
      </c>
      <c r="AG513" s="5">
        <f>IF(AQ513="2",BI513,0)</f>
        <v>0</v>
      </c>
      <c r="AH513" s="5">
        <f>IF(AQ513="0",BJ513,0)</f>
        <v>0</v>
      </c>
      <c r="AI513" s="3" t="s">
        <v>827</v>
      </c>
      <c r="AJ513" s="9">
        <f>IF(AN513=0,J513,0)</f>
        <v>0</v>
      </c>
      <c r="AK513" s="9">
        <f>IF(AN513=12,J513,0)</f>
        <v>0</v>
      </c>
      <c r="AL513" s="9">
        <f>IF(AN513=21,J513,0)</f>
        <v>0</v>
      </c>
      <c r="AN513" s="5">
        <v>21</v>
      </c>
      <c r="AO513" s="5">
        <f>G513*1</f>
        <v>0</v>
      </c>
      <c r="AP513" s="5">
        <f>G513*(1-1)</f>
        <v>0</v>
      </c>
      <c r="AQ513" s="10" t="s">
        <v>105</v>
      </c>
      <c r="AV513" s="5">
        <f>AW513+AX513</f>
        <v>0</v>
      </c>
      <c r="AW513" s="5">
        <f>F513*AO513</f>
        <v>0</v>
      </c>
      <c r="AX513" s="5">
        <f>F513*AP513</f>
        <v>0</v>
      </c>
      <c r="AY513" s="6" t="s">
        <v>831</v>
      </c>
      <c r="AZ513" s="6" t="s">
        <v>832</v>
      </c>
      <c r="BA513" s="3" t="s">
        <v>833</v>
      </c>
      <c r="BC513" s="5">
        <f>AW513+AX513</f>
        <v>0</v>
      </c>
      <c r="BD513" s="5">
        <f>G513/(100-BE513)*100</f>
        <v>0</v>
      </c>
      <c r="BE513" s="5">
        <v>0</v>
      </c>
      <c r="BF513" s="5">
        <f>513</f>
        <v>513</v>
      </c>
      <c r="BH513" s="9">
        <f>F513*AO513</f>
        <v>0</v>
      </c>
      <c r="BI513" s="9">
        <f>F513*AP513</f>
        <v>0</v>
      </c>
      <c r="BJ513" s="9">
        <f>F513*G513</f>
        <v>0</v>
      </c>
      <c r="BK513" s="9"/>
      <c r="BL513" s="5">
        <v>763</v>
      </c>
      <c r="BW513" s="5">
        <v>21</v>
      </c>
      <c r="BX513" s="8" t="s">
        <v>842</v>
      </c>
    </row>
    <row r="514" spans="1:76" x14ac:dyDescent="0.25">
      <c r="A514" s="154"/>
      <c r="B514" s="155"/>
      <c r="C514" s="159" t="s">
        <v>843</v>
      </c>
      <c r="D514" s="160" t="s">
        <v>838</v>
      </c>
      <c r="E514" s="155"/>
      <c r="F514" s="161">
        <v>28.6</v>
      </c>
      <c r="G514" s="155"/>
      <c r="H514" s="155"/>
      <c r="I514" s="155"/>
      <c r="J514" s="155"/>
      <c r="K514" s="162"/>
    </row>
    <row r="515" spans="1:76" x14ac:dyDescent="0.25">
      <c r="A515" s="154"/>
      <c r="B515" s="155"/>
      <c r="C515" s="159" t="s">
        <v>844</v>
      </c>
      <c r="D515" s="160" t="s">
        <v>52</v>
      </c>
      <c r="E515" s="155"/>
      <c r="F515" s="161">
        <v>2.86</v>
      </c>
      <c r="G515" s="155"/>
      <c r="H515" s="155"/>
      <c r="I515" s="155"/>
      <c r="J515" s="155"/>
      <c r="K515" s="162"/>
    </row>
    <row r="516" spans="1:76" x14ac:dyDescent="0.25">
      <c r="A516" s="154"/>
      <c r="B516" s="163" t="s">
        <v>85</v>
      </c>
      <c r="C516" s="156" t="s">
        <v>845</v>
      </c>
      <c r="D516" s="157"/>
      <c r="E516" s="157"/>
      <c r="F516" s="157"/>
      <c r="G516" s="157"/>
      <c r="H516" s="157"/>
      <c r="I516" s="157"/>
      <c r="J516" s="157"/>
      <c r="K516" s="158"/>
      <c r="BX516" s="11" t="s">
        <v>845</v>
      </c>
    </row>
    <row r="517" spans="1:76" x14ac:dyDescent="0.25">
      <c r="A517" s="164" t="s">
        <v>846</v>
      </c>
      <c r="B517" s="165" t="s">
        <v>847</v>
      </c>
      <c r="C517" s="166" t="s">
        <v>848</v>
      </c>
      <c r="D517" s="167"/>
      <c r="E517" s="165" t="s">
        <v>206</v>
      </c>
      <c r="F517" s="168">
        <v>0.24393999999999999</v>
      </c>
      <c r="G517" s="168">
        <v>0</v>
      </c>
      <c r="H517" s="168">
        <f>F517*AO517</f>
        <v>0</v>
      </c>
      <c r="I517" s="168">
        <f>F517*AP517</f>
        <v>0</v>
      </c>
      <c r="J517" s="168">
        <f>F517*G517</f>
        <v>0</v>
      </c>
      <c r="K517" s="169" t="s">
        <v>70</v>
      </c>
      <c r="Z517" s="5">
        <f>IF(AQ517="5",BJ517,0)</f>
        <v>0</v>
      </c>
      <c r="AB517" s="5">
        <f>IF(AQ517="1",BH517,0)</f>
        <v>0</v>
      </c>
      <c r="AC517" s="5">
        <f>IF(AQ517="1",BI517,0)</f>
        <v>0</v>
      </c>
      <c r="AD517" s="5">
        <f>IF(AQ517="7",BH517,0)</f>
        <v>0</v>
      </c>
      <c r="AE517" s="5">
        <f>IF(AQ517="7",BI517,0)</f>
        <v>0</v>
      </c>
      <c r="AF517" s="5">
        <f>IF(AQ517="2",BH517,0)</f>
        <v>0</v>
      </c>
      <c r="AG517" s="5">
        <f>IF(AQ517="2",BI517,0)</f>
        <v>0</v>
      </c>
      <c r="AH517" s="5">
        <f>IF(AQ517="0",BJ517,0)</f>
        <v>0</v>
      </c>
      <c r="AI517" s="3" t="s">
        <v>827</v>
      </c>
      <c r="AJ517" s="9">
        <f>IF(AN517=0,J517,0)</f>
        <v>0</v>
      </c>
      <c r="AK517" s="9">
        <f>IF(AN517=12,J517,0)</f>
        <v>0</v>
      </c>
      <c r="AL517" s="9">
        <f>IF(AN517=21,J517,0)</f>
        <v>0</v>
      </c>
      <c r="AN517" s="5">
        <v>21</v>
      </c>
      <c r="AO517" s="5">
        <f>G517*1</f>
        <v>0</v>
      </c>
      <c r="AP517" s="5">
        <f>G517*(1-1)</f>
        <v>0</v>
      </c>
      <c r="AQ517" s="10" t="s">
        <v>105</v>
      </c>
      <c r="AV517" s="5">
        <f>AW517+AX517</f>
        <v>0</v>
      </c>
      <c r="AW517" s="5">
        <f>F517*AO517</f>
        <v>0</v>
      </c>
      <c r="AX517" s="5">
        <f>F517*AP517</f>
        <v>0</v>
      </c>
      <c r="AY517" s="6" t="s">
        <v>831</v>
      </c>
      <c r="AZ517" s="6" t="s">
        <v>832</v>
      </c>
      <c r="BA517" s="3" t="s">
        <v>833</v>
      </c>
      <c r="BC517" s="5">
        <f>AW517+AX517</f>
        <v>0</v>
      </c>
      <c r="BD517" s="5">
        <f>G517/(100-BE517)*100</f>
        <v>0</v>
      </c>
      <c r="BE517" s="5">
        <v>0</v>
      </c>
      <c r="BF517" s="5">
        <f>517</f>
        <v>517</v>
      </c>
      <c r="BH517" s="9">
        <f>F517*AO517</f>
        <v>0</v>
      </c>
      <c r="BI517" s="9">
        <f>F517*AP517</f>
        <v>0</v>
      </c>
      <c r="BJ517" s="9">
        <f>F517*G517</f>
        <v>0</v>
      </c>
      <c r="BK517" s="9"/>
      <c r="BL517" s="5">
        <v>763</v>
      </c>
      <c r="BW517" s="5">
        <v>21</v>
      </c>
      <c r="BX517" s="8" t="s">
        <v>848</v>
      </c>
    </row>
    <row r="518" spans="1:76" x14ac:dyDescent="0.25">
      <c r="A518" s="154"/>
      <c r="B518" s="155"/>
      <c r="C518" s="159" t="s">
        <v>849</v>
      </c>
      <c r="D518" s="160" t="s">
        <v>836</v>
      </c>
      <c r="E518" s="155"/>
      <c r="F518" s="161">
        <v>0.22176000000000001</v>
      </c>
      <c r="G518" s="155"/>
      <c r="H518" s="155"/>
      <c r="I518" s="155"/>
      <c r="J518" s="155"/>
      <c r="K518" s="162"/>
    </row>
    <row r="519" spans="1:76" x14ac:dyDescent="0.25">
      <c r="A519" s="154"/>
      <c r="B519" s="155"/>
      <c r="C519" s="159" t="s">
        <v>850</v>
      </c>
      <c r="D519" s="160" t="s">
        <v>52</v>
      </c>
      <c r="E519" s="155"/>
      <c r="F519" s="161">
        <v>2.2179999999999998E-2</v>
      </c>
      <c r="G519" s="155"/>
      <c r="H519" s="155"/>
      <c r="I519" s="155"/>
      <c r="J519" s="155"/>
      <c r="K519" s="162"/>
    </row>
    <row r="520" spans="1:76" x14ac:dyDescent="0.25">
      <c r="A520" s="146" t="s">
        <v>851</v>
      </c>
      <c r="B520" s="149" t="s">
        <v>852</v>
      </c>
      <c r="C520" s="116" t="s">
        <v>853</v>
      </c>
      <c r="D520" s="112"/>
      <c r="E520" s="149" t="s">
        <v>372</v>
      </c>
      <c r="F520" s="152">
        <v>29.43</v>
      </c>
      <c r="G520" s="152">
        <v>0</v>
      </c>
      <c r="H520" s="152">
        <f>F520*AO520</f>
        <v>0</v>
      </c>
      <c r="I520" s="152">
        <f>F520*AP520</f>
        <v>0</v>
      </c>
      <c r="J520" s="152">
        <f>F520*G520</f>
        <v>0</v>
      </c>
      <c r="K520" s="153" t="s">
        <v>70</v>
      </c>
      <c r="Z520" s="5">
        <f>IF(AQ520="5",BJ520,0)</f>
        <v>0</v>
      </c>
      <c r="AB520" s="5">
        <f>IF(AQ520="1",BH520,0)</f>
        <v>0</v>
      </c>
      <c r="AC520" s="5">
        <f>IF(AQ520="1",BI520,0)</f>
        <v>0</v>
      </c>
      <c r="AD520" s="5">
        <f>IF(AQ520="7",BH520,0)</f>
        <v>0</v>
      </c>
      <c r="AE520" s="5">
        <f>IF(AQ520="7",BI520,0)</f>
        <v>0</v>
      </c>
      <c r="AF520" s="5">
        <f>IF(AQ520="2",BH520,0)</f>
        <v>0</v>
      </c>
      <c r="AG520" s="5">
        <f>IF(AQ520="2",BI520,0)</f>
        <v>0</v>
      </c>
      <c r="AH520" s="5">
        <f>IF(AQ520="0",BJ520,0)</f>
        <v>0</v>
      </c>
      <c r="AI520" s="3" t="s">
        <v>827</v>
      </c>
      <c r="AJ520" s="5">
        <f>IF(AN520=0,J520,0)</f>
        <v>0</v>
      </c>
      <c r="AK520" s="5">
        <f>IF(AN520=12,J520,0)</f>
        <v>0</v>
      </c>
      <c r="AL520" s="5">
        <f>IF(AN520=21,J520,0)</f>
        <v>0</v>
      </c>
      <c r="AN520" s="5">
        <v>21</v>
      </c>
      <c r="AO520" s="5">
        <f>G520*0</f>
        <v>0</v>
      </c>
      <c r="AP520" s="5">
        <f>G520*(1-0)</f>
        <v>0</v>
      </c>
      <c r="AQ520" s="6" t="s">
        <v>96</v>
      </c>
      <c r="AV520" s="5">
        <f>AW520+AX520</f>
        <v>0</v>
      </c>
      <c r="AW520" s="5">
        <f>F520*AO520</f>
        <v>0</v>
      </c>
      <c r="AX520" s="5">
        <f>F520*AP520</f>
        <v>0</v>
      </c>
      <c r="AY520" s="6" t="s">
        <v>831</v>
      </c>
      <c r="AZ520" s="6" t="s">
        <v>832</v>
      </c>
      <c r="BA520" s="3" t="s">
        <v>833</v>
      </c>
      <c r="BC520" s="5">
        <f>AW520+AX520</f>
        <v>0</v>
      </c>
      <c r="BD520" s="5">
        <f>G520/(100-BE520)*100</f>
        <v>0</v>
      </c>
      <c r="BE520" s="5">
        <v>0</v>
      </c>
      <c r="BF520" s="5">
        <f>520</f>
        <v>520</v>
      </c>
      <c r="BH520" s="5">
        <f>F520*AO520</f>
        <v>0</v>
      </c>
      <c r="BI520" s="5">
        <f>F520*AP520</f>
        <v>0</v>
      </c>
      <c r="BJ520" s="5">
        <f>F520*G520</f>
        <v>0</v>
      </c>
      <c r="BK520" s="5"/>
      <c r="BL520" s="5">
        <v>763</v>
      </c>
      <c r="BW520" s="5">
        <v>21</v>
      </c>
      <c r="BX520" s="2" t="s">
        <v>853</v>
      </c>
    </row>
    <row r="521" spans="1:76" x14ac:dyDescent="0.25">
      <c r="A521" s="154"/>
      <c r="B521" s="155"/>
      <c r="C521" s="159" t="s">
        <v>854</v>
      </c>
      <c r="D521" s="160" t="s">
        <v>52</v>
      </c>
      <c r="E521" s="155"/>
      <c r="F521" s="161">
        <v>29.43</v>
      </c>
      <c r="G521" s="155"/>
      <c r="H521" s="155"/>
      <c r="I521" s="155"/>
      <c r="J521" s="155"/>
      <c r="K521" s="162"/>
    </row>
    <row r="522" spans="1:76" x14ac:dyDescent="0.25">
      <c r="A522" s="146" t="s">
        <v>52</v>
      </c>
      <c r="B522" s="147" t="s">
        <v>237</v>
      </c>
      <c r="C522" s="148" t="s">
        <v>238</v>
      </c>
      <c r="D522" s="113"/>
      <c r="E522" s="149" t="s">
        <v>33</v>
      </c>
      <c r="F522" s="149" t="s">
        <v>33</v>
      </c>
      <c r="G522" s="149" t="s">
        <v>33</v>
      </c>
      <c r="H522" s="150">
        <f>SUM(H523:H531)</f>
        <v>0</v>
      </c>
      <c r="I522" s="150">
        <f>SUM(I523:I531)</f>
        <v>0</v>
      </c>
      <c r="J522" s="150">
        <f>SUM(J523:J531)</f>
        <v>0</v>
      </c>
      <c r="K522" s="151" t="s">
        <v>52</v>
      </c>
      <c r="AI522" s="3" t="s">
        <v>827</v>
      </c>
      <c r="AS522" s="1">
        <f>SUM(AJ523:AJ531)</f>
        <v>0</v>
      </c>
      <c r="AT522" s="1">
        <f>SUM(AK523:AK531)</f>
        <v>0</v>
      </c>
      <c r="AU522" s="1">
        <f>SUM(AL523:AL531)</f>
        <v>0</v>
      </c>
    </row>
    <row r="523" spans="1:76" x14ac:dyDescent="0.25">
      <c r="A523" s="146" t="s">
        <v>855</v>
      </c>
      <c r="B523" s="149" t="s">
        <v>856</v>
      </c>
      <c r="C523" s="116" t="s">
        <v>857</v>
      </c>
      <c r="D523" s="112"/>
      <c r="E523" s="149" t="s">
        <v>300</v>
      </c>
      <c r="F523" s="152">
        <v>22</v>
      </c>
      <c r="G523" s="152">
        <v>0</v>
      </c>
      <c r="H523" s="152">
        <f>F523*AO523</f>
        <v>0</v>
      </c>
      <c r="I523" s="152">
        <f>F523*AP523</f>
        <v>0</v>
      </c>
      <c r="J523" s="152">
        <f>F523*G523</f>
        <v>0</v>
      </c>
      <c r="K523" s="153" t="s">
        <v>70</v>
      </c>
      <c r="Z523" s="5">
        <f>IF(AQ523="5",BJ523,0)</f>
        <v>0</v>
      </c>
      <c r="AB523" s="5">
        <f>IF(AQ523="1",BH523,0)</f>
        <v>0</v>
      </c>
      <c r="AC523" s="5">
        <f>IF(AQ523="1",BI523,0)</f>
        <v>0</v>
      </c>
      <c r="AD523" s="5">
        <f>IF(AQ523="7",BH523,0)</f>
        <v>0</v>
      </c>
      <c r="AE523" s="5">
        <f>IF(AQ523="7",BI523,0)</f>
        <v>0</v>
      </c>
      <c r="AF523" s="5">
        <f>IF(AQ523="2",BH523,0)</f>
        <v>0</v>
      </c>
      <c r="AG523" s="5">
        <f>IF(AQ523="2",BI523,0)</f>
        <v>0</v>
      </c>
      <c r="AH523" s="5">
        <f>IF(AQ523="0",BJ523,0)</f>
        <v>0</v>
      </c>
      <c r="AI523" s="3" t="s">
        <v>827</v>
      </c>
      <c r="AJ523" s="5">
        <f>IF(AN523=0,J523,0)</f>
        <v>0</v>
      </c>
      <c r="AK523" s="5">
        <f>IF(AN523=12,J523,0)</f>
        <v>0</v>
      </c>
      <c r="AL523" s="5">
        <f>IF(AN523=21,J523,0)</f>
        <v>0</v>
      </c>
      <c r="AN523" s="5">
        <v>21</v>
      </c>
      <c r="AO523" s="5">
        <f>G523*0.331203236</f>
        <v>0</v>
      </c>
      <c r="AP523" s="5">
        <f>G523*(1-0.331203236)</f>
        <v>0</v>
      </c>
      <c r="AQ523" s="6" t="s">
        <v>105</v>
      </c>
      <c r="AV523" s="5">
        <f>AW523+AX523</f>
        <v>0</v>
      </c>
      <c r="AW523" s="5">
        <f>F523*AO523</f>
        <v>0</v>
      </c>
      <c r="AX523" s="5">
        <f>F523*AP523</f>
        <v>0</v>
      </c>
      <c r="AY523" s="6" t="s">
        <v>242</v>
      </c>
      <c r="AZ523" s="6" t="s">
        <v>832</v>
      </c>
      <c r="BA523" s="3" t="s">
        <v>833</v>
      </c>
      <c r="BC523" s="5">
        <f>AW523+AX523</f>
        <v>0</v>
      </c>
      <c r="BD523" s="5">
        <f>G523/(100-BE523)*100</f>
        <v>0</v>
      </c>
      <c r="BE523" s="5">
        <v>0</v>
      </c>
      <c r="BF523" s="5">
        <f>523</f>
        <v>523</v>
      </c>
      <c r="BH523" s="5">
        <f>F523*AO523</f>
        <v>0</v>
      </c>
      <c r="BI523" s="5">
        <f>F523*AP523</f>
        <v>0</v>
      </c>
      <c r="BJ523" s="5">
        <f>F523*G523</f>
        <v>0</v>
      </c>
      <c r="BK523" s="5"/>
      <c r="BL523" s="5">
        <v>764</v>
      </c>
      <c r="BW523" s="5">
        <v>21</v>
      </c>
      <c r="BX523" s="2" t="s">
        <v>857</v>
      </c>
    </row>
    <row r="524" spans="1:76" ht="13.5" customHeight="1" x14ac:dyDescent="0.25">
      <c r="A524" s="154"/>
      <c r="B524" s="155"/>
      <c r="C524" s="156" t="s">
        <v>858</v>
      </c>
      <c r="D524" s="157"/>
      <c r="E524" s="157"/>
      <c r="F524" s="157"/>
      <c r="G524" s="157"/>
      <c r="H524" s="157"/>
      <c r="I524" s="157"/>
      <c r="J524" s="157"/>
      <c r="K524" s="158"/>
    </row>
    <row r="525" spans="1:76" x14ac:dyDescent="0.25">
      <c r="A525" s="154"/>
      <c r="B525" s="155"/>
      <c r="C525" s="159" t="s">
        <v>177</v>
      </c>
      <c r="D525" s="160" t="s">
        <v>859</v>
      </c>
      <c r="E525" s="155"/>
      <c r="F525" s="161">
        <v>22</v>
      </c>
      <c r="G525" s="155"/>
      <c r="H525" s="155"/>
      <c r="I525" s="155"/>
      <c r="J525" s="155"/>
      <c r="K525" s="162"/>
    </row>
    <row r="526" spans="1:76" x14ac:dyDescent="0.25">
      <c r="A526" s="154"/>
      <c r="B526" s="163" t="s">
        <v>85</v>
      </c>
      <c r="C526" s="156" t="s">
        <v>860</v>
      </c>
      <c r="D526" s="157"/>
      <c r="E526" s="157"/>
      <c r="F526" s="157"/>
      <c r="G526" s="157"/>
      <c r="H526" s="157"/>
      <c r="I526" s="157"/>
      <c r="J526" s="157"/>
      <c r="K526" s="158"/>
      <c r="BX526" s="7" t="s">
        <v>860</v>
      </c>
    </row>
    <row r="527" spans="1:76" x14ac:dyDescent="0.25">
      <c r="A527" s="146" t="s">
        <v>861</v>
      </c>
      <c r="B527" s="149" t="s">
        <v>862</v>
      </c>
      <c r="C527" s="116" t="s">
        <v>863</v>
      </c>
      <c r="D527" s="112"/>
      <c r="E527" s="149" t="s">
        <v>300</v>
      </c>
      <c r="F527" s="152">
        <v>88</v>
      </c>
      <c r="G527" s="152">
        <v>0</v>
      </c>
      <c r="H527" s="152">
        <f>F527*AO527</f>
        <v>0</v>
      </c>
      <c r="I527" s="152">
        <f>F527*AP527</f>
        <v>0</v>
      </c>
      <c r="J527" s="152">
        <f>F527*G527</f>
        <v>0</v>
      </c>
      <c r="K527" s="153" t="s">
        <v>70</v>
      </c>
      <c r="Z527" s="5">
        <f>IF(AQ527="5",BJ527,0)</f>
        <v>0</v>
      </c>
      <c r="AB527" s="5">
        <f>IF(AQ527="1",BH527,0)</f>
        <v>0</v>
      </c>
      <c r="AC527" s="5">
        <f>IF(AQ527="1",BI527,0)</f>
        <v>0</v>
      </c>
      <c r="AD527" s="5">
        <f>IF(AQ527="7",BH527,0)</f>
        <v>0</v>
      </c>
      <c r="AE527" s="5">
        <f>IF(AQ527="7",BI527,0)</f>
        <v>0</v>
      </c>
      <c r="AF527" s="5">
        <f>IF(AQ527="2",BH527,0)</f>
        <v>0</v>
      </c>
      <c r="AG527" s="5">
        <f>IF(AQ527="2",BI527,0)</f>
        <v>0</v>
      </c>
      <c r="AH527" s="5">
        <f>IF(AQ527="0",BJ527,0)</f>
        <v>0</v>
      </c>
      <c r="AI527" s="3" t="s">
        <v>827</v>
      </c>
      <c r="AJ527" s="5">
        <f>IF(AN527=0,J527,0)</f>
        <v>0</v>
      </c>
      <c r="AK527" s="5">
        <f>IF(AN527=12,J527,0)</f>
        <v>0</v>
      </c>
      <c r="AL527" s="5">
        <f>IF(AN527=21,J527,0)</f>
        <v>0</v>
      </c>
      <c r="AN527" s="5">
        <v>21</v>
      </c>
      <c r="AO527" s="5">
        <f>G527*0.331203236</f>
        <v>0</v>
      </c>
      <c r="AP527" s="5">
        <f>G527*(1-0.331203236)</f>
        <v>0</v>
      </c>
      <c r="AQ527" s="6" t="s">
        <v>105</v>
      </c>
      <c r="AV527" s="5">
        <f>AW527+AX527</f>
        <v>0</v>
      </c>
      <c r="AW527" s="5">
        <f>F527*AO527</f>
        <v>0</v>
      </c>
      <c r="AX527" s="5">
        <f>F527*AP527</f>
        <v>0</v>
      </c>
      <c r="AY527" s="6" t="s">
        <v>242</v>
      </c>
      <c r="AZ527" s="6" t="s">
        <v>832</v>
      </c>
      <c r="BA527" s="3" t="s">
        <v>833</v>
      </c>
      <c r="BC527" s="5">
        <f>AW527+AX527</f>
        <v>0</v>
      </c>
      <c r="BD527" s="5">
        <f>G527/(100-BE527)*100</f>
        <v>0</v>
      </c>
      <c r="BE527" s="5">
        <v>0</v>
      </c>
      <c r="BF527" s="5">
        <f>527</f>
        <v>527</v>
      </c>
      <c r="BH527" s="5">
        <f>F527*AO527</f>
        <v>0</v>
      </c>
      <c r="BI527" s="5">
        <f>F527*AP527</f>
        <v>0</v>
      </c>
      <c r="BJ527" s="5">
        <f>F527*G527</f>
        <v>0</v>
      </c>
      <c r="BK527" s="5"/>
      <c r="BL527" s="5">
        <v>764</v>
      </c>
      <c r="BW527" s="5">
        <v>21</v>
      </c>
      <c r="BX527" s="2" t="s">
        <v>863</v>
      </c>
    </row>
    <row r="528" spans="1:76" ht="13.5" customHeight="1" x14ac:dyDescent="0.25">
      <c r="A528" s="154"/>
      <c r="B528" s="155"/>
      <c r="C528" s="156" t="s">
        <v>858</v>
      </c>
      <c r="D528" s="157"/>
      <c r="E528" s="157"/>
      <c r="F528" s="157"/>
      <c r="G528" s="157"/>
      <c r="H528" s="157"/>
      <c r="I528" s="157"/>
      <c r="J528" s="157"/>
      <c r="K528" s="158"/>
    </row>
    <row r="529" spans="1:76" x14ac:dyDescent="0.25">
      <c r="A529" s="154"/>
      <c r="B529" s="155"/>
      <c r="C529" s="159" t="s">
        <v>864</v>
      </c>
      <c r="D529" s="160" t="s">
        <v>865</v>
      </c>
      <c r="E529" s="155"/>
      <c r="F529" s="161">
        <v>88</v>
      </c>
      <c r="G529" s="155"/>
      <c r="H529" s="155"/>
      <c r="I529" s="155"/>
      <c r="J529" s="155"/>
      <c r="K529" s="162"/>
    </row>
    <row r="530" spans="1:76" x14ac:dyDescent="0.25">
      <c r="A530" s="154"/>
      <c r="B530" s="163" t="s">
        <v>85</v>
      </c>
      <c r="C530" s="156" t="s">
        <v>860</v>
      </c>
      <c r="D530" s="157"/>
      <c r="E530" s="157"/>
      <c r="F530" s="157"/>
      <c r="G530" s="157"/>
      <c r="H530" s="157"/>
      <c r="I530" s="157"/>
      <c r="J530" s="157"/>
      <c r="K530" s="158"/>
      <c r="BX530" s="7" t="s">
        <v>860</v>
      </c>
    </row>
    <row r="531" spans="1:76" x14ac:dyDescent="0.25">
      <c r="A531" s="146" t="s">
        <v>866</v>
      </c>
      <c r="B531" s="149" t="s">
        <v>632</v>
      </c>
      <c r="C531" s="116" t="s">
        <v>633</v>
      </c>
      <c r="D531" s="112"/>
      <c r="E531" s="149" t="s">
        <v>372</v>
      </c>
      <c r="F531" s="152">
        <v>870</v>
      </c>
      <c r="G531" s="152">
        <v>0</v>
      </c>
      <c r="H531" s="152">
        <f>F531*AO531</f>
        <v>0</v>
      </c>
      <c r="I531" s="152">
        <f>F531*AP531</f>
        <v>0</v>
      </c>
      <c r="J531" s="152">
        <f>F531*G531</f>
        <v>0</v>
      </c>
      <c r="K531" s="153" t="s">
        <v>70</v>
      </c>
      <c r="Z531" s="5">
        <f>IF(AQ531="5",BJ531,0)</f>
        <v>0</v>
      </c>
      <c r="AB531" s="5">
        <f>IF(AQ531="1",BH531,0)</f>
        <v>0</v>
      </c>
      <c r="AC531" s="5">
        <f>IF(AQ531="1",BI531,0)</f>
        <v>0</v>
      </c>
      <c r="AD531" s="5">
        <f>IF(AQ531="7",BH531,0)</f>
        <v>0</v>
      </c>
      <c r="AE531" s="5">
        <f>IF(AQ531="7",BI531,0)</f>
        <v>0</v>
      </c>
      <c r="AF531" s="5">
        <f>IF(AQ531="2",BH531,0)</f>
        <v>0</v>
      </c>
      <c r="AG531" s="5">
        <f>IF(AQ531="2",BI531,0)</f>
        <v>0</v>
      </c>
      <c r="AH531" s="5">
        <f>IF(AQ531="0",BJ531,0)</f>
        <v>0</v>
      </c>
      <c r="AI531" s="3" t="s">
        <v>827</v>
      </c>
      <c r="AJ531" s="5">
        <f>IF(AN531=0,J531,0)</f>
        <v>0</v>
      </c>
      <c r="AK531" s="5">
        <f>IF(AN531=12,J531,0)</f>
        <v>0</v>
      </c>
      <c r="AL531" s="5">
        <f>IF(AN531=21,J531,0)</f>
        <v>0</v>
      </c>
      <c r="AN531" s="5">
        <v>21</v>
      </c>
      <c r="AO531" s="5">
        <f>G531*0</f>
        <v>0</v>
      </c>
      <c r="AP531" s="5">
        <f>G531*(1-0)</f>
        <v>0</v>
      </c>
      <c r="AQ531" s="6" t="s">
        <v>96</v>
      </c>
      <c r="AV531" s="5">
        <f>AW531+AX531</f>
        <v>0</v>
      </c>
      <c r="AW531" s="5">
        <f>F531*AO531</f>
        <v>0</v>
      </c>
      <c r="AX531" s="5">
        <f>F531*AP531</f>
        <v>0</v>
      </c>
      <c r="AY531" s="6" t="s">
        <v>242</v>
      </c>
      <c r="AZ531" s="6" t="s">
        <v>832</v>
      </c>
      <c r="BA531" s="3" t="s">
        <v>833</v>
      </c>
      <c r="BC531" s="5">
        <f>AW531+AX531</f>
        <v>0</v>
      </c>
      <c r="BD531" s="5">
        <f>G531/(100-BE531)*100</f>
        <v>0</v>
      </c>
      <c r="BE531" s="5">
        <v>0</v>
      </c>
      <c r="BF531" s="5">
        <f>531</f>
        <v>531</v>
      </c>
      <c r="BH531" s="5">
        <f>F531*AO531</f>
        <v>0</v>
      </c>
      <c r="BI531" s="5">
        <f>F531*AP531</f>
        <v>0</v>
      </c>
      <c r="BJ531" s="5">
        <f>F531*G531</f>
        <v>0</v>
      </c>
      <c r="BK531" s="5"/>
      <c r="BL531" s="5">
        <v>764</v>
      </c>
      <c r="BW531" s="5">
        <v>21</v>
      </c>
      <c r="BX531" s="2" t="s">
        <v>633</v>
      </c>
    </row>
    <row r="532" spans="1:76" x14ac:dyDescent="0.25">
      <c r="A532" s="154"/>
      <c r="B532" s="155"/>
      <c r="C532" s="159" t="s">
        <v>867</v>
      </c>
      <c r="D532" s="160" t="s">
        <v>52</v>
      </c>
      <c r="E532" s="155"/>
      <c r="F532" s="161">
        <v>870</v>
      </c>
      <c r="G532" s="155"/>
      <c r="H532" s="155"/>
      <c r="I532" s="155"/>
      <c r="J532" s="155"/>
      <c r="K532" s="162"/>
    </row>
    <row r="533" spans="1:76" x14ac:dyDescent="0.25">
      <c r="A533" s="146" t="s">
        <v>52</v>
      </c>
      <c r="B533" s="147" t="s">
        <v>868</v>
      </c>
      <c r="C533" s="148" t="s">
        <v>869</v>
      </c>
      <c r="D533" s="113"/>
      <c r="E533" s="149" t="s">
        <v>33</v>
      </c>
      <c r="F533" s="149" t="s">
        <v>33</v>
      </c>
      <c r="G533" s="149" t="s">
        <v>33</v>
      </c>
      <c r="H533" s="150">
        <f>SUM(H534:H541)</f>
        <v>0</v>
      </c>
      <c r="I533" s="150">
        <f>SUM(I534:I541)</f>
        <v>0</v>
      </c>
      <c r="J533" s="150">
        <f>SUM(J534:J541)</f>
        <v>0</v>
      </c>
      <c r="K533" s="151" t="s">
        <v>52</v>
      </c>
      <c r="AI533" s="3" t="s">
        <v>827</v>
      </c>
      <c r="AS533" s="1">
        <f>SUM(AJ534:AJ541)</f>
        <v>0</v>
      </c>
      <c r="AT533" s="1">
        <f>SUM(AK534:AK541)</f>
        <v>0</v>
      </c>
      <c r="AU533" s="1">
        <f>SUM(AL534:AL541)</f>
        <v>0</v>
      </c>
    </row>
    <row r="534" spans="1:76" x14ac:dyDescent="0.25">
      <c r="A534" s="146" t="s">
        <v>870</v>
      </c>
      <c r="B534" s="149" t="s">
        <v>871</v>
      </c>
      <c r="C534" s="116" t="s">
        <v>872</v>
      </c>
      <c r="D534" s="112"/>
      <c r="E534" s="149" t="s">
        <v>873</v>
      </c>
      <c r="F534" s="152">
        <v>86</v>
      </c>
      <c r="G534" s="152">
        <v>0</v>
      </c>
      <c r="H534" s="152">
        <f>F534*AO534</f>
        <v>0</v>
      </c>
      <c r="I534" s="152">
        <f>F534*AP534</f>
        <v>0</v>
      </c>
      <c r="J534" s="152">
        <f>F534*G534</f>
        <v>0</v>
      </c>
      <c r="K534" s="153" t="s">
        <v>70</v>
      </c>
      <c r="Z534" s="5">
        <f>IF(AQ534="5",BJ534,0)</f>
        <v>0</v>
      </c>
      <c r="AB534" s="5">
        <f>IF(AQ534="1",BH534,0)</f>
        <v>0</v>
      </c>
      <c r="AC534" s="5">
        <f>IF(AQ534="1",BI534,0)</f>
        <v>0</v>
      </c>
      <c r="AD534" s="5">
        <f>IF(AQ534="7",BH534,0)</f>
        <v>0</v>
      </c>
      <c r="AE534" s="5">
        <f>IF(AQ534="7",BI534,0)</f>
        <v>0</v>
      </c>
      <c r="AF534" s="5">
        <f>IF(AQ534="2",BH534,0)</f>
        <v>0</v>
      </c>
      <c r="AG534" s="5">
        <f>IF(AQ534="2",BI534,0)</f>
        <v>0</v>
      </c>
      <c r="AH534" s="5">
        <f>IF(AQ534="0",BJ534,0)</f>
        <v>0</v>
      </c>
      <c r="AI534" s="3" t="s">
        <v>827</v>
      </c>
      <c r="AJ534" s="5">
        <f>IF(AN534=0,J534,0)</f>
        <v>0</v>
      </c>
      <c r="AK534" s="5">
        <f>IF(AN534=12,J534,0)</f>
        <v>0</v>
      </c>
      <c r="AL534" s="5">
        <f>IF(AN534=21,J534,0)</f>
        <v>0</v>
      </c>
      <c r="AN534" s="5">
        <v>21</v>
      </c>
      <c r="AO534" s="5">
        <f>G534*0.040481722</f>
        <v>0</v>
      </c>
      <c r="AP534" s="5">
        <f>G534*(1-0.040481722)</f>
        <v>0</v>
      </c>
      <c r="AQ534" s="6" t="s">
        <v>105</v>
      </c>
      <c r="AV534" s="5">
        <f>AW534+AX534</f>
        <v>0</v>
      </c>
      <c r="AW534" s="5">
        <f>F534*AO534</f>
        <v>0</v>
      </c>
      <c r="AX534" s="5">
        <f>F534*AP534</f>
        <v>0</v>
      </c>
      <c r="AY534" s="6" t="s">
        <v>874</v>
      </c>
      <c r="AZ534" s="6" t="s">
        <v>832</v>
      </c>
      <c r="BA534" s="3" t="s">
        <v>833</v>
      </c>
      <c r="BC534" s="5">
        <f>AW534+AX534</f>
        <v>0</v>
      </c>
      <c r="BD534" s="5">
        <f>G534/(100-BE534)*100</f>
        <v>0</v>
      </c>
      <c r="BE534" s="5">
        <v>0</v>
      </c>
      <c r="BF534" s="5">
        <f>534</f>
        <v>534</v>
      </c>
      <c r="BH534" s="5">
        <f>F534*AO534</f>
        <v>0</v>
      </c>
      <c r="BI534" s="5">
        <f>F534*AP534</f>
        <v>0</v>
      </c>
      <c r="BJ534" s="5">
        <f>F534*G534</f>
        <v>0</v>
      </c>
      <c r="BK534" s="5"/>
      <c r="BL534" s="5">
        <v>767</v>
      </c>
      <c r="BW534" s="5">
        <v>21</v>
      </c>
      <c r="BX534" s="2" t="s">
        <v>872</v>
      </c>
    </row>
    <row r="535" spans="1:76" x14ac:dyDescent="0.25">
      <c r="A535" s="154"/>
      <c r="B535" s="155"/>
      <c r="C535" s="159" t="s">
        <v>114</v>
      </c>
      <c r="D535" s="160" t="s">
        <v>875</v>
      </c>
      <c r="E535" s="155"/>
      <c r="F535" s="161">
        <v>10</v>
      </c>
      <c r="G535" s="155"/>
      <c r="H535" s="155"/>
      <c r="I535" s="155"/>
      <c r="J535" s="155"/>
      <c r="K535" s="162"/>
    </row>
    <row r="536" spans="1:76" x14ac:dyDescent="0.25">
      <c r="A536" s="154"/>
      <c r="B536" s="155"/>
      <c r="C536" s="159" t="s">
        <v>495</v>
      </c>
      <c r="D536" s="160" t="s">
        <v>876</v>
      </c>
      <c r="E536" s="155"/>
      <c r="F536" s="161">
        <v>76</v>
      </c>
      <c r="G536" s="155"/>
      <c r="H536" s="155"/>
      <c r="I536" s="155"/>
      <c r="J536" s="155"/>
      <c r="K536" s="162"/>
    </row>
    <row r="537" spans="1:76" x14ac:dyDescent="0.25">
      <c r="A537" s="164" t="s">
        <v>877</v>
      </c>
      <c r="B537" s="165" t="s">
        <v>878</v>
      </c>
      <c r="C537" s="166" t="s">
        <v>879</v>
      </c>
      <c r="D537" s="167"/>
      <c r="E537" s="165" t="s">
        <v>300</v>
      </c>
      <c r="F537" s="168">
        <v>86</v>
      </c>
      <c r="G537" s="168">
        <v>0</v>
      </c>
      <c r="H537" s="168">
        <f>F537*AO537</f>
        <v>0</v>
      </c>
      <c r="I537" s="168">
        <f>F537*AP537</f>
        <v>0</v>
      </c>
      <c r="J537" s="168">
        <f>F537*G537</f>
        <v>0</v>
      </c>
      <c r="K537" s="169" t="s">
        <v>772</v>
      </c>
      <c r="Z537" s="5">
        <f>IF(AQ537="5",BJ537,0)</f>
        <v>0</v>
      </c>
      <c r="AB537" s="5">
        <f>IF(AQ537="1",BH537,0)</f>
        <v>0</v>
      </c>
      <c r="AC537" s="5">
        <f>IF(AQ537="1",BI537,0)</f>
        <v>0</v>
      </c>
      <c r="AD537" s="5">
        <f>IF(AQ537="7",BH537,0)</f>
        <v>0</v>
      </c>
      <c r="AE537" s="5">
        <f>IF(AQ537="7",BI537,0)</f>
        <v>0</v>
      </c>
      <c r="AF537" s="5">
        <f>IF(AQ537="2",BH537,0)</f>
        <v>0</v>
      </c>
      <c r="AG537" s="5">
        <f>IF(AQ537="2",BI537,0)</f>
        <v>0</v>
      </c>
      <c r="AH537" s="5">
        <f>IF(AQ537="0",BJ537,0)</f>
        <v>0</v>
      </c>
      <c r="AI537" s="3" t="s">
        <v>827</v>
      </c>
      <c r="AJ537" s="9">
        <f>IF(AN537=0,J537,0)</f>
        <v>0</v>
      </c>
      <c r="AK537" s="9">
        <f>IF(AN537=12,J537,0)</f>
        <v>0</v>
      </c>
      <c r="AL537" s="9">
        <f>IF(AN537=21,J537,0)</f>
        <v>0</v>
      </c>
      <c r="AN537" s="5">
        <v>21</v>
      </c>
      <c r="AO537" s="5">
        <f>G537*1</f>
        <v>0</v>
      </c>
      <c r="AP537" s="5">
        <f>G537*(1-1)</f>
        <v>0</v>
      </c>
      <c r="AQ537" s="10" t="s">
        <v>105</v>
      </c>
      <c r="AV537" s="5">
        <f>AW537+AX537</f>
        <v>0</v>
      </c>
      <c r="AW537" s="5">
        <f>F537*AO537</f>
        <v>0</v>
      </c>
      <c r="AX537" s="5">
        <f>F537*AP537</f>
        <v>0</v>
      </c>
      <c r="AY537" s="6" t="s">
        <v>874</v>
      </c>
      <c r="AZ537" s="6" t="s">
        <v>832</v>
      </c>
      <c r="BA537" s="3" t="s">
        <v>833</v>
      </c>
      <c r="BC537" s="5">
        <f>AW537+AX537</f>
        <v>0</v>
      </c>
      <c r="BD537" s="5">
        <f>G537/(100-BE537)*100</f>
        <v>0</v>
      </c>
      <c r="BE537" s="5">
        <v>0</v>
      </c>
      <c r="BF537" s="5">
        <f>537</f>
        <v>537</v>
      </c>
      <c r="BH537" s="9">
        <f>F537*AO537</f>
        <v>0</v>
      </c>
      <c r="BI537" s="9">
        <f>F537*AP537</f>
        <v>0</v>
      </c>
      <c r="BJ537" s="9">
        <f>F537*G537</f>
        <v>0</v>
      </c>
      <c r="BK537" s="9"/>
      <c r="BL537" s="5">
        <v>767</v>
      </c>
      <c r="BW537" s="5">
        <v>21</v>
      </c>
      <c r="BX537" s="8" t="s">
        <v>879</v>
      </c>
    </row>
    <row r="538" spans="1:76" x14ac:dyDescent="0.25">
      <c r="A538" s="154"/>
      <c r="B538" s="155"/>
      <c r="C538" s="159" t="s">
        <v>114</v>
      </c>
      <c r="D538" s="160" t="s">
        <v>875</v>
      </c>
      <c r="E538" s="155"/>
      <c r="F538" s="161">
        <v>10</v>
      </c>
      <c r="G538" s="155"/>
      <c r="H538" s="155"/>
      <c r="I538" s="155"/>
      <c r="J538" s="155"/>
      <c r="K538" s="162"/>
    </row>
    <row r="539" spans="1:76" x14ac:dyDescent="0.25">
      <c r="A539" s="154"/>
      <c r="B539" s="155"/>
      <c r="C539" s="159" t="s">
        <v>495</v>
      </c>
      <c r="D539" s="160" t="s">
        <v>876</v>
      </c>
      <c r="E539" s="155"/>
      <c r="F539" s="161">
        <v>76</v>
      </c>
      <c r="G539" s="155"/>
      <c r="H539" s="155"/>
      <c r="I539" s="155"/>
      <c r="J539" s="155"/>
      <c r="K539" s="162"/>
    </row>
    <row r="540" spans="1:76" ht="51" x14ac:dyDescent="0.25">
      <c r="A540" s="154"/>
      <c r="B540" s="163" t="s">
        <v>85</v>
      </c>
      <c r="C540" s="156" t="s">
        <v>880</v>
      </c>
      <c r="D540" s="157"/>
      <c r="E540" s="157"/>
      <c r="F540" s="157"/>
      <c r="G540" s="157"/>
      <c r="H540" s="157"/>
      <c r="I540" s="157"/>
      <c r="J540" s="157"/>
      <c r="K540" s="158"/>
      <c r="BX540" s="11" t="s">
        <v>880</v>
      </c>
    </row>
    <row r="541" spans="1:76" x14ac:dyDescent="0.25">
      <c r="A541" s="146" t="s">
        <v>881</v>
      </c>
      <c r="B541" s="149" t="s">
        <v>882</v>
      </c>
      <c r="C541" s="116" t="s">
        <v>883</v>
      </c>
      <c r="D541" s="112"/>
      <c r="E541" s="149" t="s">
        <v>372</v>
      </c>
      <c r="F541" s="152">
        <v>3460</v>
      </c>
      <c r="G541" s="152">
        <v>0</v>
      </c>
      <c r="H541" s="152">
        <f>F541*AO541</f>
        <v>0</v>
      </c>
      <c r="I541" s="152">
        <f>F541*AP541</f>
        <v>0</v>
      </c>
      <c r="J541" s="152">
        <f>F541*G541</f>
        <v>0</v>
      </c>
      <c r="K541" s="153" t="s">
        <v>70</v>
      </c>
      <c r="Z541" s="5">
        <f>IF(AQ541="5",BJ541,0)</f>
        <v>0</v>
      </c>
      <c r="AB541" s="5">
        <f>IF(AQ541="1",BH541,0)</f>
        <v>0</v>
      </c>
      <c r="AC541" s="5">
        <f>IF(AQ541="1",BI541,0)</f>
        <v>0</v>
      </c>
      <c r="AD541" s="5">
        <f>IF(AQ541="7",BH541,0)</f>
        <v>0</v>
      </c>
      <c r="AE541" s="5">
        <f>IF(AQ541="7",BI541,0)</f>
        <v>0</v>
      </c>
      <c r="AF541" s="5">
        <f>IF(AQ541="2",BH541,0)</f>
        <v>0</v>
      </c>
      <c r="AG541" s="5">
        <f>IF(AQ541="2",BI541,0)</f>
        <v>0</v>
      </c>
      <c r="AH541" s="5">
        <f>IF(AQ541="0",BJ541,0)</f>
        <v>0</v>
      </c>
      <c r="AI541" s="3" t="s">
        <v>827</v>
      </c>
      <c r="AJ541" s="5">
        <f>IF(AN541=0,J541,0)</f>
        <v>0</v>
      </c>
      <c r="AK541" s="5">
        <f>IF(AN541=12,J541,0)</f>
        <v>0</v>
      </c>
      <c r="AL541" s="5">
        <f>IF(AN541=21,J541,0)</f>
        <v>0</v>
      </c>
      <c r="AN541" s="5">
        <v>21</v>
      </c>
      <c r="AO541" s="5">
        <f>G541*0</f>
        <v>0</v>
      </c>
      <c r="AP541" s="5">
        <f>G541*(1-0)</f>
        <v>0</v>
      </c>
      <c r="AQ541" s="6" t="s">
        <v>96</v>
      </c>
      <c r="AV541" s="5">
        <f>AW541+AX541</f>
        <v>0</v>
      </c>
      <c r="AW541" s="5">
        <f>F541*AO541</f>
        <v>0</v>
      </c>
      <c r="AX541" s="5">
        <f>F541*AP541</f>
        <v>0</v>
      </c>
      <c r="AY541" s="6" t="s">
        <v>874</v>
      </c>
      <c r="AZ541" s="6" t="s">
        <v>832</v>
      </c>
      <c r="BA541" s="3" t="s">
        <v>833</v>
      </c>
      <c r="BC541" s="5">
        <f>AW541+AX541</f>
        <v>0</v>
      </c>
      <c r="BD541" s="5">
        <f>G541/(100-BE541)*100</f>
        <v>0</v>
      </c>
      <c r="BE541" s="5">
        <v>0</v>
      </c>
      <c r="BF541" s="5">
        <f>541</f>
        <v>541</v>
      </c>
      <c r="BH541" s="5">
        <f>F541*AO541</f>
        <v>0</v>
      </c>
      <c r="BI541" s="5">
        <f>F541*AP541</f>
        <v>0</v>
      </c>
      <c r="BJ541" s="5">
        <f>F541*G541</f>
        <v>0</v>
      </c>
      <c r="BK541" s="5"/>
      <c r="BL541" s="5">
        <v>767</v>
      </c>
      <c r="BW541" s="5">
        <v>21</v>
      </c>
      <c r="BX541" s="2" t="s">
        <v>883</v>
      </c>
    </row>
    <row r="542" spans="1:76" x14ac:dyDescent="0.25">
      <c r="A542" s="154"/>
      <c r="B542" s="155"/>
      <c r="C542" s="159" t="s">
        <v>884</v>
      </c>
      <c r="D542" s="160" t="s">
        <v>52</v>
      </c>
      <c r="E542" s="155"/>
      <c r="F542" s="161">
        <v>3460</v>
      </c>
      <c r="G542" s="155"/>
      <c r="H542" s="155"/>
      <c r="I542" s="155"/>
      <c r="J542" s="155"/>
      <c r="K542" s="162"/>
    </row>
    <row r="543" spans="1:76" x14ac:dyDescent="0.25">
      <c r="A543" s="146" t="s">
        <v>52</v>
      </c>
      <c r="B543" s="147" t="s">
        <v>885</v>
      </c>
      <c r="C543" s="148" t="s">
        <v>886</v>
      </c>
      <c r="D543" s="113"/>
      <c r="E543" s="149" t="s">
        <v>33</v>
      </c>
      <c r="F543" s="149" t="s">
        <v>33</v>
      </c>
      <c r="G543" s="149" t="s">
        <v>33</v>
      </c>
      <c r="H543" s="150">
        <f>SUM(H544:H546)</f>
        <v>0</v>
      </c>
      <c r="I543" s="150">
        <f>SUM(I544:I546)</f>
        <v>0</v>
      </c>
      <c r="J543" s="150">
        <f>SUM(J544:J546)</f>
        <v>0</v>
      </c>
      <c r="K543" s="151" t="s">
        <v>52</v>
      </c>
      <c r="AI543" s="3" t="s">
        <v>827</v>
      </c>
      <c r="AS543" s="1">
        <f>SUM(AJ544:AJ546)</f>
        <v>0</v>
      </c>
      <c r="AT543" s="1">
        <f>SUM(AK544:AK546)</f>
        <v>0</v>
      </c>
      <c r="AU543" s="1">
        <f>SUM(AL544:AL546)</f>
        <v>0</v>
      </c>
    </row>
    <row r="544" spans="1:76" x14ac:dyDescent="0.25">
      <c r="A544" s="146" t="s">
        <v>887</v>
      </c>
      <c r="B544" s="149" t="s">
        <v>888</v>
      </c>
      <c r="C544" s="116" t="s">
        <v>889</v>
      </c>
      <c r="D544" s="112"/>
      <c r="E544" s="149" t="s">
        <v>300</v>
      </c>
      <c r="F544" s="152">
        <v>22</v>
      </c>
      <c r="G544" s="152">
        <v>0</v>
      </c>
      <c r="H544" s="152">
        <f>F544*AO544</f>
        <v>0</v>
      </c>
      <c r="I544" s="152">
        <f>F544*AP544</f>
        <v>0</v>
      </c>
      <c r="J544" s="152">
        <f>F544*G544</f>
        <v>0</v>
      </c>
      <c r="K544" s="153" t="s">
        <v>100</v>
      </c>
      <c r="Z544" s="5">
        <f>IF(AQ544="5",BJ544,0)</f>
        <v>0</v>
      </c>
      <c r="AB544" s="5">
        <f>IF(AQ544="1",BH544,0)</f>
        <v>0</v>
      </c>
      <c r="AC544" s="5">
        <f>IF(AQ544="1",BI544,0)</f>
        <v>0</v>
      </c>
      <c r="AD544" s="5">
        <f>IF(AQ544="7",BH544,0)</f>
        <v>0</v>
      </c>
      <c r="AE544" s="5">
        <f>IF(AQ544="7",BI544,0)</f>
        <v>0</v>
      </c>
      <c r="AF544" s="5">
        <f>IF(AQ544="2",BH544,0)</f>
        <v>0</v>
      </c>
      <c r="AG544" s="5">
        <f>IF(AQ544="2",BI544,0)</f>
        <v>0</v>
      </c>
      <c r="AH544" s="5">
        <f>IF(AQ544="0",BJ544,0)</f>
        <v>0</v>
      </c>
      <c r="AI544" s="3" t="s">
        <v>827</v>
      </c>
      <c r="AJ544" s="5">
        <f>IF(AN544=0,J544,0)</f>
        <v>0</v>
      </c>
      <c r="AK544" s="5">
        <f>IF(AN544=12,J544,0)</f>
        <v>0</v>
      </c>
      <c r="AL544" s="5">
        <f>IF(AN544=21,J544,0)</f>
        <v>0</v>
      </c>
      <c r="AN544" s="5">
        <v>21</v>
      </c>
      <c r="AO544" s="5">
        <f>G544*0</f>
        <v>0</v>
      </c>
      <c r="AP544" s="5">
        <f>G544*(1-0)</f>
        <v>0</v>
      </c>
      <c r="AQ544" s="6" t="s">
        <v>60</v>
      </c>
      <c r="AV544" s="5">
        <f>AW544+AX544</f>
        <v>0</v>
      </c>
      <c r="AW544" s="5">
        <f>F544*AO544</f>
        <v>0</v>
      </c>
      <c r="AX544" s="5">
        <f>F544*AP544</f>
        <v>0</v>
      </c>
      <c r="AY544" s="6" t="s">
        <v>890</v>
      </c>
      <c r="AZ544" s="6" t="s">
        <v>891</v>
      </c>
      <c r="BA544" s="3" t="s">
        <v>833</v>
      </c>
      <c r="BC544" s="5">
        <f>AW544+AX544</f>
        <v>0</v>
      </c>
      <c r="BD544" s="5">
        <f>G544/(100-BE544)*100</f>
        <v>0</v>
      </c>
      <c r="BE544" s="5">
        <v>0</v>
      </c>
      <c r="BF544" s="5">
        <f>544</f>
        <v>544</v>
      </c>
      <c r="BH544" s="5">
        <f>F544*AO544</f>
        <v>0</v>
      </c>
      <c r="BI544" s="5">
        <f>F544*AP544</f>
        <v>0</v>
      </c>
      <c r="BJ544" s="5">
        <f>F544*G544</f>
        <v>0</v>
      </c>
      <c r="BK544" s="5"/>
      <c r="BL544" s="5"/>
      <c r="BW544" s="5">
        <v>21</v>
      </c>
      <c r="BX544" s="2" t="s">
        <v>889</v>
      </c>
    </row>
    <row r="545" spans="1:76" x14ac:dyDescent="0.25">
      <c r="A545" s="154"/>
      <c r="B545" s="155"/>
      <c r="C545" s="159" t="s">
        <v>177</v>
      </c>
      <c r="D545" s="160" t="s">
        <v>52</v>
      </c>
      <c r="E545" s="155"/>
      <c r="F545" s="161">
        <v>22</v>
      </c>
      <c r="G545" s="155"/>
      <c r="H545" s="155"/>
      <c r="I545" s="155"/>
      <c r="J545" s="155"/>
      <c r="K545" s="162"/>
    </row>
    <row r="546" spans="1:76" x14ac:dyDescent="0.25">
      <c r="A546" s="164" t="s">
        <v>892</v>
      </c>
      <c r="B546" s="165" t="s">
        <v>893</v>
      </c>
      <c r="C546" s="166" t="s">
        <v>894</v>
      </c>
      <c r="D546" s="167"/>
      <c r="E546" s="165" t="s">
        <v>300</v>
      </c>
      <c r="F546" s="168">
        <v>22</v>
      </c>
      <c r="G546" s="168">
        <v>0</v>
      </c>
      <c r="H546" s="168">
        <f>F546*AO546</f>
        <v>0</v>
      </c>
      <c r="I546" s="168">
        <f>F546*AP546</f>
        <v>0</v>
      </c>
      <c r="J546" s="168">
        <f>F546*G546</f>
        <v>0</v>
      </c>
      <c r="K546" s="169" t="s">
        <v>70</v>
      </c>
      <c r="Z546" s="5">
        <f>IF(AQ546="5",BJ546,0)</f>
        <v>0</v>
      </c>
      <c r="AB546" s="5">
        <f>IF(AQ546="1",BH546,0)</f>
        <v>0</v>
      </c>
      <c r="AC546" s="5">
        <f>IF(AQ546="1",BI546,0)</f>
        <v>0</v>
      </c>
      <c r="AD546" s="5">
        <f>IF(AQ546="7",BH546,0)</f>
        <v>0</v>
      </c>
      <c r="AE546" s="5">
        <f>IF(AQ546="7",BI546,0)</f>
        <v>0</v>
      </c>
      <c r="AF546" s="5">
        <f>IF(AQ546="2",BH546,0)</f>
        <v>0</v>
      </c>
      <c r="AG546" s="5">
        <f>IF(AQ546="2",BI546,0)</f>
        <v>0</v>
      </c>
      <c r="AH546" s="5">
        <f>IF(AQ546="0",BJ546,0)</f>
        <v>0</v>
      </c>
      <c r="AI546" s="3" t="s">
        <v>827</v>
      </c>
      <c r="AJ546" s="9">
        <f>IF(AN546=0,J546,0)</f>
        <v>0</v>
      </c>
      <c r="AK546" s="9">
        <f>IF(AN546=12,J546,0)</f>
        <v>0</v>
      </c>
      <c r="AL546" s="9">
        <f>IF(AN546=21,J546,0)</f>
        <v>0</v>
      </c>
      <c r="AN546" s="5">
        <v>21</v>
      </c>
      <c r="AO546" s="5">
        <f>G546*1</f>
        <v>0</v>
      </c>
      <c r="AP546" s="5">
        <f>G546*(1-1)</f>
        <v>0</v>
      </c>
      <c r="AQ546" s="10" t="s">
        <v>60</v>
      </c>
      <c r="AV546" s="5">
        <f>AW546+AX546</f>
        <v>0</v>
      </c>
      <c r="AW546" s="5">
        <f>F546*AO546</f>
        <v>0</v>
      </c>
      <c r="AX546" s="5">
        <f>F546*AP546</f>
        <v>0</v>
      </c>
      <c r="AY546" s="6" t="s">
        <v>890</v>
      </c>
      <c r="AZ546" s="6" t="s">
        <v>891</v>
      </c>
      <c r="BA546" s="3" t="s">
        <v>833</v>
      </c>
      <c r="BC546" s="5">
        <f>AW546+AX546</f>
        <v>0</v>
      </c>
      <c r="BD546" s="5">
        <f>G546/(100-BE546)*100</f>
        <v>0</v>
      </c>
      <c r="BE546" s="5">
        <v>0</v>
      </c>
      <c r="BF546" s="5">
        <f>546</f>
        <v>546</v>
      </c>
      <c r="BH546" s="9">
        <f>F546*AO546</f>
        <v>0</v>
      </c>
      <c r="BI546" s="9">
        <f>F546*AP546</f>
        <v>0</v>
      </c>
      <c r="BJ546" s="9">
        <f>F546*G546</f>
        <v>0</v>
      </c>
      <c r="BK546" s="9"/>
      <c r="BL546" s="5"/>
      <c r="BW546" s="5">
        <v>21</v>
      </c>
      <c r="BX546" s="8" t="s">
        <v>894</v>
      </c>
    </row>
    <row r="547" spans="1:76" x14ac:dyDescent="0.25">
      <c r="A547" s="154"/>
      <c r="B547" s="155"/>
      <c r="C547" s="159" t="s">
        <v>177</v>
      </c>
      <c r="D547" s="160" t="s">
        <v>895</v>
      </c>
      <c r="E547" s="155"/>
      <c r="F547" s="161">
        <v>22</v>
      </c>
      <c r="G547" s="155"/>
      <c r="H547" s="155"/>
      <c r="I547" s="155"/>
      <c r="J547" s="155"/>
      <c r="K547" s="162"/>
    </row>
    <row r="548" spans="1:76" ht="76.5" x14ac:dyDescent="0.25">
      <c r="A548" s="154"/>
      <c r="B548" s="163" t="s">
        <v>85</v>
      </c>
      <c r="C548" s="156" t="s">
        <v>896</v>
      </c>
      <c r="D548" s="157"/>
      <c r="E548" s="157"/>
      <c r="F548" s="157"/>
      <c r="G548" s="157"/>
      <c r="H548" s="157"/>
      <c r="I548" s="157"/>
      <c r="J548" s="157"/>
      <c r="K548" s="158"/>
      <c r="BX548" s="11" t="s">
        <v>896</v>
      </c>
    </row>
    <row r="549" spans="1:76" x14ac:dyDescent="0.25">
      <c r="A549" s="146" t="s">
        <v>52</v>
      </c>
      <c r="B549" s="147" t="s">
        <v>52</v>
      </c>
      <c r="C549" s="148" t="s">
        <v>897</v>
      </c>
      <c r="D549" s="113"/>
      <c r="E549" s="149" t="s">
        <v>33</v>
      </c>
      <c r="F549" s="149" t="s">
        <v>33</v>
      </c>
      <c r="G549" s="149" t="s">
        <v>33</v>
      </c>
      <c r="H549" s="150">
        <f>H550+H555+H595</f>
        <v>0</v>
      </c>
      <c r="I549" s="150">
        <f>I550+I555+I595</f>
        <v>0</v>
      </c>
      <c r="J549" s="150">
        <f>J550+J555+J595</f>
        <v>0</v>
      </c>
      <c r="K549" s="151" t="s">
        <v>52</v>
      </c>
    </row>
    <row r="550" spans="1:76" x14ac:dyDescent="0.25">
      <c r="A550" s="146" t="s">
        <v>52</v>
      </c>
      <c r="B550" s="147" t="s">
        <v>421</v>
      </c>
      <c r="C550" s="148" t="s">
        <v>898</v>
      </c>
      <c r="D550" s="113"/>
      <c r="E550" s="149" t="s">
        <v>33</v>
      </c>
      <c r="F550" s="149" t="s">
        <v>33</v>
      </c>
      <c r="G550" s="149" t="s">
        <v>33</v>
      </c>
      <c r="H550" s="150">
        <f>SUM(H551:H551)</f>
        <v>0</v>
      </c>
      <c r="I550" s="150">
        <f>SUM(I551:I551)</f>
        <v>0</v>
      </c>
      <c r="J550" s="150">
        <f>SUM(J551:J551)</f>
        <v>0</v>
      </c>
      <c r="K550" s="151" t="s">
        <v>52</v>
      </c>
      <c r="AI550" s="3" t="s">
        <v>899</v>
      </c>
      <c r="AS550" s="1">
        <f>SUM(AJ551:AJ551)</f>
        <v>0</v>
      </c>
      <c r="AT550" s="1">
        <f>SUM(AK551:AK551)</f>
        <v>0</v>
      </c>
      <c r="AU550" s="1">
        <f>SUM(AL551:AL551)</f>
        <v>0</v>
      </c>
    </row>
    <row r="551" spans="1:76" x14ac:dyDescent="0.25">
      <c r="A551" s="146" t="s">
        <v>900</v>
      </c>
      <c r="B551" s="149" t="s">
        <v>901</v>
      </c>
      <c r="C551" s="116" t="s">
        <v>902</v>
      </c>
      <c r="D551" s="112"/>
      <c r="E551" s="149" t="s">
        <v>197</v>
      </c>
      <c r="F551" s="152">
        <v>11</v>
      </c>
      <c r="G551" s="152">
        <v>0</v>
      </c>
      <c r="H551" s="152">
        <f>F551*AO551</f>
        <v>0</v>
      </c>
      <c r="I551" s="152">
        <f>F551*AP551</f>
        <v>0</v>
      </c>
      <c r="J551" s="152">
        <f>F551*G551</f>
        <v>0</v>
      </c>
      <c r="K551" s="153" t="s">
        <v>70</v>
      </c>
      <c r="Z551" s="5">
        <f>IF(AQ551="5",BJ551,0)</f>
        <v>0</v>
      </c>
      <c r="AB551" s="5">
        <f>IF(AQ551="1",BH551,0)</f>
        <v>0</v>
      </c>
      <c r="AC551" s="5">
        <f>IF(AQ551="1",BI551,0)</f>
        <v>0</v>
      </c>
      <c r="AD551" s="5">
        <f>IF(AQ551="7",BH551,0)</f>
        <v>0</v>
      </c>
      <c r="AE551" s="5">
        <f>IF(AQ551="7",BI551,0)</f>
        <v>0</v>
      </c>
      <c r="AF551" s="5">
        <f>IF(AQ551="2",BH551,0)</f>
        <v>0</v>
      </c>
      <c r="AG551" s="5">
        <f>IF(AQ551="2",BI551,0)</f>
        <v>0</v>
      </c>
      <c r="AH551" s="5">
        <f>IF(AQ551="0",BJ551,0)</f>
        <v>0</v>
      </c>
      <c r="AI551" s="3" t="s">
        <v>899</v>
      </c>
      <c r="AJ551" s="5">
        <f>IF(AN551=0,J551,0)</f>
        <v>0</v>
      </c>
      <c r="AK551" s="5">
        <f>IF(AN551=12,J551,0)</f>
        <v>0</v>
      </c>
      <c r="AL551" s="5">
        <f>IF(AN551=21,J551,0)</f>
        <v>0</v>
      </c>
      <c r="AN551" s="5">
        <v>21</v>
      </c>
      <c r="AO551" s="5">
        <f>G551*0.214765101</f>
        <v>0</v>
      </c>
      <c r="AP551" s="5">
        <f>G551*(1-0.214765101)</f>
        <v>0</v>
      </c>
      <c r="AQ551" s="6" t="s">
        <v>57</v>
      </c>
      <c r="AV551" s="5">
        <f>AW551+AX551</f>
        <v>0</v>
      </c>
      <c r="AW551" s="5">
        <f>F551*AO551</f>
        <v>0</v>
      </c>
      <c r="AX551" s="5">
        <f>F551*AP551</f>
        <v>0</v>
      </c>
      <c r="AY551" s="6" t="s">
        <v>903</v>
      </c>
      <c r="AZ551" s="6" t="s">
        <v>904</v>
      </c>
      <c r="BA551" s="3" t="s">
        <v>905</v>
      </c>
      <c r="BC551" s="5">
        <f>AW551+AX551</f>
        <v>0</v>
      </c>
      <c r="BD551" s="5">
        <f>G551/(100-BE551)*100</f>
        <v>0</v>
      </c>
      <c r="BE551" s="5">
        <v>0</v>
      </c>
      <c r="BF551" s="5">
        <f>551</f>
        <v>551</v>
      </c>
      <c r="BH551" s="5">
        <f>F551*AO551</f>
        <v>0</v>
      </c>
      <c r="BI551" s="5">
        <f>F551*AP551</f>
        <v>0</v>
      </c>
      <c r="BJ551" s="5">
        <f>F551*G551</f>
        <v>0</v>
      </c>
      <c r="BK551" s="5"/>
      <c r="BL551" s="5">
        <v>62</v>
      </c>
      <c r="BW551" s="5">
        <v>21</v>
      </c>
      <c r="BX551" s="2" t="s">
        <v>902</v>
      </c>
    </row>
    <row r="552" spans="1:76" ht="27" customHeight="1" x14ac:dyDescent="0.25">
      <c r="A552" s="154"/>
      <c r="B552" s="155"/>
      <c r="C552" s="156" t="s">
        <v>906</v>
      </c>
      <c r="D552" s="157"/>
      <c r="E552" s="157"/>
      <c r="F552" s="157"/>
      <c r="G552" s="157"/>
      <c r="H552" s="157"/>
      <c r="I552" s="157"/>
      <c r="J552" s="157"/>
      <c r="K552" s="158"/>
    </row>
    <row r="553" spans="1:76" x14ac:dyDescent="0.25">
      <c r="A553" s="154"/>
      <c r="B553" s="155"/>
      <c r="C553" s="159" t="s">
        <v>907</v>
      </c>
      <c r="D553" s="160" t="s">
        <v>865</v>
      </c>
      <c r="E553" s="155"/>
      <c r="F553" s="161">
        <v>11</v>
      </c>
      <c r="G553" s="155"/>
      <c r="H553" s="155"/>
      <c r="I553" s="155"/>
      <c r="J553" s="155"/>
      <c r="K553" s="162"/>
    </row>
    <row r="554" spans="1:76" x14ac:dyDescent="0.25">
      <c r="A554" s="154"/>
      <c r="B554" s="163" t="s">
        <v>85</v>
      </c>
      <c r="C554" s="156" t="s">
        <v>908</v>
      </c>
      <c r="D554" s="157"/>
      <c r="E554" s="157"/>
      <c r="F554" s="157"/>
      <c r="G554" s="157"/>
      <c r="H554" s="157"/>
      <c r="I554" s="157"/>
      <c r="J554" s="157"/>
      <c r="K554" s="158"/>
      <c r="BX554" s="7" t="s">
        <v>908</v>
      </c>
    </row>
    <row r="555" spans="1:76" x14ac:dyDescent="0.25">
      <c r="A555" s="146" t="s">
        <v>52</v>
      </c>
      <c r="B555" s="147" t="s">
        <v>704</v>
      </c>
      <c r="C555" s="148" t="s">
        <v>705</v>
      </c>
      <c r="D555" s="113"/>
      <c r="E555" s="149" t="s">
        <v>33</v>
      </c>
      <c r="F555" s="149" t="s">
        <v>33</v>
      </c>
      <c r="G555" s="149" t="s">
        <v>33</v>
      </c>
      <c r="H555" s="150">
        <f>SUM(H556:H592)</f>
        <v>0</v>
      </c>
      <c r="I555" s="150">
        <f>SUM(I556:I592)</f>
        <v>0</v>
      </c>
      <c r="J555" s="150">
        <f>SUM(J556:J592)</f>
        <v>0</v>
      </c>
      <c r="K555" s="151" t="s">
        <v>52</v>
      </c>
      <c r="AI555" s="3" t="s">
        <v>899</v>
      </c>
      <c r="AS555" s="1">
        <f>SUM(AJ556:AJ592)</f>
        <v>0</v>
      </c>
      <c r="AT555" s="1">
        <f>SUM(AK556:AK592)</f>
        <v>0</v>
      </c>
      <c r="AU555" s="1">
        <f>SUM(AL556:AL592)</f>
        <v>0</v>
      </c>
    </row>
    <row r="556" spans="1:76" x14ac:dyDescent="0.25">
      <c r="A556" s="146" t="s">
        <v>909</v>
      </c>
      <c r="B556" s="149" t="s">
        <v>910</v>
      </c>
      <c r="C556" s="116" t="s">
        <v>911</v>
      </c>
      <c r="D556" s="112"/>
      <c r="E556" s="149" t="s">
        <v>709</v>
      </c>
      <c r="F556" s="152">
        <v>1</v>
      </c>
      <c r="G556" s="152">
        <v>0</v>
      </c>
      <c r="H556" s="152">
        <f>F556*AO556</f>
        <v>0</v>
      </c>
      <c r="I556" s="152">
        <f>F556*AP556</f>
        <v>0</v>
      </c>
      <c r="J556" s="152">
        <f>F556*G556</f>
        <v>0</v>
      </c>
      <c r="K556" s="153" t="s">
        <v>100</v>
      </c>
      <c r="Z556" s="5">
        <f>IF(AQ556="5",BJ556,0)</f>
        <v>0</v>
      </c>
      <c r="AB556" s="5">
        <f>IF(AQ556="1",BH556,0)</f>
        <v>0</v>
      </c>
      <c r="AC556" s="5">
        <f>IF(AQ556="1",BI556,0)</f>
        <v>0</v>
      </c>
      <c r="AD556" s="5">
        <f>IF(AQ556="7",BH556,0)</f>
        <v>0</v>
      </c>
      <c r="AE556" s="5">
        <f>IF(AQ556="7",BI556,0)</f>
        <v>0</v>
      </c>
      <c r="AF556" s="5">
        <f>IF(AQ556="2",BH556,0)</f>
        <v>0</v>
      </c>
      <c r="AG556" s="5">
        <f>IF(AQ556="2",BI556,0)</f>
        <v>0</v>
      </c>
      <c r="AH556" s="5">
        <f>IF(AQ556="0",BJ556,0)</f>
        <v>0</v>
      </c>
      <c r="AI556" s="3" t="s">
        <v>899</v>
      </c>
      <c r="AJ556" s="5">
        <f>IF(AN556=0,J556,0)</f>
        <v>0</v>
      </c>
      <c r="AK556" s="5">
        <f>IF(AN556=12,J556,0)</f>
        <v>0</v>
      </c>
      <c r="AL556" s="5">
        <f>IF(AN556=21,J556,0)</f>
        <v>0</v>
      </c>
      <c r="AN556" s="5">
        <v>21</v>
      </c>
      <c r="AO556" s="5">
        <f>G556*0.098515862</f>
        <v>0</v>
      </c>
      <c r="AP556" s="5">
        <f>G556*(1-0.098515862)</f>
        <v>0</v>
      </c>
      <c r="AQ556" s="6" t="s">
        <v>60</v>
      </c>
      <c r="AV556" s="5">
        <f>AW556+AX556</f>
        <v>0</v>
      </c>
      <c r="AW556" s="5">
        <f>F556*AO556</f>
        <v>0</v>
      </c>
      <c r="AX556" s="5">
        <f>F556*AP556</f>
        <v>0</v>
      </c>
      <c r="AY556" s="6" t="s">
        <v>710</v>
      </c>
      <c r="AZ556" s="6" t="s">
        <v>912</v>
      </c>
      <c r="BA556" s="3" t="s">
        <v>905</v>
      </c>
      <c r="BC556" s="5">
        <f>AW556+AX556</f>
        <v>0</v>
      </c>
      <c r="BD556" s="5">
        <f>G556/(100-BE556)*100</f>
        <v>0</v>
      </c>
      <c r="BE556" s="5">
        <v>0</v>
      </c>
      <c r="BF556" s="5">
        <f>556</f>
        <v>556</v>
      </c>
      <c r="BH556" s="5">
        <f>F556*AO556</f>
        <v>0</v>
      </c>
      <c r="BI556" s="5">
        <f>F556*AP556</f>
        <v>0</v>
      </c>
      <c r="BJ556" s="5">
        <f>F556*G556</f>
        <v>0</v>
      </c>
      <c r="BK556" s="5"/>
      <c r="BL556" s="5"/>
      <c r="BW556" s="5">
        <v>21</v>
      </c>
      <c r="BX556" s="2" t="s">
        <v>911</v>
      </c>
    </row>
    <row r="557" spans="1:76" ht="13.5" customHeight="1" x14ac:dyDescent="0.25">
      <c r="A557" s="154"/>
      <c r="B557" s="155"/>
      <c r="C557" s="156" t="s">
        <v>913</v>
      </c>
      <c r="D557" s="157"/>
      <c r="E557" s="157"/>
      <c r="F557" s="157"/>
      <c r="G557" s="157"/>
      <c r="H557" s="157"/>
      <c r="I557" s="157"/>
      <c r="J557" s="157"/>
      <c r="K557" s="158"/>
    </row>
    <row r="558" spans="1:76" x14ac:dyDescent="0.25">
      <c r="A558" s="154"/>
      <c r="B558" s="155"/>
      <c r="C558" s="159" t="s">
        <v>57</v>
      </c>
      <c r="D558" s="160" t="s">
        <v>52</v>
      </c>
      <c r="E558" s="155"/>
      <c r="F558" s="161">
        <v>1</v>
      </c>
      <c r="G558" s="155"/>
      <c r="H558" s="155"/>
      <c r="I558" s="155"/>
      <c r="J558" s="155"/>
      <c r="K558" s="162"/>
    </row>
    <row r="559" spans="1:76" x14ac:dyDescent="0.25">
      <c r="A559" s="146" t="s">
        <v>914</v>
      </c>
      <c r="B559" s="149" t="s">
        <v>915</v>
      </c>
      <c r="C559" s="116" t="s">
        <v>911</v>
      </c>
      <c r="D559" s="112"/>
      <c r="E559" s="149" t="s">
        <v>709</v>
      </c>
      <c r="F559" s="152">
        <v>1</v>
      </c>
      <c r="G559" s="152">
        <v>0</v>
      </c>
      <c r="H559" s="152">
        <f>F559*AO559</f>
        <v>0</v>
      </c>
      <c r="I559" s="152">
        <f>F559*AP559</f>
        <v>0</v>
      </c>
      <c r="J559" s="152">
        <f>F559*G559</f>
        <v>0</v>
      </c>
      <c r="K559" s="153" t="s">
        <v>100</v>
      </c>
      <c r="Z559" s="5">
        <f>IF(AQ559="5",BJ559,0)</f>
        <v>0</v>
      </c>
      <c r="AB559" s="5">
        <f>IF(AQ559="1",BH559,0)</f>
        <v>0</v>
      </c>
      <c r="AC559" s="5">
        <f>IF(AQ559="1",BI559,0)</f>
        <v>0</v>
      </c>
      <c r="AD559" s="5">
        <f>IF(AQ559="7",BH559,0)</f>
        <v>0</v>
      </c>
      <c r="AE559" s="5">
        <f>IF(AQ559="7",BI559,0)</f>
        <v>0</v>
      </c>
      <c r="AF559" s="5">
        <f>IF(AQ559="2",BH559,0)</f>
        <v>0</v>
      </c>
      <c r="AG559" s="5">
        <f>IF(AQ559="2",BI559,0)</f>
        <v>0</v>
      </c>
      <c r="AH559" s="5">
        <f>IF(AQ559="0",BJ559,0)</f>
        <v>0</v>
      </c>
      <c r="AI559" s="3" t="s">
        <v>899</v>
      </c>
      <c r="AJ559" s="5">
        <f>IF(AN559=0,J559,0)</f>
        <v>0</v>
      </c>
      <c r="AK559" s="5">
        <f>IF(AN559=12,J559,0)</f>
        <v>0</v>
      </c>
      <c r="AL559" s="5">
        <f>IF(AN559=21,J559,0)</f>
        <v>0</v>
      </c>
      <c r="AN559" s="5">
        <v>21</v>
      </c>
      <c r="AO559" s="5">
        <f>G559*0.098515652</f>
        <v>0</v>
      </c>
      <c r="AP559" s="5">
        <f>G559*(1-0.098515652)</f>
        <v>0</v>
      </c>
      <c r="AQ559" s="6" t="s">
        <v>60</v>
      </c>
      <c r="AV559" s="5">
        <f>AW559+AX559</f>
        <v>0</v>
      </c>
      <c r="AW559" s="5">
        <f>F559*AO559</f>
        <v>0</v>
      </c>
      <c r="AX559" s="5">
        <f>F559*AP559</f>
        <v>0</v>
      </c>
      <c r="AY559" s="6" t="s">
        <v>710</v>
      </c>
      <c r="AZ559" s="6" t="s">
        <v>912</v>
      </c>
      <c r="BA559" s="3" t="s">
        <v>905</v>
      </c>
      <c r="BC559" s="5">
        <f>AW559+AX559</f>
        <v>0</v>
      </c>
      <c r="BD559" s="5">
        <f>G559/(100-BE559)*100</f>
        <v>0</v>
      </c>
      <c r="BE559" s="5">
        <v>0</v>
      </c>
      <c r="BF559" s="5">
        <f>559</f>
        <v>559</v>
      </c>
      <c r="BH559" s="5">
        <f>F559*AO559</f>
        <v>0</v>
      </c>
      <c r="BI559" s="5">
        <f>F559*AP559</f>
        <v>0</v>
      </c>
      <c r="BJ559" s="5">
        <f>F559*G559</f>
        <v>0</v>
      </c>
      <c r="BK559" s="5"/>
      <c r="BL559" s="5"/>
      <c r="BW559" s="5">
        <v>21</v>
      </c>
      <c r="BX559" s="2" t="s">
        <v>911</v>
      </c>
    </row>
    <row r="560" spans="1:76" ht="40.5" customHeight="1" x14ac:dyDescent="0.25">
      <c r="A560" s="154"/>
      <c r="B560" s="155"/>
      <c r="C560" s="156" t="s">
        <v>916</v>
      </c>
      <c r="D560" s="157"/>
      <c r="E560" s="157"/>
      <c r="F560" s="157"/>
      <c r="G560" s="157"/>
      <c r="H560" s="157"/>
      <c r="I560" s="157"/>
      <c r="J560" s="157"/>
      <c r="K560" s="158"/>
    </row>
    <row r="561" spans="1:76" x14ac:dyDescent="0.25">
      <c r="A561" s="154"/>
      <c r="B561" s="155"/>
      <c r="C561" s="159" t="s">
        <v>57</v>
      </c>
      <c r="D561" s="160" t="s">
        <v>52</v>
      </c>
      <c r="E561" s="155"/>
      <c r="F561" s="161">
        <v>1</v>
      </c>
      <c r="G561" s="155"/>
      <c r="H561" s="155"/>
      <c r="I561" s="155"/>
      <c r="J561" s="155"/>
      <c r="K561" s="162"/>
    </row>
    <row r="562" spans="1:76" x14ac:dyDescent="0.25">
      <c r="A562" s="146" t="s">
        <v>917</v>
      </c>
      <c r="B562" s="149" t="s">
        <v>918</v>
      </c>
      <c r="C562" s="116" t="s">
        <v>911</v>
      </c>
      <c r="D562" s="112"/>
      <c r="E562" s="149" t="s">
        <v>709</v>
      </c>
      <c r="F562" s="152">
        <v>1</v>
      </c>
      <c r="G562" s="152">
        <v>0</v>
      </c>
      <c r="H562" s="152">
        <f>F562*AO562</f>
        <v>0</v>
      </c>
      <c r="I562" s="152">
        <f>F562*AP562</f>
        <v>0</v>
      </c>
      <c r="J562" s="152">
        <f>F562*G562</f>
        <v>0</v>
      </c>
      <c r="K562" s="153" t="s">
        <v>100</v>
      </c>
      <c r="Z562" s="5">
        <f>IF(AQ562="5",BJ562,0)</f>
        <v>0</v>
      </c>
      <c r="AB562" s="5">
        <f>IF(AQ562="1",BH562,0)</f>
        <v>0</v>
      </c>
      <c r="AC562" s="5">
        <f>IF(AQ562="1",BI562,0)</f>
        <v>0</v>
      </c>
      <c r="AD562" s="5">
        <f>IF(AQ562="7",BH562,0)</f>
        <v>0</v>
      </c>
      <c r="AE562" s="5">
        <f>IF(AQ562="7",BI562,0)</f>
        <v>0</v>
      </c>
      <c r="AF562" s="5">
        <f>IF(AQ562="2",BH562,0)</f>
        <v>0</v>
      </c>
      <c r="AG562" s="5">
        <f>IF(AQ562="2",BI562,0)</f>
        <v>0</v>
      </c>
      <c r="AH562" s="5">
        <f>IF(AQ562="0",BJ562,0)</f>
        <v>0</v>
      </c>
      <c r="AI562" s="3" t="s">
        <v>899</v>
      </c>
      <c r="AJ562" s="5">
        <f>IF(AN562=0,J562,0)</f>
        <v>0</v>
      </c>
      <c r="AK562" s="5">
        <f>IF(AN562=12,J562,0)</f>
        <v>0</v>
      </c>
      <c r="AL562" s="5">
        <f>IF(AN562=21,J562,0)</f>
        <v>0</v>
      </c>
      <c r="AN562" s="5">
        <v>21</v>
      </c>
      <c r="AO562" s="5">
        <f>G562*0.098515862</f>
        <v>0</v>
      </c>
      <c r="AP562" s="5">
        <f>G562*(1-0.098515862)</f>
        <v>0</v>
      </c>
      <c r="AQ562" s="6" t="s">
        <v>60</v>
      </c>
      <c r="AV562" s="5">
        <f>AW562+AX562</f>
        <v>0</v>
      </c>
      <c r="AW562" s="5">
        <f>F562*AO562</f>
        <v>0</v>
      </c>
      <c r="AX562" s="5">
        <f>F562*AP562</f>
        <v>0</v>
      </c>
      <c r="AY562" s="6" t="s">
        <v>710</v>
      </c>
      <c r="AZ562" s="6" t="s">
        <v>912</v>
      </c>
      <c r="BA562" s="3" t="s">
        <v>905</v>
      </c>
      <c r="BC562" s="5">
        <f>AW562+AX562</f>
        <v>0</v>
      </c>
      <c r="BD562" s="5">
        <f>G562/(100-BE562)*100</f>
        <v>0</v>
      </c>
      <c r="BE562" s="5">
        <v>0</v>
      </c>
      <c r="BF562" s="5">
        <f>562</f>
        <v>562</v>
      </c>
      <c r="BH562" s="5">
        <f>F562*AO562</f>
        <v>0</v>
      </c>
      <c r="BI562" s="5">
        <f>F562*AP562</f>
        <v>0</v>
      </c>
      <c r="BJ562" s="5">
        <f>F562*G562</f>
        <v>0</v>
      </c>
      <c r="BK562" s="5"/>
      <c r="BL562" s="5"/>
      <c r="BW562" s="5">
        <v>21</v>
      </c>
      <c r="BX562" s="2" t="s">
        <v>911</v>
      </c>
    </row>
    <row r="563" spans="1:76" ht="54" customHeight="1" x14ac:dyDescent="0.25">
      <c r="A563" s="154"/>
      <c r="B563" s="155"/>
      <c r="C563" s="156" t="s">
        <v>919</v>
      </c>
      <c r="D563" s="157"/>
      <c r="E563" s="157"/>
      <c r="F563" s="157"/>
      <c r="G563" s="157"/>
      <c r="H563" s="157"/>
      <c r="I563" s="157"/>
      <c r="J563" s="157"/>
      <c r="K563" s="158"/>
    </row>
    <row r="564" spans="1:76" x14ac:dyDescent="0.25">
      <c r="A564" s="154"/>
      <c r="B564" s="155"/>
      <c r="C564" s="159" t="s">
        <v>57</v>
      </c>
      <c r="D564" s="160" t="s">
        <v>52</v>
      </c>
      <c r="E564" s="155"/>
      <c r="F564" s="161">
        <v>1</v>
      </c>
      <c r="G564" s="155"/>
      <c r="H564" s="155"/>
      <c r="I564" s="155"/>
      <c r="J564" s="155"/>
      <c r="K564" s="162"/>
    </row>
    <row r="565" spans="1:76" ht="25.5" x14ac:dyDescent="0.25">
      <c r="A565" s="146" t="s">
        <v>920</v>
      </c>
      <c r="B565" s="149" t="s">
        <v>921</v>
      </c>
      <c r="C565" s="116" t="s">
        <v>922</v>
      </c>
      <c r="D565" s="112"/>
      <c r="E565" s="149" t="s">
        <v>709</v>
      </c>
      <c r="F565" s="152">
        <v>197</v>
      </c>
      <c r="G565" s="152">
        <v>0</v>
      </c>
      <c r="H565" s="152">
        <f>F565*AO565</f>
        <v>0</v>
      </c>
      <c r="I565" s="152">
        <f>F565*AP565</f>
        <v>0</v>
      </c>
      <c r="J565" s="152">
        <f>F565*G565</f>
        <v>0</v>
      </c>
      <c r="K565" s="153" t="s">
        <v>100</v>
      </c>
      <c r="Z565" s="5">
        <f>IF(AQ565="5",BJ565,0)</f>
        <v>0</v>
      </c>
      <c r="AB565" s="5">
        <f>IF(AQ565="1",BH565,0)</f>
        <v>0</v>
      </c>
      <c r="AC565" s="5">
        <f>IF(AQ565="1",BI565,0)</f>
        <v>0</v>
      </c>
      <c r="AD565" s="5">
        <f>IF(AQ565="7",BH565,0)</f>
        <v>0</v>
      </c>
      <c r="AE565" s="5">
        <f>IF(AQ565="7",BI565,0)</f>
        <v>0</v>
      </c>
      <c r="AF565" s="5">
        <f>IF(AQ565="2",BH565,0)</f>
        <v>0</v>
      </c>
      <c r="AG565" s="5">
        <f>IF(AQ565="2",BI565,0)</f>
        <v>0</v>
      </c>
      <c r="AH565" s="5">
        <f>IF(AQ565="0",BJ565,0)</f>
        <v>0</v>
      </c>
      <c r="AI565" s="3" t="s">
        <v>899</v>
      </c>
      <c r="AJ565" s="5">
        <f>IF(AN565=0,J565,0)</f>
        <v>0</v>
      </c>
      <c r="AK565" s="5">
        <f>IF(AN565=12,J565,0)</f>
        <v>0</v>
      </c>
      <c r="AL565" s="5">
        <f>IF(AN565=21,J565,0)</f>
        <v>0</v>
      </c>
      <c r="AN565" s="5">
        <v>21</v>
      </c>
      <c r="AO565" s="5">
        <f>G565*0.098482759</f>
        <v>0</v>
      </c>
      <c r="AP565" s="5">
        <f>G565*(1-0.098482759)</f>
        <v>0</v>
      </c>
      <c r="AQ565" s="6" t="s">
        <v>60</v>
      </c>
      <c r="AV565" s="5">
        <f>AW565+AX565</f>
        <v>0</v>
      </c>
      <c r="AW565" s="5">
        <f>F565*AO565</f>
        <v>0</v>
      </c>
      <c r="AX565" s="5">
        <f>F565*AP565</f>
        <v>0</v>
      </c>
      <c r="AY565" s="6" t="s">
        <v>710</v>
      </c>
      <c r="AZ565" s="6" t="s">
        <v>912</v>
      </c>
      <c r="BA565" s="3" t="s">
        <v>905</v>
      </c>
      <c r="BC565" s="5">
        <f>AW565+AX565</f>
        <v>0</v>
      </c>
      <c r="BD565" s="5">
        <f>G565/(100-BE565)*100</f>
        <v>0</v>
      </c>
      <c r="BE565" s="5">
        <v>0</v>
      </c>
      <c r="BF565" s="5">
        <f>565</f>
        <v>565</v>
      </c>
      <c r="BH565" s="5">
        <f>F565*AO565</f>
        <v>0</v>
      </c>
      <c r="BI565" s="5">
        <f>F565*AP565</f>
        <v>0</v>
      </c>
      <c r="BJ565" s="5">
        <f>F565*G565</f>
        <v>0</v>
      </c>
      <c r="BK565" s="5"/>
      <c r="BL565" s="5"/>
      <c r="BW565" s="5">
        <v>21</v>
      </c>
      <c r="BX565" s="2" t="s">
        <v>922</v>
      </c>
    </row>
    <row r="566" spans="1:76" ht="13.5" customHeight="1" x14ac:dyDescent="0.25">
      <c r="A566" s="154"/>
      <c r="B566" s="155"/>
      <c r="C566" s="156" t="s">
        <v>923</v>
      </c>
      <c r="D566" s="157"/>
      <c r="E566" s="157"/>
      <c r="F566" s="157"/>
      <c r="G566" s="157"/>
      <c r="H566" s="157"/>
      <c r="I566" s="157"/>
      <c r="J566" s="157"/>
      <c r="K566" s="158"/>
    </row>
    <row r="567" spans="1:76" x14ac:dyDescent="0.25">
      <c r="A567" s="154"/>
      <c r="B567" s="155"/>
      <c r="C567" s="159" t="s">
        <v>924</v>
      </c>
      <c r="D567" s="160" t="s">
        <v>52</v>
      </c>
      <c r="E567" s="155"/>
      <c r="F567" s="161">
        <v>197</v>
      </c>
      <c r="G567" s="155"/>
      <c r="H567" s="155"/>
      <c r="I567" s="155"/>
      <c r="J567" s="155"/>
      <c r="K567" s="162"/>
    </row>
    <row r="568" spans="1:76" ht="25.5" x14ac:dyDescent="0.25">
      <c r="A568" s="146" t="s">
        <v>925</v>
      </c>
      <c r="B568" s="149" t="s">
        <v>926</v>
      </c>
      <c r="C568" s="116" t="s">
        <v>922</v>
      </c>
      <c r="D568" s="112"/>
      <c r="E568" s="149" t="s">
        <v>709</v>
      </c>
      <c r="F568" s="152">
        <v>2</v>
      </c>
      <c r="G568" s="152">
        <v>0</v>
      </c>
      <c r="H568" s="152">
        <f>F568*AO568</f>
        <v>0</v>
      </c>
      <c r="I568" s="152">
        <f>F568*AP568</f>
        <v>0</v>
      </c>
      <c r="J568" s="152">
        <f>F568*G568</f>
        <v>0</v>
      </c>
      <c r="K568" s="153" t="s">
        <v>100</v>
      </c>
      <c r="Z568" s="5">
        <f>IF(AQ568="5",BJ568,0)</f>
        <v>0</v>
      </c>
      <c r="AB568" s="5">
        <f>IF(AQ568="1",BH568,0)</f>
        <v>0</v>
      </c>
      <c r="AC568" s="5">
        <f>IF(AQ568="1",BI568,0)</f>
        <v>0</v>
      </c>
      <c r="AD568" s="5">
        <f>IF(AQ568="7",BH568,0)</f>
        <v>0</v>
      </c>
      <c r="AE568" s="5">
        <f>IF(AQ568="7",BI568,0)</f>
        <v>0</v>
      </c>
      <c r="AF568" s="5">
        <f>IF(AQ568="2",BH568,0)</f>
        <v>0</v>
      </c>
      <c r="AG568" s="5">
        <f>IF(AQ568="2",BI568,0)</f>
        <v>0</v>
      </c>
      <c r="AH568" s="5">
        <f>IF(AQ568="0",BJ568,0)</f>
        <v>0</v>
      </c>
      <c r="AI568" s="3" t="s">
        <v>899</v>
      </c>
      <c r="AJ568" s="5">
        <f>IF(AN568=0,J568,0)</f>
        <v>0</v>
      </c>
      <c r="AK568" s="5">
        <f>IF(AN568=12,J568,0)</f>
        <v>0</v>
      </c>
      <c r="AL568" s="5">
        <f>IF(AN568=21,J568,0)</f>
        <v>0</v>
      </c>
      <c r="AN568" s="5">
        <v>21</v>
      </c>
      <c r="AO568" s="5">
        <f>G568*0.098493506</f>
        <v>0</v>
      </c>
      <c r="AP568" s="5">
        <f>G568*(1-0.098493506)</f>
        <v>0</v>
      </c>
      <c r="AQ568" s="6" t="s">
        <v>60</v>
      </c>
      <c r="AV568" s="5">
        <f>AW568+AX568</f>
        <v>0</v>
      </c>
      <c r="AW568" s="5">
        <f>F568*AO568</f>
        <v>0</v>
      </c>
      <c r="AX568" s="5">
        <f>F568*AP568</f>
        <v>0</v>
      </c>
      <c r="AY568" s="6" t="s">
        <v>710</v>
      </c>
      <c r="AZ568" s="6" t="s">
        <v>912</v>
      </c>
      <c r="BA568" s="3" t="s">
        <v>905</v>
      </c>
      <c r="BC568" s="5">
        <f>AW568+AX568</f>
        <v>0</v>
      </c>
      <c r="BD568" s="5">
        <f>G568/(100-BE568)*100</f>
        <v>0</v>
      </c>
      <c r="BE568" s="5">
        <v>0</v>
      </c>
      <c r="BF568" s="5">
        <f>568</f>
        <v>568</v>
      </c>
      <c r="BH568" s="5">
        <f>F568*AO568</f>
        <v>0</v>
      </c>
      <c r="BI568" s="5">
        <f>F568*AP568</f>
        <v>0</v>
      </c>
      <c r="BJ568" s="5">
        <f>F568*G568</f>
        <v>0</v>
      </c>
      <c r="BK568" s="5"/>
      <c r="BL568" s="5"/>
      <c r="BW568" s="5">
        <v>21</v>
      </c>
      <c r="BX568" s="2" t="s">
        <v>922</v>
      </c>
    </row>
    <row r="569" spans="1:76" ht="13.5" customHeight="1" x14ac:dyDescent="0.25">
      <c r="A569" s="154"/>
      <c r="B569" s="155"/>
      <c r="C569" s="156" t="s">
        <v>927</v>
      </c>
      <c r="D569" s="157"/>
      <c r="E569" s="157"/>
      <c r="F569" s="157"/>
      <c r="G569" s="157"/>
      <c r="H569" s="157"/>
      <c r="I569" s="157"/>
      <c r="J569" s="157"/>
      <c r="K569" s="158"/>
    </row>
    <row r="570" spans="1:76" x14ac:dyDescent="0.25">
      <c r="A570" s="154"/>
      <c r="B570" s="155"/>
      <c r="C570" s="159" t="s">
        <v>60</v>
      </c>
      <c r="D570" s="160" t="s">
        <v>52</v>
      </c>
      <c r="E570" s="155"/>
      <c r="F570" s="161">
        <v>2</v>
      </c>
      <c r="G570" s="155"/>
      <c r="H570" s="155"/>
      <c r="I570" s="155"/>
      <c r="J570" s="155"/>
      <c r="K570" s="162"/>
    </row>
    <row r="571" spans="1:76" ht="25.5" x14ac:dyDescent="0.25">
      <c r="A571" s="146" t="s">
        <v>928</v>
      </c>
      <c r="B571" s="149" t="s">
        <v>929</v>
      </c>
      <c r="C571" s="116" t="s">
        <v>930</v>
      </c>
      <c r="D571" s="112"/>
      <c r="E571" s="149" t="s">
        <v>197</v>
      </c>
      <c r="F571" s="152">
        <v>8</v>
      </c>
      <c r="G571" s="152">
        <v>0</v>
      </c>
      <c r="H571" s="152">
        <f>F571*AO571</f>
        <v>0</v>
      </c>
      <c r="I571" s="152">
        <f>F571*AP571</f>
        <v>0</v>
      </c>
      <c r="J571" s="152">
        <f>F571*G571</f>
        <v>0</v>
      </c>
      <c r="K571" s="153" t="s">
        <v>100</v>
      </c>
      <c r="Z571" s="5">
        <f>IF(AQ571="5",BJ571,0)</f>
        <v>0</v>
      </c>
      <c r="AB571" s="5">
        <f>IF(AQ571="1",BH571,0)</f>
        <v>0</v>
      </c>
      <c r="AC571" s="5">
        <f>IF(AQ571="1",BI571,0)</f>
        <v>0</v>
      </c>
      <c r="AD571" s="5">
        <f>IF(AQ571="7",BH571,0)</f>
        <v>0</v>
      </c>
      <c r="AE571" s="5">
        <f>IF(AQ571="7",BI571,0)</f>
        <v>0</v>
      </c>
      <c r="AF571" s="5">
        <f>IF(AQ571="2",BH571,0)</f>
        <v>0</v>
      </c>
      <c r="AG571" s="5">
        <f>IF(AQ571="2",BI571,0)</f>
        <v>0</v>
      </c>
      <c r="AH571" s="5">
        <f>IF(AQ571="0",BJ571,0)</f>
        <v>0</v>
      </c>
      <c r="AI571" s="3" t="s">
        <v>899</v>
      </c>
      <c r="AJ571" s="5">
        <f>IF(AN571=0,J571,0)</f>
        <v>0</v>
      </c>
      <c r="AK571" s="5">
        <f>IF(AN571=12,J571,0)</f>
        <v>0</v>
      </c>
      <c r="AL571" s="5">
        <f>IF(AN571=21,J571,0)</f>
        <v>0</v>
      </c>
      <c r="AN571" s="5">
        <v>21</v>
      </c>
      <c r="AO571" s="5">
        <f>G571*0.098494297</f>
        <v>0</v>
      </c>
      <c r="AP571" s="5">
        <f>G571*(1-0.098494297)</f>
        <v>0</v>
      </c>
      <c r="AQ571" s="6" t="s">
        <v>60</v>
      </c>
      <c r="AV571" s="5">
        <f>AW571+AX571</f>
        <v>0</v>
      </c>
      <c r="AW571" s="5">
        <f>F571*AO571</f>
        <v>0</v>
      </c>
      <c r="AX571" s="5">
        <f>F571*AP571</f>
        <v>0</v>
      </c>
      <c r="AY571" s="6" t="s">
        <v>710</v>
      </c>
      <c r="AZ571" s="6" t="s">
        <v>912</v>
      </c>
      <c r="BA571" s="3" t="s">
        <v>905</v>
      </c>
      <c r="BC571" s="5">
        <f>AW571+AX571</f>
        <v>0</v>
      </c>
      <c r="BD571" s="5">
        <f>G571/(100-BE571)*100</f>
        <v>0</v>
      </c>
      <c r="BE571" s="5">
        <v>0</v>
      </c>
      <c r="BF571" s="5">
        <f>571</f>
        <v>571</v>
      </c>
      <c r="BH571" s="5">
        <f>F571*AO571</f>
        <v>0</v>
      </c>
      <c r="BI571" s="5">
        <f>F571*AP571</f>
        <v>0</v>
      </c>
      <c r="BJ571" s="5">
        <f>F571*G571</f>
        <v>0</v>
      </c>
      <c r="BK571" s="5"/>
      <c r="BL571" s="5"/>
      <c r="BW571" s="5">
        <v>21</v>
      </c>
      <c r="BX571" s="2" t="s">
        <v>930</v>
      </c>
    </row>
    <row r="572" spans="1:76" ht="13.5" customHeight="1" x14ac:dyDescent="0.25">
      <c r="A572" s="154"/>
      <c r="B572" s="155"/>
      <c r="C572" s="156" t="s">
        <v>931</v>
      </c>
      <c r="D572" s="157"/>
      <c r="E572" s="157"/>
      <c r="F572" s="157"/>
      <c r="G572" s="157"/>
      <c r="H572" s="157"/>
      <c r="I572" s="157"/>
      <c r="J572" s="157"/>
      <c r="K572" s="158"/>
    </row>
    <row r="573" spans="1:76" x14ac:dyDescent="0.25">
      <c r="A573" s="154"/>
      <c r="B573" s="155"/>
      <c r="C573" s="159" t="s">
        <v>108</v>
      </c>
      <c r="D573" s="160" t="s">
        <v>52</v>
      </c>
      <c r="E573" s="155"/>
      <c r="F573" s="161">
        <v>8</v>
      </c>
      <c r="G573" s="155"/>
      <c r="H573" s="155"/>
      <c r="I573" s="155"/>
      <c r="J573" s="155"/>
      <c r="K573" s="162"/>
    </row>
    <row r="574" spans="1:76" ht="25.5" x14ac:dyDescent="0.25">
      <c r="A574" s="146" t="s">
        <v>932</v>
      </c>
      <c r="B574" s="149" t="s">
        <v>933</v>
      </c>
      <c r="C574" s="116" t="s">
        <v>930</v>
      </c>
      <c r="D574" s="112"/>
      <c r="E574" s="149" t="s">
        <v>197</v>
      </c>
      <c r="F574" s="152">
        <v>20</v>
      </c>
      <c r="G574" s="152">
        <v>0</v>
      </c>
      <c r="H574" s="152">
        <f>F574*AO574</f>
        <v>0</v>
      </c>
      <c r="I574" s="152">
        <f>F574*AP574</f>
        <v>0</v>
      </c>
      <c r="J574" s="152">
        <f>F574*G574</f>
        <v>0</v>
      </c>
      <c r="K574" s="153" t="s">
        <v>100</v>
      </c>
      <c r="Z574" s="5">
        <f>IF(AQ574="5",BJ574,0)</f>
        <v>0</v>
      </c>
      <c r="AB574" s="5">
        <f>IF(AQ574="1",BH574,0)</f>
        <v>0</v>
      </c>
      <c r="AC574" s="5">
        <f>IF(AQ574="1",BI574,0)</f>
        <v>0</v>
      </c>
      <c r="AD574" s="5">
        <f>IF(AQ574="7",BH574,0)</f>
        <v>0</v>
      </c>
      <c r="AE574" s="5">
        <f>IF(AQ574="7",BI574,0)</f>
        <v>0</v>
      </c>
      <c r="AF574" s="5">
        <f>IF(AQ574="2",BH574,0)</f>
        <v>0</v>
      </c>
      <c r="AG574" s="5">
        <f>IF(AQ574="2",BI574,0)</f>
        <v>0</v>
      </c>
      <c r="AH574" s="5">
        <f>IF(AQ574="0",BJ574,0)</f>
        <v>0</v>
      </c>
      <c r="AI574" s="3" t="s">
        <v>899</v>
      </c>
      <c r="AJ574" s="5">
        <f>IF(AN574=0,J574,0)</f>
        <v>0</v>
      </c>
      <c r="AK574" s="5">
        <f>IF(AN574=12,J574,0)</f>
        <v>0</v>
      </c>
      <c r="AL574" s="5">
        <f>IF(AN574=21,J574,0)</f>
        <v>0</v>
      </c>
      <c r="AN574" s="5">
        <v>21</v>
      </c>
      <c r="AO574" s="5">
        <f>G574*0.098459384</f>
        <v>0</v>
      </c>
      <c r="AP574" s="5">
        <f>G574*(1-0.098459384)</f>
        <v>0</v>
      </c>
      <c r="AQ574" s="6" t="s">
        <v>60</v>
      </c>
      <c r="AV574" s="5">
        <f>AW574+AX574</f>
        <v>0</v>
      </c>
      <c r="AW574" s="5">
        <f>F574*AO574</f>
        <v>0</v>
      </c>
      <c r="AX574" s="5">
        <f>F574*AP574</f>
        <v>0</v>
      </c>
      <c r="AY574" s="6" t="s">
        <v>710</v>
      </c>
      <c r="AZ574" s="6" t="s">
        <v>912</v>
      </c>
      <c r="BA574" s="3" t="s">
        <v>905</v>
      </c>
      <c r="BC574" s="5">
        <f>AW574+AX574</f>
        <v>0</v>
      </c>
      <c r="BD574" s="5">
        <f>G574/(100-BE574)*100</f>
        <v>0</v>
      </c>
      <c r="BE574" s="5">
        <v>0</v>
      </c>
      <c r="BF574" s="5">
        <f>574</f>
        <v>574</v>
      </c>
      <c r="BH574" s="5">
        <f>F574*AO574</f>
        <v>0</v>
      </c>
      <c r="BI574" s="5">
        <f>F574*AP574</f>
        <v>0</v>
      </c>
      <c r="BJ574" s="5">
        <f>F574*G574</f>
        <v>0</v>
      </c>
      <c r="BK574" s="5"/>
      <c r="BL574" s="5"/>
      <c r="BW574" s="5">
        <v>21</v>
      </c>
      <c r="BX574" s="2" t="s">
        <v>930</v>
      </c>
    </row>
    <row r="575" spans="1:76" ht="13.5" customHeight="1" x14ac:dyDescent="0.25">
      <c r="A575" s="154"/>
      <c r="B575" s="155"/>
      <c r="C575" s="156" t="s">
        <v>934</v>
      </c>
      <c r="D575" s="157"/>
      <c r="E575" s="157"/>
      <c r="F575" s="157"/>
      <c r="G575" s="157"/>
      <c r="H575" s="157"/>
      <c r="I575" s="157"/>
      <c r="J575" s="157"/>
      <c r="K575" s="158"/>
    </row>
    <row r="576" spans="1:76" x14ac:dyDescent="0.25">
      <c r="A576" s="154"/>
      <c r="B576" s="155"/>
      <c r="C576" s="159" t="s">
        <v>163</v>
      </c>
      <c r="D576" s="160" t="s">
        <v>52</v>
      </c>
      <c r="E576" s="155"/>
      <c r="F576" s="161">
        <v>20</v>
      </c>
      <c r="G576" s="155"/>
      <c r="H576" s="155"/>
      <c r="I576" s="155"/>
      <c r="J576" s="155"/>
      <c r="K576" s="162"/>
    </row>
    <row r="577" spans="1:76" ht="25.5" x14ac:dyDescent="0.25">
      <c r="A577" s="146" t="s">
        <v>935</v>
      </c>
      <c r="B577" s="149" t="s">
        <v>936</v>
      </c>
      <c r="C577" s="116" t="s">
        <v>930</v>
      </c>
      <c r="D577" s="112"/>
      <c r="E577" s="149" t="s">
        <v>197</v>
      </c>
      <c r="F577" s="152">
        <v>250</v>
      </c>
      <c r="G577" s="152">
        <v>0</v>
      </c>
      <c r="H577" s="152">
        <f>F577*AO577</f>
        <v>0</v>
      </c>
      <c r="I577" s="152">
        <f>F577*AP577</f>
        <v>0</v>
      </c>
      <c r="J577" s="152">
        <f>F577*G577</f>
        <v>0</v>
      </c>
      <c r="K577" s="153" t="s">
        <v>100</v>
      </c>
      <c r="Z577" s="5">
        <f>IF(AQ577="5",BJ577,0)</f>
        <v>0</v>
      </c>
      <c r="AB577" s="5">
        <f>IF(AQ577="1",BH577,0)</f>
        <v>0</v>
      </c>
      <c r="AC577" s="5">
        <f>IF(AQ577="1",BI577,0)</f>
        <v>0</v>
      </c>
      <c r="AD577" s="5">
        <f>IF(AQ577="7",BH577,0)</f>
        <v>0</v>
      </c>
      <c r="AE577" s="5">
        <f>IF(AQ577="7",BI577,0)</f>
        <v>0</v>
      </c>
      <c r="AF577" s="5">
        <f>IF(AQ577="2",BH577,0)</f>
        <v>0</v>
      </c>
      <c r="AG577" s="5">
        <f>IF(AQ577="2",BI577,0)</f>
        <v>0</v>
      </c>
      <c r="AH577" s="5">
        <f>IF(AQ577="0",BJ577,0)</f>
        <v>0</v>
      </c>
      <c r="AI577" s="3" t="s">
        <v>899</v>
      </c>
      <c r="AJ577" s="5">
        <f>IF(AN577=0,J577,0)</f>
        <v>0</v>
      </c>
      <c r="AK577" s="5">
        <f>IF(AN577=12,J577,0)</f>
        <v>0</v>
      </c>
      <c r="AL577" s="5">
        <f>IF(AN577=21,J577,0)</f>
        <v>0</v>
      </c>
      <c r="AN577" s="5">
        <v>21</v>
      </c>
      <c r="AO577" s="5">
        <f>G577*0.098571429</f>
        <v>0</v>
      </c>
      <c r="AP577" s="5">
        <f>G577*(1-0.098571429)</f>
        <v>0</v>
      </c>
      <c r="AQ577" s="6" t="s">
        <v>60</v>
      </c>
      <c r="AV577" s="5">
        <f>AW577+AX577</f>
        <v>0</v>
      </c>
      <c r="AW577" s="5">
        <f>F577*AO577</f>
        <v>0</v>
      </c>
      <c r="AX577" s="5">
        <f>F577*AP577</f>
        <v>0</v>
      </c>
      <c r="AY577" s="6" t="s">
        <v>710</v>
      </c>
      <c r="AZ577" s="6" t="s">
        <v>912</v>
      </c>
      <c r="BA577" s="3" t="s">
        <v>905</v>
      </c>
      <c r="BC577" s="5">
        <f>AW577+AX577</f>
        <v>0</v>
      </c>
      <c r="BD577" s="5">
        <f>G577/(100-BE577)*100</f>
        <v>0</v>
      </c>
      <c r="BE577" s="5">
        <v>0</v>
      </c>
      <c r="BF577" s="5">
        <f>577</f>
        <v>577</v>
      </c>
      <c r="BH577" s="5">
        <f>F577*AO577</f>
        <v>0</v>
      </c>
      <c r="BI577" s="5">
        <f>F577*AP577</f>
        <v>0</v>
      </c>
      <c r="BJ577" s="5">
        <f>F577*G577</f>
        <v>0</v>
      </c>
      <c r="BK577" s="5"/>
      <c r="BL577" s="5"/>
      <c r="BW577" s="5">
        <v>21</v>
      </c>
      <c r="BX577" s="2" t="s">
        <v>930</v>
      </c>
    </row>
    <row r="578" spans="1:76" ht="13.5" customHeight="1" x14ac:dyDescent="0.25">
      <c r="A578" s="154"/>
      <c r="B578" s="155"/>
      <c r="C578" s="156" t="s">
        <v>937</v>
      </c>
      <c r="D578" s="157"/>
      <c r="E578" s="157"/>
      <c r="F578" s="157"/>
      <c r="G578" s="157"/>
      <c r="H578" s="157"/>
      <c r="I578" s="157"/>
      <c r="J578" s="157"/>
      <c r="K578" s="158"/>
    </row>
    <row r="579" spans="1:76" x14ac:dyDescent="0.25">
      <c r="A579" s="154"/>
      <c r="B579" s="155"/>
      <c r="C579" s="159" t="s">
        <v>938</v>
      </c>
      <c r="D579" s="160" t="s">
        <v>52</v>
      </c>
      <c r="E579" s="155"/>
      <c r="F579" s="161">
        <v>250</v>
      </c>
      <c r="G579" s="155"/>
      <c r="H579" s="155"/>
      <c r="I579" s="155"/>
      <c r="J579" s="155"/>
      <c r="K579" s="162"/>
    </row>
    <row r="580" spans="1:76" ht="25.5" x14ac:dyDescent="0.25">
      <c r="A580" s="146" t="s">
        <v>939</v>
      </c>
      <c r="B580" s="149" t="s">
        <v>940</v>
      </c>
      <c r="C580" s="116" t="s">
        <v>941</v>
      </c>
      <c r="D580" s="112"/>
      <c r="E580" s="149" t="s">
        <v>197</v>
      </c>
      <c r="F580" s="152">
        <v>450</v>
      </c>
      <c r="G580" s="152">
        <v>0</v>
      </c>
      <c r="H580" s="152">
        <f>F580*AO580</f>
        <v>0</v>
      </c>
      <c r="I580" s="152">
        <f>F580*AP580</f>
        <v>0</v>
      </c>
      <c r="J580" s="152">
        <f>F580*G580</f>
        <v>0</v>
      </c>
      <c r="K580" s="153" t="s">
        <v>100</v>
      </c>
      <c r="Z580" s="5">
        <f>IF(AQ580="5",BJ580,0)</f>
        <v>0</v>
      </c>
      <c r="AB580" s="5">
        <f>IF(AQ580="1",BH580,0)</f>
        <v>0</v>
      </c>
      <c r="AC580" s="5">
        <f>IF(AQ580="1",BI580,0)</f>
        <v>0</v>
      </c>
      <c r="AD580" s="5">
        <f>IF(AQ580="7",BH580,0)</f>
        <v>0</v>
      </c>
      <c r="AE580" s="5">
        <f>IF(AQ580="7",BI580,0)</f>
        <v>0</v>
      </c>
      <c r="AF580" s="5">
        <f>IF(AQ580="2",BH580,0)</f>
        <v>0</v>
      </c>
      <c r="AG580" s="5">
        <f>IF(AQ580="2",BI580,0)</f>
        <v>0</v>
      </c>
      <c r="AH580" s="5">
        <f>IF(AQ580="0",BJ580,0)</f>
        <v>0</v>
      </c>
      <c r="AI580" s="3" t="s">
        <v>899</v>
      </c>
      <c r="AJ580" s="5">
        <f>IF(AN580=0,J580,0)</f>
        <v>0</v>
      </c>
      <c r="AK580" s="5">
        <f>IF(AN580=12,J580,0)</f>
        <v>0</v>
      </c>
      <c r="AL580" s="5">
        <f>IF(AN580=21,J580,0)</f>
        <v>0</v>
      </c>
      <c r="AN580" s="5">
        <v>21</v>
      </c>
      <c r="AO580" s="5">
        <f>G580*0.098598131</f>
        <v>0</v>
      </c>
      <c r="AP580" s="5">
        <f>G580*(1-0.098598131)</f>
        <v>0</v>
      </c>
      <c r="AQ580" s="6" t="s">
        <v>60</v>
      </c>
      <c r="AV580" s="5">
        <f>AW580+AX580</f>
        <v>0</v>
      </c>
      <c r="AW580" s="5">
        <f>F580*AO580</f>
        <v>0</v>
      </c>
      <c r="AX580" s="5">
        <f>F580*AP580</f>
        <v>0</v>
      </c>
      <c r="AY580" s="6" t="s">
        <v>710</v>
      </c>
      <c r="AZ580" s="6" t="s">
        <v>912</v>
      </c>
      <c r="BA580" s="3" t="s">
        <v>905</v>
      </c>
      <c r="BC580" s="5">
        <f>AW580+AX580</f>
        <v>0</v>
      </c>
      <c r="BD580" s="5">
        <f>G580/(100-BE580)*100</f>
        <v>0</v>
      </c>
      <c r="BE580" s="5">
        <v>0</v>
      </c>
      <c r="BF580" s="5">
        <f>580</f>
        <v>580</v>
      </c>
      <c r="BH580" s="5">
        <f>F580*AO580</f>
        <v>0</v>
      </c>
      <c r="BI580" s="5">
        <f>F580*AP580</f>
        <v>0</v>
      </c>
      <c r="BJ580" s="5">
        <f>F580*G580</f>
        <v>0</v>
      </c>
      <c r="BK580" s="5"/>
      <c r="BL580" s="5"/>
      <c r="BW580" s="5">
        <v>21</v>
      </c>
      <c r="BX580" s="2" t="s">
        <v>941</v>
      </c>
    </row>
    <row r="581" spans="1:76" ht="13.5" customHeight="1" x14ac:dyDescent="0.25">
      <c r="A581" s="154"/>
      <c r="B581" s="155"/>
      <c r="C581" s="156" t="s">
        <v>942</v>
      </c>
      <c r="D581" s="157"/>
      <c r="E581" s="157"/>
      <c r="F581" s="157"/>
      <c r="G581" s="157"/>
      <c r="H581" s="157"/>
      <c r="I581" s="157"/>
      <c r="J581" s="157"/>
      <c r="K581" s="158"/>
    </row>
    <row r="582" spans="1:76" x14ac:dyDescent="0.25">
      <c r="A582" s="154"/>
      <c r="B582" s="155"/>
      <c r="C582" s="159" t="s">
        <v>943</v>
      </c>
      <c r="D582" s="160" t="s">
        <v>52</v>
      </c>
      <c r="E582" s="155"/>
      <c r="F582" s="161">
        <v>450</v>
      </c>
      <c r="G582" s="155"/>
      <c r="H582" s="155"/>
      <c r="I582" s="155"/>
      <c r="J582" s="155"/>
      <c r="K582" s="162"/>
    </row>
    <row r="583" spans="1:76" ht="25.5" x14ac:dyDescent="0.25">
      <c r="A583" s="146" t="s">
        <v>944</v>
      </c>
      <c r="B583" s="149" t="s">
        <v>945</v>
      </c>
      <c r="C583" s="116" t="s">
        <v>941</v>
      </c>
      <c r="D583" s="112"/>
      <c r="E583" s="149" t="s">
        <v>197</v>
      </c>
      <c r="F583" s="152">
        <v>6</v>
      </c>
      <c r="G583" s="152">
        <v>0</v>
      </c>
      <c r="H583" s="152">
        <f>F583*AO583</f>
        <v>0</v>
      </c>
      <c r="I583" s="152">
        <f>F583*AP583</f>
        <v>0</v>
      </c>
      <c r="J583" s="152">
        <f>F583*G583</f>
        <v>0</v>
      </c>
      <c r="K583" s="153" t="s">
        <v>100</v>
      </c>
      <c r="Z583" s="5">
        <f>IF(AQ583="5",BJ583,0)</f>
        <v>0</v>
      </c>
      <c r="AB583" s="5">
        <f>IF(AQ583="1",BH583,0)</f>
        <v>0</v>
      </c>
      <c r="AC583" s="5">
        <f>IF(AQ583="1",BI583,0)</f>
        <v>0</v>
      </c>
      <c r="AD583" s="5">
        <f>IF(AQ583="7",BH583,0)</f>
        <v>0</v>
      </c>
      <c r="AE583" s="5">
        <f>IF(AQ583="7",BI583,0)</f>
        <v>0</v>
      </c>
      <c r="AF583" s="5">
        <f>IF(AQ583="2",BH583,0)</f>
        <v>0</v>
      </c>
      <c r="AG583" s="5">
        <f>IF(AQ583="2",BI583,0)</f>
        <v>0</v>
      </c>
      <c r="AH583" s="5">
        <f>IF(AQ583="0",BJ583,0)</f>
        <v>0</v>
      </c>
      <c r="AI583" s="3" t="s">
        <v>899</v>
      </c>
      <c r="AJ583" s="5">
        <f>IF(AN583=0,J583,0)</f>
        <v>0</v>
      </c>
      <c r="AK583" s="5">
        <f>IF(AN583=12,J583,0)</f>
        <v>0</v>
      </c>
      <c r="AL583" s="5">
        <f>IF(AN583=21,J583,0)</f>
        <v>0</v>
      </c>
      <c r="AN583" s="5">
        <v>21</v>
      </c>
      <c r="AO583" s="5">
        <f>G583*0.098595506</f>
        <v>0</v>
      </c>
      <c r="AP583" s="5">
        <f>G583*(1-0.098595506)</f>
        <v>0</v>
      </c>
      <c r="AQ583" s="6" t="s">
        <v>60</v>
      </c>
      <c r="AV583" s="5">
        <f>AW583+AX583</f>
        <v>0</v>
      </c>
      <c r="AW583" s="5">
        <f>F583*AO583</f>
        <v>0</v>
      </c>
      <c r="AX583" s="5">
        <f>F583*AP583</f>
        <v>0</v>
      </c>
      <c r="AY583" s="6" t="s">
        <v>710</v>
      </c>
      <c r="AZ583" s="6" t="s">
        <v>912</v>
      </c>
      <c r="BA583" s="3" t="s">
        <v>905</v>
      </c>
      <c r="BC583" s="5">
        <f>AW583+AX583</f>
        <v>0</v>
      </c>
      <c r="BD583" s="5">
        <f>G583/(100-BE583)*100</f>
        <v>0</v>
      </c>
      <c r="BE583" s="5">
        <v>0</v>
      </c>
      <c r="BF583" s="5">
        <f>583</f>
        <v>583</v>
      </c>
      <c r="BH583" s="5">
        <f>F583*AO583</f>
        <v>0</v>
      </c>
      <c r="BI583" s="5">
        <f>F583*AP583</f>
        <v>0</v>
      </c>
      <c r="BJ583" s="5">
        <f>F583*G583</f>
        <v>0</v>
      </c>
      <c r="BK583" s="5"/>
      <c r="BL583" s="5"/>
      <c r="BW583" s="5">
        <v>21</v>
      </c>
      <c r="BX583" s="2" t="s">
        <v>941</v>
      </c>
    </row>
    <row r="584" spans="1:76" ht="13.5" customHeight="1" x14ac:dyDescent="0.25">
      <c r="A584" s="154"/>
      <c r="B584" s="155"/>
      <c r="C584" s="156" t="s">
        <v>946</v>
      </c>
      <c r="D584" s="157"/>
      <c r="E584" s="157"/>
      <c r="F584" s="157"/>
      <c r="G584" s="157"/>
      <c r="H584" s="157"/>
      <c r="I584" s="157"/>
      <c r="J584" s="157"/>
      <c r="K584" s="158"/>
    </row>
    <row r="585" spans="1:76" x14ac:dyDescent="0.25">
      <c r="A585" s="154"/>
      <c r="B585" s="155"/>
      <c r="C585" s="159" t="s">
        <v>102</v>
      </c>
      <c r="D585" s="160" t="s">
        <v>52</v>
      </c>
      <c r="E585" s="155"/>
      <c r="F585" s="161">
        <v>6</v>
      </c>
      <c r="G585" s="155"/>
      <c r="H585" s="155"/>
      <c r="I585" s="155"/>
      <c r="J585" s="155"/>
      <c r="K585" s="162"/>
    </row>
    <row r="586" spans="1:76" x14ac:dyDescent="0.25">
      <c r="A586" s="146" t="s">
        <v>947</v>
      </c>
      <c r="B586" s="149" t="s">
        <v>948</v>
      </c>
      <c r="C586" s="116" t="s">
        <v>949</v>
      </c>
      <c r="D586" s="112"/>
      <c r="E586" s="149" t="s">
        <v>197</v>
      </c>
      <c r="F586" s="152">
        <v>535</v>
      </c>
      <c r="G586" s="152">
        <v>0</v>
      </c>
      <c r="H586" s="152">
        <f>F586*AO586</f>
        <v>0</v>
      </c>
      <c r="I586" s="152">
        <f>F586*AP586</f>
        <v>0</v>
      </c>
      <c r="J586" s="152">
        <f>F586*G586</f>
        <v>0</v>
      </c>
      <c r="K586" s="153" t="s">
        <v>100</v>
      </c>
      <c r="Z586" s="5">
        <f>IF(AQ586="5",BJ586,0)</f>
        <v>0</v>
      </c>
      <c r="AB586" s="5">
        <f>IF(AQ586="1",BH586,0)</f>
        <v>0</v>
      </c>
      <c r="AC586" s="5">
        <f>IF(AQ586="1",BI586,0)</f>
        <v>0</v>
      </c>
      <c r="AD586" s="5">
        <f>IF(AQ586="7",BH586,0)</f>
        <v>0</v>
      </c>
      <c r="AE586" s="5">
        <f>IF(AQ586="7",BI586,0)</f>
        <v>0</v>
      </c>
      <c r="AF586" s="5">
        <f>IF(AQ586="2",BH586,0)</f>
        <v>0</v>
      </c>
      <c r="AG586" s="5">
        <f>IF(AQ586="2",BI586,0)</f>
        <v>0</v>
      </c>
      <c r="AH586" s="5">
        <f>IF(AQ586="0",BJ586,0)</f>
        <v>0</v>
      </c>
      <c r="AI586" s="3" t="s">
        <v>899</v>
      </c>
      <c r="AJ586" s="5">
        <f>IF(AN586=0,J586,0)</f>
        <v>0</v>
      </c>
      <c r="AK586" s="5">
        <f>IF(AN586=12,J586,0)</f>
        <v>0</v>
      </c>
      <c r="AL586" s="5">
        <f>IF(AN586=21,J586,0)</f>
        <v>0</v>
      </c>
      <c r="AN586" s="5">
        <v>21</v>
      </c>
      <c r="AO586" s="5">
        <f>G586*0.0986053</f>
        <v>0</v>
      </c>
      <c r="AP586" s="5">
        <f>G586*(1-0.0986053)</f>
        <v>0</v>
      </c>
      <c r="AQ586" s="6" t="s">
        <v>60</v>
      </c>
      <c r="AV586" s="5">
        <f>AW586+AX586</f>
        <v>0</v>
      </c>
      <c r="AW586" s="5">
        <f>F586*AO586</f>
        <v>0</v>
      </c>
      <c r="AX586" s="5">
        <f>F586*AP586</f>
        <v>0</v>
      </c>
      <c r="AY586" s="6" t="s">
        <v>710</v>
      </c>
      <c r="AZ586" s="6" t="s">
        <v>912</v>
      </c>
      <c r="BA586" s="3" t="s">
        <v>905</v>
      </c>
      <c r="BC586" s="5">
        <f>AW586+AX586</f>
        <v>0</v>
      </c>
      <c r="BD586" s="5">
        <f>G586/(100-BE586)*100</f>
        <v>0</v>
      </c>
      <c r="BE586" s="5">
        <v>0</v>
      </c>
      <c r="BF586" s="5">
        <f>586</f>
        <v>586</v>
      </c>
      <c r="BH586" s="5">
        <f>F586*AO586</f>
        <v>0</v>
      </c>
      <c r="BI586" s="5">
        <f>F586*AP586</f>
        <v>0</v>
      </c>
      <c r="BJ586" s="5">
        <f>F586*G586</f>
        <v>0</v>
      </c>
      <c r="BK586" s="5"/>
      <c r="BL586" s="5"/>
      <c r="BW586" s="5">
        <v>21</v>
      </c>
      <c r="BX586" s="2" t="s">
        <v>949</v>
      </c>
    </row>
    <row r="587" spans="1:76" ht="13.5" customHeight="1" x14ac:dyDescent="0.25">
      <c r="A587" s="154"/>
      <c r="B587" s="155"/>
      <c r="C587" s="156" t="s">
        <v>950</v>
      </c>
      <c r="D587" s="157"/>
      <c r="E587" s="157"/>
      <c r="F587" s="157"/>
      <c r="G587" s="157"/>
      <c r="H587" s="157"/>
      <c r="I587" s="157"/>
      <c r="J587" s="157"/>
      <c r="K587" s="158"/>
    </row>
    <row r="588" spans="1:76" x14ac:dyDescent="0.25">
      <c r="A588" s="154"/>
      <c r="B588" s="155"/>
      <c r="C588" s="159" t="s">
        <v>951</v>
      </c>
      <c r="D588" s="160" t="s">
        <v>52</v>
      </c>
      <c r="E588" s="155"/>
      <c r="F588" s="161">
        <v>535</v>
      </c>
      <c r="G588" s="155"/>
      <c r="H588" s="155"/>
      <c r="I588" s="155"/>
      <c r="J588" s="155"/>
      <c r="K588" s="162"/>
    </row>
    <row r="589" spans="1:76" ht="25.5" x14ac:dyDescent="0.25">
      <c r="A589" s="146" t="s">
        <v>952</v>
      </c>
      <c r="B589" s="149" t="s">
        <v>953</v>
      </c>
      <c r="C589" s="116" t="s">
        <v>954</v>
      </c>
      <c r="D589" s="112"/>
      <c r="E589" s="149" t="s">
        <v>197</v>
      </c>
      <c r="F589" s="152">
        <v>75</v>
      </c>
      <c r="G589" s="152">
        <v>0</v>
      </c>
      <c r="H589" s="152">
        <f>F589*AO589</f>
        <v>0</v>
      </c>
      <c r="I589" s="152">
        <f>F589*AP589</f>
        <v>0</v>
      </c>
      <c r="J589" s="152">
        <f>F589*G589</f>
        <v>0</v>
      </c>
      <c r="K589" s="153" t="s">
        <v>100</v>
      </c>
      <c r="Z589" s="5">
        <f>IF(AQ589="5",BJ589,0)</f>
        <v>0</v>
      </c>
      <c r="AB589" s="5">
        <f>IF(AQ589="1",BH589,0)</f>
        <v>0</v>
      </c>
      <c r="AC589" s="5">
        <f>IF(AQ589="1",BI589,0)</f>
        <v>0</v>
      </c>
      <c r="AD589" s="5">
        <f>IF(AQ589="7",BH589,0)</f>
        <v>0</v>
      </c>
      <c r="AE589" s="5">
        <f>IF(AQ589="7",BI589,0)</f>
        <v>0</v>
      </c>
      <c r="AF589" s="5">
        <f>IF(AQ589="2",BH589,0)</f>
        <v>0</v>
      </c>
      <c r="AG589" s="5">
        <f>IF(AQ589="2",BI589,0)</f>
        <v>0</v>
      </c>
      <c r="AH589" s="5">
        <f>IF(AQ589="0",BJ589,0)</f>
        <v>0</v>
      </c>
      <c r="AI589" s="3" t="s">
        <v>899</v>
      </c>
      <c r="AJ589" s="5">
        <f>IF(AN589=0,J589,0)</f>
        <v>0</v>
      </c>
      <c r="AK589" s="5">
        <f>IF(AN589=12,J589,0)</f>
        <v>0</v>
      </c>
      <c r="AL589" s="5">
        <f>IF(AN589=21,J589,0)</f>
        <v>0</v>
      </c>
      <c r="AN589" s="5">
        <v>21</v>
      </c>
      <c r="AO589" s="5">
        <f>G589*0.098537477</f>
        <v>0</v>
      </c>
      <c r="AP589" s="5">
        <f>G589*(1-0.098537477)</f>
        <v>0</v>
      </c>
      <c r="AQ589" s="6" t="s">
        <v>60</v>
      </c>
      <c r="AV589" s="5">
        <f>AW589+AX589</f>
        <v>0</v>
      </c>
      <c r="AW589" s="5">
        <f>F589*AO589</f>
        <v>0</v>
      </c>
      <c r="AX589" s="5">
        <f>F589*AP589</f>
        <v>0</v>
      </c>
      <c r="AY589" s="6" t="s">
        <v>710</v>
      </c>
      <c r="AZ589" s="6" t="s">
        <v>912</v>
      </c>
      <c r="BA589" s="3" t="s">
        <v>905</v>
      </c>
      <c r="BC589" s="5">
        <f>AW589+AX589</f>
        <v>0</v>
      </c>
      <c r="BD589" s="5">
        <f>G589/(100-BE589)*100</f>
        <v>0</v>
      </c>
      <c r="BE589" s="5">
        <v>0</v>
      </c>
      <c r="BF589" s="5">
        <f>589</f>
        <v>589</v>
      </c>
      <c r="BH589" s="5">
        <f>F589*AO589</f>
        <v>0</v>
      </c>
      <c r="BI589" s="5">
        <f>F589*AP589</f>
        <v>0</v>
      </c>
      <c r="BJ589" s="5">
        <f>F589*G589</f>
        <v>0</v>
      </c>
      <c r="BK589" s="5"/>
      <c r="BL589" s="5"/>
      <c r="BW589" s="5">
        <v>21</v>
      </c>
      <c r="BX589" s="2" t="s">
        <v>954</v>
      </c>
    </row>
    <row r="590" spans="1:76" ht="13.5" customHeight="1" x14ac:dyDescent="0.25">
      <c r="A590" s="154"/>
      <c r="B590" s="155"/>
      <c r="C590" s="156" t="s">
        <v>950</v>
      </c>
      <c r="D590" s="157"/>
      <c r="E590" s="157"/>
      <c r="F590" s="157"/>
      <c r="G590" s="157"/>
      <c r="H590" s="157"/>
      <c r="I590" s="157"/>
      <c r="J590" s="157"/>
      <c r="K590" s="158"/>
    </row>
    <row r="591" spans="1:76" x14ac:dyDescent="0.25">
      <c r="A591" s="154"/>
      <c r="B591" s="155"/>
      <c r="C591" s="159" t="s">
        <v>483</v>
      </c>
      <c r="D591" s="160" t="s">
        <v>52</v>
      </c>
      <c r="E591" s="155"/>
      <c r="F591" s="161">
        <v>75</v>
      </c>
      <c r="G591" s="155"/>
      <c r="H591" s="155"/>
      <c r="I591" s="155"/>
      <c r="J591" s="155"/>
      <c r="K591" s="162"/>
    </row>
    <row r="592" spans="1:76" x14ac:dyDescent="0.25">
      <c r="A592" s="146" t="s">
        <v>955</v>
      </c>
      <c r="B592" s="149" t="s">
        <v>956</v>
      </c>
      <c r="C592" s="116" t="s">
        <v>957</v>
      </c>
      <c r="D592" s="112"/>
      <c r="E592" s="149" t="s">
        <v>197</v>
      </c>
      <c r="F592" s="152">
        <v>285</v>
      </c>
      <c r="G592" s="152">
        <v>0</v>
      </c>
      <c r="H592" s="152">
        <f>F592*AO592</f>
        <v>0</v>
      </c>
      <c r="I592" s="152">
        <f>F592*AP592</f>
        <v>0</v>
      </c>
      <c r="J592" s="152">
        <f>F592*G592</f>
        <v>0</v>
      </c>
      <c r="K592" s="153" t="s">
        <v>100</v>
      </c>
      <c r="Z592" s="5">
        <f>IF(AQ592="5",BJ592,0)</f>
        <v>0</v>
      </c>
      <c r="AB592" s="5">
        <f>IF(AQ592="1",BH592,0)</f>
        <v>0</v>
      </c>
      <c r="AC592" s="5">
        <f>IF(AQ592="1",BI592,0)</f>
        <v>0</v>
      </c>
      <c r="AD592" s="5">
        <f>IF(AQ592="7",BH592,0)</f>
        <v>0</v>
      </c>
      <c r="AE592" s="5">
        <f>IF(AQ592="7",BI592,0)</f>
        <v>0</v>
      </c>
      <c r="AF592" s="5">
        <f>IF(AQ592="2",BH592,0)</f>
        <v>0</v>
      </c>
      <c r="AG592" s="5">
        <f>IF(AQ592="2",BI592,0)</f>
        <v>0</v>
      </c>
      <c r="AH592" s="5">
        <f>IF(AQ592="0",BJ592,0)</f>
        <v>0</v>
      </c>
      <c r="AI592" s="3" t="s">
        <v>899</v>
      </c>
      <c r="AJ592" s="5">
        <f>IF(AN592=0,J592,0)</f>
        <v>0</v>
      </c>
      <c r="AK592" s="5">
        <f>IF(AN592=12,J592,0)</f>
        <v>0</v>
      </c>
      <c r="AL592" s="5">
        <f>IF(AN592=21,J592,0)</f>
        <v>0</v>
      </c>
      <c r="AN592" s="5">
        <v>21</v>
      </c>
      <c r="AO592" s="5">
        <f>G592*0.098496241</f>
        <v>0</v>
      </c>
      <c r="AP592" s="5">
        <f>G592*(1-0.098496241)</f>
        <v>0</v>
      </c>
      <c r="AQ592" s="6" t="s">
        <v>60</v>
      </c>
      <c r="AV592" s="5">
        <f>AW592+AX592</f>
        <v>0</v>
      </c>
      <c r="AW592" s="5">
        <f>F592*AO592</f>
        <v>0</v>
      </c>
      <c r="AX592" s="5">
        <f>F592*AP592</f>
        <v>0</v>
      </c>
      <c r="AY592" s="6" t="s">
        <v>710</v>
      </c>
      <c r="AZ592" s="6" t="s">
        <v>912</v>
      </c>
      <c r="BA592" s="3" t="s">
        <v>905</v>
      </c>
      <c r="BC592" s="5">
        <f>AW592+AX592</f>
        <v>0</v>
      </c>
      <c r="BD592" s="5">
        <f>G592/(100-BE592)*100</f>
        <v>0</v>
      </c>
      <c r="BE592" s="5">
        <v>0</v>
      </c>
      <c r="BF592" s="5">
        <f>592</f>
        <v>592</v>
      </c>
      <c r="BH592" s="5">
        <f>F592*AO592</f>
        <v>0</v>
      </c>
      <c r="BI592" s="5">
        <f>F592*AP592</f>
        <v>0</v>
      </c>
      <c r="BJ592" s="5">
        <f>F592*G592</f>
        <v>0</v>
      </c>
      <c r="BK592" s="5"/>
      <c r="BL592" s="5"/>
      <c r="BW592" s="5">
        <v>21</v>
      </c>
      <c r="BX592" s="2" t="s">
        <v>957</v>
      </c>
    </row>
    <row r="593" spans="1:76" ht="13.5" customHeight="1" x14ac:dyDescent="0.25">
      <c r="A593" s="154"/>
      <c r="B593" s="155"/>
      <c r="C593" s="156" t="s">
        <v>958</v>
      </c>
      <c r="D593" s="157"/>
      <c r="E593" s="157"/>
      <c r="F593" s="157"/>
      <c r="G593" s="157"/>
      <c r="H593" s="157"/>
      <c r="I593" s="157"/>
      <c r="J593" s="157"/>
      <c r="K593" s="158"/>
    </row>
    <row r="594" spans="1:76" x14ac:dyDescent="0.25">
      <c r="A594" s="154"/>
      <c r="B594" s="155"/>
      <c r="C594" s="159" t="s">
        <v>959</v>
      </c>
      <c r="D594" s="160" t="s">
        <v>52</v>
      </c>
      <c r="E594" s="155"/>
      <c r="F594" s="161">
        <v>285</v>
      </c>
      <c r="G594" s="155"/>
      <c r="H594" s="155"/>
      <c r="I594" s="155"/>
      <c r="J594" s="155"/>
      <c r="K594" s="162"/>
    </row>
    <row r="595" spans="1:76" x14ac:dyDescent="0.25">
      <c r="A595" s="146" t="s">
        <v>52</v>
      </c>
      <c r="B595" s="147" t="s">
        <v>960</v>
      </c>
      <c r="C595" s="148" t="s">
        <v>961</v>
      </c>
      <c r="D595" s="113"/>
      <c r="E595" s="149" t="s">
        <v>33</v>
      </c>
      <c r="F595" s="149" t="s">
        <v>33</v>
      </c>
      <c r="G595" s="149" t="s">
        <v>33</v>
      </c>
      <c r="H595" s="150">
        <f>SUM(H596:H694)</f>
        <v>0</v>
      </c>
      <c r="I595" s="150">
        <f>SUM(I596:I694)</f>
        <v>0</v>
      </c>
      <c r="J595" s="150">
        <f>SUM(J596:J694)</f>
        <v>0</v>
      </c>
      <c r="K595" s="151" t="s">
        <v>52</v>
      </c>
      <c r="AI595" s="3" t="s">
        <v>899</v>
      </c>
      <c r="AS595" s="1">
        <f>SUM(AJ596:AJ694)</f>
        <v>0</v>
      </c>
      <c r="AT595" s="1">
        <f>SUM(AK596:AK694)</f>
        <v>0</v>
      </c>
      <c r="AU595" s="1">
        <f>SUM(AL596:AL694)</f>
        <v>0</v>
      </c>
    </row>
    <row r="596" spans="1:76" ht="25.5" x14ac:dyDescent="0.25">
      <c r="A596" s="146" t="s">
        <v>962</v>
      </c>
      <c r="B596" s="149" t="s">
        <v>963</v>
      </c>
      <c r="C596" s="116" t="s">
        <v>964</v>
      </c>
      <c r="D596" s="112"/>
      <c r="E596" s="149" t="s">
        <v>709</v>
      </c>
      <c r="F596" s="152">
        <v>3</v>
      </c>
      <c r="G596" s="152">
        <v>0</v>
      </c>
      <c r="H596" s="152">
        <f>F596*AO596</f>
        <v>0</v>
      </c>
      <c r="I596" s="152">
        <f>F596*AP596</f>
        <v>0</v>
      </c>
      <c r="J596" s="152">
        <f>F596*G596</f>
        <v>0</v>
      </c>
      <c r="K596" s="153" t="s">
        <v>100</v>
      </c>
      <c r="Z596" s="5">
        <f>IF(AQ596="5",BJ596,0)</f>
        <v>0</v>
      </c>
      <c r="AB596" s="5">
        <f>IF(AQ596="1",BH596,0)</f>
        <v>0</v>
      </c>
      <c r="AC596" s="5">
        <f>IF(AQ596="1",BI596,0)</f>
        <v>0</v>
      </c>
      <c r="AD596" s="5">
        <f>IF(AQ596="7",BH596,0)</f>
        <v>0</v>
      </c>
      <c r="AE596" s="5">
        <f>IF(AQ596="7",BI596,0)</f>
        <v>0</v>
      </c>
      <c r="AF596" s="5">
        <f>IF(AQ596="2",BH596,0)</f>
        <v>0</v>
      </c>
      <c r="AG596" s="5">
        <f>IF(AQ596="2",BI596,0)</f>
        <v>0</v>
      </c>
      <c r="AH596" s="5">
        <f>IF(AQ596="0",BJ596,0)</f>
        <v>0</v>
      </c>
      <c r="AI596" s="3" t="s">
        <v>899</v>
      </c>
      <c r="AJ596" s="5">
        <f>IF(AN596=0,J596,0)</f>
        <v>0</v>
      </c>
      <c r="AK596" s="5">
        <f>IF(AN596=12,J596,0)</f>
        <v>0</v>
      </c>
      <c r="AL596" s="5">
        <f>IF(AN596=21,J596,0)</f>
        <v>0</v>
      </c>
      <c r="AN596" s="5">
        <v>21</v>
      </c>
      <c r="AO596" s="5">
        <f>G596*0.098496716</f>
        <v>0</v>
      </c>
      <c r="AP596" s="5">
        <f>G596*(1-0.098496716)</f>
        <v>0</v>
      </c>
      <c r="AQ596" s="6" t="s">
        <v>60</v>
      </c>
      <c r="AV596" s="5">
        <f>AW596+AX596</f>
        <v>0</v>
      </c>
      <c r="AW596" s="5">
        <f>F596*AO596</f>
        <v>0</v>
      </c>
      <c r="AX596" s="5">
        <f>F596*AP596</f>
        <v>0</v>
      </c>
      <c r="AY596" s="6" t="s">
        <v>965</v>
      </c>
      <c r="AZ596" s="6" t="s">
        <v>912</v>
      </c>
      <c r="BA596" s="3" t="s">
        <v>905</v>
      </c>
      <c r="BC596" s="5">
        <f>AW596+AX596</f>
        <v>0</v>
      </c>
      <c r="BD596" s="5">
        <f>G596/(100-BE596)*100</f>
        <v>0</v>
      </c>
      <c r="BE596" s="5">
        <v>0</v>
      </c>
      <c r="BF596" s="5">
        <f>596</f>
        <v>596</v>
      </c>
      <c r="BH596" s="5">
        <f>F596*AO596</f>
        <v>0</v>
      </c>
      <c r="BI596" s="5">
        <f>F596*AP596</f>
        <v>0</v>
      </c>
      <c r="BJ596" s="5">
        <f>F596*G596</f>
        <v>0</v>
      </c>
      <c r="BK596" s="5"/>
      <c r="BL596" s="5"/>
      <c r="BW596" s="5">
        <v>21</v>
      </c>
      <c r="BX596" s="2" t="s">
        <v>964</v>
      </c>
    </row>
    <row r="597" spans="1:76" ht="13.5" customHeight="1" x14ac:dyDescent="0.25">
      <c r="A597" s="154"/>
      <c r="B597" s="155"/>
      <c r="C597" s="156" t="s">
        <v>966</v>
      </c>
      <c r="D597" s="157"/>
      <c r="E597" s="157"/>
      <c r="F597" s="157"/>
      <c r="G597" s="157"/>
      <c r="H597" s="157"/>
      <c r="I597" s="157"/>
      <c r="J597" s="157"/>
      <c r="K597" s="158"/>
    </row>
    <row r="598" spans="1:76" x14ac:dyDescent="0.25">
      <c r="A598" s="154"/>
      <c r="B598" s="155"/>
      <c r="C598" s="159" t="s">
        <v>87</v>
      </c>
      <c r="D598" s="160" t="s">
        <v>52</v>
      </c>
      <c r="E598" s="155"/>
      <c r="F598" s="161">
        <v>3</v>
      </c>
      <c r="G598" s="155"/>
      <c r="H598" s="155"/>
      <c r="I598" s="155"/>
      <c r="J598" s="155"/>
      <c r="K598" s="162"/>
    </row>
    <row r="599" spans="1:76" ht="38.25" x14ac:dyDescent="0.25">
      <c r="A599" s="154"/>
      <c r="B599" s="163" t="s">
        <v>85</v>
      </c>
      <c r="C599" s="156" t="s">
        <v>967</v>
      </c>
      <c r="D599" s="157"/>
      <c r="E599" s="157"/>
      <c r="F599" s="157"/>
      <c r="G599" s="157"/>
      <c r="H599" s="157"/>
      <c r="I599" s="157"/>
      <c r="J599" s="157"/>
      <c r="K599" s="158"/>
      <c r="BX599" s="7" t="s">
        <v>967</v>
      </c>
    </row>
    <row r="600" spans="1:76" ht="25.5" x14ac:dyDescent="0.25">
      <c r="A600" s="146" t="s">
        <v>968</v>
      </c>
      <c r="B600" s="149" t="s">
        <v>969</v>
      </c>
      <c r="C600" s="116" t="s">
        <v>970</v>
      </c>
      <c r="D600" s="112"/>
      <c r="E600" s="149" t="s">
        <v>709</v>
      </c>
      <c r="F600" s="152">
        <v>5</v>
      </c>
      <c r="G600" s="152">
        <v>0</v>
      </c>
      <c r="H600" s="152">
        <f>F600*AO600</f>
        <v>0</v>
      </c>
      <c r="I600" s="152">
        <f>F600*AP600</f>
        <v>0</v>
      </c>
      <c r="J600" s="152">
        <f>F600*G600</f>
        <v>0</v>
      </c>
      <c r="K600" s="153" t="s">
        <v>100</v>
      </c>
      <c r="Z600" s="5">
        <f>IF(AQ600="5",BJ600,0)</f>
        <v>0</v>
      </c>
      <c r="AB600" s="5">
        <f>IF(AQ600="1",BH600,0)</f>
        <v>0</v>
      </c>
      <c r="AC600" s="5">
        <f>IF(AQ600="1",BI600,0)</f>
        <v>0</v>
      </c>
      <c r="AD600" s="5">
        <f>IF(AQ600="7",BH600,0)</f>
        <v>0</v>
      </c>
      <c r="AE600" s="5">
        <f>IF(AQ600="7",BI600,0)</f>
        <v>0</v>
      </c>
      <c r="AF600" s="5">
        <f>IF(AQ600="2",BH600,0)</f>
        <v>0</v>
      </c>
      <c r="AG600" s="5">
        <f>IF(AQ600="2",BI600,0)</f>
        <v>0</v>
      </c>
      <c r="AH600" s="5">
        <f>IF(AQ600="0",BJ600,0)</f>
        <v>0</v>
      </c>
      <c r="AI600" s="3" t="s">
        <v>899</v>
      </c>
      <c r="AJ600" s="5">
        <f>IF(AN600=0,J600,0)</f>
        <v>0</v>
      </c>
      <c r="AK600" s="5">
        <f>IF(AN600=12,J600,0)</f>
        <v>0</v>
      </c>
      <c r="AL600" s="5">
        <f>IF(AN600=21,J600,0)</f>
        <v>0</v>
      </c>
      <c r="AN600" s="5">
        <v>21</v>
      </c>
      <c r="AO600" s="5">
        <f>G600*0.098497003</f>
        <v>0</v>
      </c>
      <c r="AP600" s="5">
        <f>G600*(1-0.098497003)</f>
        <v>0</v>
      </c>
      <c r="AQ600" s="6" t="s">
        <v>60</v>
      </c>
      <c r="AV600" s="5">
        <f>AW600+AX600</f>
        <v>0</v>
      </c>
      <c r="AW600" s="5">
        <f>F600*AO600</f>
        <v>0</v>
      </c>
      <c r="AX600" s="5">
        <f>F600*AP600</f>
        <v>0</v>
      </c>
      <c r="AY600" s="6" t="s">
        <v>965</v>
      </c>
      <c r="AZ600" s="6" t="s">
        <v>912</v>
      </c>
      <c r="BA600" s="3" t="s">
        <v>905</v>
      </c>
      <c r="BC600" s="5">
        <f>AW600+AX600</f>
        <v>0</v>
      </c>
      <c r="BD600" s="5">
        <f>G600/(100-BE600)*100</f>
        <v>0</v>
      </c>
      <c r="BE600" s="5">
        <v>0</v>
      </c>
      <c r="BF600" s="5">
        <f>600</f>
        <v>600</v>
      </c>
      <c r="BH600" s="5">
        <f>F600*AO600</f>
        <v>0</v>
      </c>
      <c r="BI600" s="5">
        <f>F600*AP600</f>
        <v>0</v>
      </c>
      <c r="BJ600" s="5">
        <f>F600*G600</f>
        <v>0</v>
      </c>
      <c r="BK600" s="5"/>
      <c r="BL600" s="5"/>
      <c r="BW600" s="5">
        <v>21</v>
      </c>
      <c r="BX600" s="2" t="s">
        <v>970</v>
      </c>
    </row>
    <row r="601" spans="1:76" ht="13.5" customHeight="1" x14ac:dyDescent="0.25">
      <c r="A601" s="154"/>
      <c r="B601" s="155"/>
      <c r="C601" s="156" t="s">
        <v>966</v>
      </c>
      <c r="D601" s="157"/>
      <c r="E601" s="157"/>
      <c r="F601" s="157"/>
      <c r="G601" s="157"/>
      <c r="H601" s="157"/>
      <c r="I601" s="157"/>
      <c r="J601" s="157"/>
      <c r="K601" s="158"/>
    </row>
    <row r="602" spans="1:76" x14ac:dyDescent="0.25">
      <c r="A602" s="154"/>
      <c r="B602" s="155"/>
      <c r="C602" s="159" t="s">
        <v>96</v>
      </c>
      <c r="D602" s="160" t="s">
        <v>52</v>
      </c>
      <c r="E602" s="155"/>
      <c r="F602" s="161">
        <v>5</v>
      </c>
      <c r="G602" s="155"/>
      <c r="H602" s="155"/>
      <c r="I602" s="155"/>
      <c r="J602" s="155"/>
      <c r="K602" s="162"/>
    </row>
    <row r="603" spans="1:76" ht="25.5" x14ac:dyDescent="0.25">
      <c r="A603" s="146" t="s">
        <v>971</v>
      </c>
      <c r="B603" s="149" t="s">
        <v>972</v>
      </c>
      <c r="C603" s="116" t="s">
        <v>973</v>
      </c>
      <c r="D603" s="112"/>
      <c r="E603" s="149" t="s">
        <v>709</v>
      </c>
      <c r="F603" s="152">
        <v>16</v>
      </c>
      <c r="G603" s="152">
        <v>0</v>
      </c>
      <c r="H603" s="152">
        <f>F603*AO603</f>
        <v>0</v>
      </c>
      <c r="I603" s="152">
        <f>F603*AP603</f>
        <v>0</v>
      </c>
      <c r="J603" s="152">
        <f>F603*G603</f>
        <v>0</v>
      </c>
      <c r="K603" s="153" t="s">
        <v>100</v>
      </c>
      <c r="Z603" s="5">
        <f>IF(AQ603="5",BJ603,0)</f>
        <v>0</v>
      </c>
      <c r="AB603" s="5">
        <f>IF(AQ603="1",BH603,0)</f>
        <v>0</v>
      </c>
      <c r="AC603" s="5">
        <f>IF(AQ603="1",BI603,0)</f>
        <v>0</v>
      </c>
      <c r="AD603" s="5">
        <f>IF(AQ603="7",BH603,0)</f>
        <v>0</v>
      </c>
      <c r="AE603" s="5">
        <f>IF(AQ603="7",BI603,0)</f>
        <v>0</v>
      </c>
      <c r="AF603" s="5">
        <f>IF(AQ603="2",BH603,0)</f>
        <v>0</v>
      </c>
      <c r="AG603" s="5">
        <f>IF(AQ603="2",BI603,0)</f>
        <v>0</v>
      </c>
      <c r="AH603" s="5">
        <f>IF(AQ603="0",BJ603,0)</f>
        <v>0</v>
      </c>
      <c r="AI603" s="3" t="s">
        <v>899</v>
      </c>
      <c r="AJ603" s="5">
        <f>IF(AN603=0,J603,0)</f>
        <v>0</v>
      </c>
      <c r="AK603" s="5">
        <f>IF(AN603=12,J603,0)</f>
        <v>0</v>
      </c>
      <c r="AL603" s="5">
        <f>IF(AN603=21,J603,0)</f>
        <v>0</v>
      </c>
      <c r="AN603" s="5">
        <v>21</v>
      </c>
      <c r="AO603" s="5">
        <f>G603*0.098492792</f>
        <v>0</v>
      </c>
      <c r="AP603" s="5">
        <f>G603*(1-0.098492792)</f>
        <v>0</v>
      </c>
      <c r="AQ603" s="6" t="s">
        <v>60</v>
      </c>
      <c r="AV603" s="5">
        <f>AW603+AX603</f>
        <v>0</v>
      </c>
      <c r="AW603" s="5">
        <f>F603*AO603</f>
        <v>0</v>
      </c>
      <c r="AX603" s="5">
        <f>F603*AP603</f>
        <v>0</v>
      </c>
      <c r="AY603" s="6" t="s">
        <v>965</v>
      </c>
      <c r="AZ603" s="6" t="s">
        <v>912</v>
      </c>
      <c r="BA603" s="3" t="s">
        <v>905</v>
      </c>
      <c r="BC603" s="5">
        <f>AW603+AX603</f>
        <v>0</v>
      </c>
      <c r="BD603" s="5">
        <f>G603/(100-BE603)*100</f>
        <v>0</v>
      </c>
      <c r="BE603" s="5">
        <v>0</v>
      </c>
      <c r="BF603" s="5">
        <f>603</f>
        <v>603</v>
      </c>
      <c r="BH603" s="5">
        <f>F603*AO603</f>
        <v>0</v>
      </c>
      <c r="BI603" s="5">
        <f>F603*AP603</f>
        <v>0</v>
      </c>
      <c r="BJ603" s="5">
        <f>F603*G603</f>
        <v>0</v>
      </c>
      <c r="BK603" s="5"/>
      <c r="BL603" s="5"/>
      <c r="BW603" s="5">
        <v>21</v>
      </c>
      <c r="BX603" s="2" t="s">
        <v>973</v>
      </c>
    </row>
    <row r="604" spans="1:76" ht="13.5" customHeight="1" x14ac:dyDescent="0.25">
      <c r="A604" s="154"/>
      <c r="B604" s="155"/>
      <c r="C604" s="156" t="s">
        <v>966</v>
      </c>
      <c r="D604" s="157"/>
      <c r="E604" s="157"/>
      <c r="F604" s="157"/>
      <c r="G604" s="157"/>
      <c r="H604" s="157"/>
      <c r="I604" s="157"/>
      <c r="J604" s="157"/>
      <c r="K604" s="158"/>
    </row>
    <row r="605" spans="1:76" x14ac:dyDescent="0.25">
      <c r="A605" s="154"/>
      <c r="B605" s="155"/>
      <c r="C605" s="159" t="s">
        <v>142</v>
      </c>
      <c r="D605" s="160" t="s">
        <v>52</v>
      </c>
      <c r="E605" s="155"/>
      <c r="F605" s="161">
        <v>16</v>
      </c>
      <c r="G605" s="155"/>
      <c r="H605" s="155"/>
      <c r="I605" s="155"/>
      <c r="J605" s="155"/>
      <c r="K605" s="162"/>
    </row>
    <row r="606" spans="1:76" x14ac:dyDescent="0.25">
      <c r="A606" s="146" t="s">
        <v>974</v>
      </c>
      <c r="B606" s="149" t="s">
        <v>975</v>
      </c>
      <c r="C606" s="116" t="s">
        <v>976</v>
      </c>
      <c r="D606" s="112"/>
      <c r="E606" s="149" t="s">
        <v>709</v>
      </c>
      <c r="F606" s="152">
        <v>8</v>
      </c>
      <c r="G606" s="152">
        <v>0</v>
      </c>
      <c r="H606" s="152">
        <f>F606*AO606</f>
        <v>0</v>
      </c>
      <c r="I606" s="152">
        <f>F606*AP606</f>
        <v>0</v>
      </c>
      <c r="J606" s="152">
        <f>F606*G606</f>
        <v>0</v>
      </c>
      <c r="K606" s="153" t="s">
        <v>100</v>
      </c>
      <c r="Z606" s="5">
        <f>IF(AQ606="5",BJ606,0)</f>
        <v>0</v>
      </c>
      <c r="AB606" s="5">
        <f>IF(AQ606="1",BH606,0)</f>
        <v>0</v>
      </c>
      <c r="AC606" s="5">
        <f>IF(AQ606="1",BI606,0)</f>
        <v>0</v>
      </c>
      <c r="AD606" s="5">
        <f>IF(AQ606="7",BH606,0)</f>
        <v>0</v>
      </c>
      <c r="AE606" s="5">
        <f>IF(AQ606="7",BI606,0)</f>
        <v>0</v>
      </c>
      <c r="AF606" s="5">
        <f>IF(AQ606="2",BH606,0)</f>
        <v>0</v>
      </c>
      <c r="AG606" s="5">
        <f>IF(AQ606="2",BI606,0)</f>
        <v>0</v>
      </c>
      <c r="AH606" s="5">
        <f>IF(AQ606="0",BJ606,0)</f>
        <v>0</v>
      </c>
      <c r="AI606" s="3" t="s">
        <v>899</v>
      </c>
      <c r="AJ606" s="5">
        <f>IF(AN606=0,J606,0)</f>
        <v>0</v>
      </c>
      <c r="AK606" s="5">
        <f>IF(AN606=12,J606,0)</f>
        <v>0</v>
      </c>
      <c r="AL606" s="5">
        <f>IF(AN606=21,J606,0)</f>
        <v>0</v>
      </c>
      <c r="AN606" s="5">
        <v>21</v>
      </c>
      <c r="AO606" s="5">
        <f>G606*0.098491228</f>
        <v>0</v>
      </c>
      <c r="AP606" s="5">
        <f>G606*(1-0.098491228)</f>
        <v>0</v>
      </c>
      <c r="AQ606" s="6" t="s">
        <v>60</v>
      </c>
      <c r="AV606" s="5">
        <f>AW606+AX606</f>
        <v>0</v>
      </c>
      <c r="AW606" s="5">
        <f>F606*AO606</f>
        <v>0</v>
      </c>
      <c r="AX606" s="5">
        <f>F606*AP606</f>
        <v>0</v>
      </c>
      <c r="AY606" s="6" t="s">
        <v>965</v>
      </c>
      <c r="AZ606" s="6" t="s">
        <v>912</v>
      </c>
      <c r="BA606" s="3" t="s">
        <v>905</v>
      </c>
      <c r="BC606" s="5">
        <f>AW606+AX606</f>
        <v>0</v>
      </c>
      <c r="BD606" s="5">
        <f>G606/(100-BE606)*100</f>
        <v>0</v>
      </c>
      <c r="BE606" s="5">
        <v>0</v>
      </c>
      <c r="BF606" s="5">
        <f>606</f>
        <v>606</v>
      </c>
      <c r="BH606" s="5">
        <f>F606*AO606</f>
        <v>0</v>
      </c>
      <c r="BI606" s="5">
        <f>F606*AP606</f>
        <v>0</v>
      </c>
      <c r="BJ606" s="5">
        <f>F606*G606</f>
        <v>0</v>
      </c>
      <c r="BK606" s="5"/>
      <c r="BL606" s="5"/>
      <c r="BW606" s="5">
        <v>21</v>
      </c>
      <c r="BX606" s="2" t="s">
        <v>976</v>
      </c>
    </row>
    <row r="607" spans="1:76" ht="13.5" customHeight="1" x14ac:dyDescent="0.25">
      <c r="A607" s="154"/>
      <c r="B607" s="155"/>
      <c r="C607" s="156" t="s">
        <v>966</v>
      </c>
      <c r="D607" s="157"/>
      <c r="E607" s="157"/>
      <c r="F607" s="157"/>
      <c r="G607" s="157"/>
      <c r="H607" s="157"/>
      <c r="I607" s="157"/>
      <c r="J607" s="157"/>
      <c r="K607" s="158"/>
    </row>
    <row r="608" spans="1:76" x14ac:dyDescent="0.25">
      <c r="A608" s="154"/>
      <c r="B608" s="155"/>
      <c r="C608" s="159" t="s">
        <v>108</v>
      </c>
      <c r="D608" s="160" t="s">
        <v>52</v>
      </c>
      <c r="E608" s="155"/>
      <c r="F608" s="161">
        <v>8</v>
      </c>
      <c r="G608" s="155"/>
      <c r="H608" s="155"/>
      <c r="I608" s="155"/>
      <c r="J608" s="155"/>
      <c r="K608" s="162"/>
    </row>
    <row r="609" spans="1:76" ht="51" x14ac:dyDescent="0.25">
      <c r="A609" s="154"/>
      <c r="B609" s="163" t="s">
        <v>85</v>
      </c>
      <c r="C609" s="156" t="s">
        <v>977</v>
      </c>
      <c r="D609" s="157"/>
      <c r="E609" s="157"/>
      <c r="F609" s="157"/>
      <c r="G609" s="157"/>
      <c r="H609" s="157"/>
      <c r="I609" s="157"/>
      <c r="J609" s="157"/>
      <c r="K609" s="158"/>
      <c r="BX609" s="7" t="s">
        <v>977</v>
      </c>
    </row>
    <row r="610" spans="1:76" x14ac:dyDescent="0.25">
      <c r="A610" s="146" t="s">
        <v>978</v>
      </c>
      <c r="B610" s="149" t="s">
        <v>979</v>
      </c>
      <c r="C610" s="116" t="s">
        <v>980</v>
      </c>
      <c r="D610" s="112"/>
      <c r="E610" s="149" t="s">
        <v>709</v>
      </c>
      <c r="F610" s="152">
        <v>12</v>
      </c>
      <c r="G610" s="152">
        <v>0</v>
      </c>
      <c r="H610" s="152">
        <f>F610*AO610</f>
        <v>0</v>
      </c>
      <c r="I610" s="152">
        <f>F610*AP610</f>
        <v>0</v>
      </c>
      <c r="J610" s="152">
        <f>F610*G610</f>
        <v>0</v>
      </c>
      <c r="K610" s="153" t="s">
        <v>100</v>
      </c>
      <c r="Z610" s="5">
        <f>IF(AQ610="5",BJ610,0)</f>
        <v>0</v>
      </c>
      <c r="AB610" s="5">
        <f>IF(AQ610="1",BH610,0)</f>
        <v>0</v>
      </c>
      <c r="AC610" s="5">
        <f>IF(AQ610="1",BI610,0)</f>
        <v>0</v>
      </c>
      <c r="AD610" s="5">
        <f>IF(AQ610="7",BH610,0)</f>
        <v>0</v>
      </c>
      <c r="AE610" s="5">
        <f>IF(AQ610="7",BI610,0)</f>
        <v>0</v>
      </c>
      <c r="AF610" s="5">
        <f>IF(AQ610="2",BH610,0)</f>
        <v>0</v>
      </c>
      <c r="AG610" s="5">
        <f>IF(AQ610="2",BI610,0)</f>
        <v>0</v>
      </c>
      <c r="AH610" s="5">
        <f>IF(AQ610="0",BJ610,0)</f>
        <v>0</v>
      </c>
      <c r="AI610" s="3" t="s">
        <v>899</v>
      </c>
      <c r="AJ610" s="5">
        <f>IF(AN610=0,J610,0)</f>
        <v>0</v>
      </c>
      <c r="AK610" s="5">
        <f>IF(AN610=12,J610,0)</f>
        <v>0</v>
      </c>
      <c r="AL610" s="5">
        <f>IF(AN610=21,J610,0)</f>
        <v>0</v>
      </c>
      <c r="AN610" s="5">
        <v>21</v>
      </c>
      <c r="AO610" s="5">
        <f>G610*0.098492462</f>
        <v>0</v>
      </c>
      <c r="AP610" s="5">
        <f>G610*(1-0.098492462)</f>
        <v>0</v>
      </c>
      <c r="AQ610" s="6" t="s">
        <v>60</v>
      </c>
      <c r="AV610" s="5">
        <f>AW610+AX610</f>
        <v>0</v>
      </c>
      <c r="AW610" s="5">
        <f>F610*AO610</f>
        <v>0</v>
      </c>
      <c r="AX610" s="5">
        <f>F610*AP610</f>
        <v>0</v>
      </c>
      <c r="AY610" s="6" t="s">
        <v>965</v>
      </c>
      <c r="AZ610" s="6" t="s">
        <v>912</v>
      </c>
      <c r="BA610" s="3" t="s">
        <v>905</v>
      </c>
      <c r="BC610" s="5">
        <f>AW610+AX610</f>
        <v>0</v>
      </c>
      <c r="BD610" s="5">
        <f>G610/(100-BE610)*100</f>
        <v>0</v>
      </c>
      <c r="BE610" s="5">
        <v>0</v>
      </c>
      <c r="BF610" s="5">
        <f>610</f>
        <v>610</v>
      </c>
      <c r="BH610" s="5">
        <f>F610*AO610</f>
        <v>0</v>
      </c>
      <c r="BI610" s="5">
        <f>F610*AP610</f>
        <v>0</v>
      </c>
      <c r="BJ610" s="5">
        <f>F610*G610</f>
        <v>0</v>
      </c>
      <c r="BK610" s="5"/>
      <c r="BL610" s="5"/>
      <c r="BW610" s="5">
        <v>21</v>
      </c>
      <c r="BX610" s="2" t="s">
        <v>980</v>
      </c>
    </row>
    <row r="611" spans="1:76" ht="13.5" customHeight="1" x14ac:dyDescent="0.25">
      <c r="A611" s="154"/>
      <c r="B611" s="155"/>
      <c r="C611" s="156" t="s">
        <v>966</v>
      </c>
      <c r="D611" s="157"/>
      <c r="E611" s="157"/>
      <c r="F611" s="157"/>
      <c r="G611" s="157"/>
      <c r="H611" s="157"/>
      <c r="I611" s="157"/>
      <c r="J611" s="157"/>
      <c r="K611" s="158"/>
    </row>
    <row r="612" spans="1:76" x14ac:dyDescent="0.25">
      <c r="A612" s="154"/>
      <c r="B612" s="155"/>
      <c r="C612" s="159" t="s">
        <v>120</v>
      </c>
      <c r="D612" s="160" t="s">
        <v>52</v>
      </c>
      <c r="E612" s="155"/>
      <c r="F612" s="161">
        <v>12</v>
      </c>
      <c r="G612" s="155"/>
      <c r="H612" s="155"/>
      <c r="I612" s="155"/>
      <c r="J612" s="155"/>
      <c r="K612" s="162"/>
    </row>
    <row r="613" spans="1:76" ht="63.75" x14ac:dyDescent="0.25">
      <c r="A613" s="154"/>
      <c r="B613" s="163" t="s">
        <v>85</v>
      </c>
      <c r="C613" s="156" t="s">
        <v>981</v>
      </c>
      <c r="D613" s="157"/>
      <c r="E613" s="157"/>
      <c r="F613" s="157"/>
      <c r="G613" s="157"/>
      <c r="H613" s="157"/>
      <c r="I613" s="157"/>
      <c r="J613" s="157"/>
      <c r="K613" s="158"/>
      <c r="BX613" s="7" t="s">
        <v>981</v>
      </c>
    </row>
    <row r="614" spans="1:76" x14ac:dyDescent="0.25">
      <c r="A614" s="146" t="s">
        <v>982</v>
      </c>
      <c r="B614" s="149" t="s">
        <v>983</v>
      </c>
      <c r="C614" s="116" t="s">
        <v>984</v>
      </c>
      <c r="D614" s="112"/>
      <c r="E614" s="149" t="s">
        <v>709</v>
      </c>
      <c r="F614" s="152">
        <v>8</v>
      </c>
      <c r="G614" s="152">
        <v>0</v>
      </c>
      <c r="H614" s="152">
        <f>F614*AO614</f>
        <v>0</v>
      </c>
      <c r="I614" s="152">
        <f>F614*AP614</f>
        <v>0</v>
      </c>
      <c r="J614" s="152">
        <f>F614*G614</f>
        <v>0</v>
      </c>
      <c r="K614" s="153" t="s">
        <v>100</v>
      </c>
      <c r="Z614" s="5">
        <f>IF(AQ614="5",BJ614,0)</f>
        <v>0</v>
      </c>
      <c r="AB614" s="5">
        <f>IF(AQ614="1",BH614,0)</f>
        <v>0</v>
      </c>
      <c r="AC614" s="5">
        <f>IF(AQ614="1",BI614,0)</f>
        <v>0</v>
      </c>
      <c r="AD614" s="5">
        <f>IF(AQ614="7",BH614,0)</f>
        <v>0</v>
      </c>
      <c r="AE614" s="5">
        <f>IF(AQ614="7",BI614,0)</f>
        <v>0</v>
      </c>
      <c r="AF614" s="5">
        <f>IF(AQ614="2",BH614,0)</f>
        <v>0</v>
      </c>
      <c r="AG614" s="5">
        <f>IF(AQ614="2",BI614,0)</f>
        <v>0</v>
      </c>
      <c r="AH614" s="5">
        <f>IF(AQ614="0",BJ614,0)</f>
        <v>0</v>
      </c>
      <c r="AI614" s="3" t="s">
        <v>899</v>
      </c>
      <c r="AJ614" s="5">
        <f>IF(AN614=0,J614,0)</f>
        <v>0</v>
      </c>
      <c r="AK614" s="5">
        <f>IF(AN614=12,J614,0)</f>
        <v>0</v>
      </c>
      <c r="AL614" s="5">
        <f>IF(AN614=21,J614,0)</f>
        <v>0</v>
      </c>
      <c r="AN614" s="5">
        <v>21</v>
      </c>
      <c r="AO614" s="5">
        <f>G614*0.098461538</f>
        <v>0</v>
      </c>
      <c r="AP614" s="5">
        <f>G614*(1-0.098461538)</f>
        <v>0</v>
      </c>
      <c r="AQ614" s="6" t="s">
        <v>60</v>
      </c>
      <c r="AV614" s="5">
        <f>AW614+AX614</f>
        <v>0</v>
      </c>
      <c r="AW614" s="5">
        <f>F614*AO614</f>
        <v>0</v>
      </c>
      <c r="AX614" s="5">
        <f>F614*AP614</f>
        <v>0</v>
      </c>
      <c r="AY614" s="6" t="s">
        <v>965</v>
      </c>
      <c r="AZ614" s="6" t="s">
        <v>912</v>
      </c>
      <c r="BA614" s="3" t="s">
        <v>905</v>
      </c>
      <c r="BC614" s="5">
        <f>AW614+AX614</f>
        <v>0</v>
      </c>
      <c r="BD614" s="5">
        <f>G614/(100-BE614)*100</f>
        <v>0</v>
      </c>
      <c r="BE614" s="5">
        <v>0</v>
      </c>
      <c r="BF614" s="5">
        <f>614</f>
        <v>614</v>
      </c>
      <c r="BH614" s="5">
        <f>F614*AO614</f>
        <v>0</v>
      </c>
      <c r="BI614" s="5">
        <f>F614*AP614</f>
        <v>0</v>
      </c>
      <c r="BJ614" s="5">
        <f>F614*G614</f>
        <v>0</v>
      </c>
      <c r="BK614" s="5"/>
      <c r="BL614" s="5"/>
      <c r="BW614" s="5">
        <v>21</v>
      </c>
      <c r="BX614" s="2" t="s">
        <v>984</v>
      </c>
    </row>
    <row r="615" spans="1:76" ht="13.5" customHeight="1" x14ac:dyDescent="0.25">
      <c r="A615" s="154"/>
      <c r="B615" s="155"/>
      <c r="C615" s="156" t="s">
        <v>966</v>
      </c>
      <c r="D615" s="157"/>
      <c r="E615" s="157"/>
      <c r="F615" s="157"/>
      <c r="G615" s="157"/>
      <c r="H615" s="157"/>
      <c r="I615" s="157"/>
      <c r="J615" s="157"/>
      <c r="K615" s="158"/>
    </row>
    <row r="616" spans="1:76" x14ac:dyDescent="0.25">
      <c r="A616" s="154"/>
      <c r="B616" s="155"/>
      <c r="C616" s="159" t="s">
        <v>108</v>
      </c>
      <c r="D616" s="160" t="s">
        <v>52</v>
      </c>
      <c r="E616" s="155"/>
      <c r="F616" s="161">
        <v>8</v>
      </c>
      <c r="G616" s="155"/>
      <c r="H616" s="155"/>
      <c r="I616" s="155"/>
      <c r="J616" s="155"/>
      <c r="K616" s="162"/>
    </row>
    <row r="617" spans="1:76" ht="25.5" x14ac:dyDescent="0.25">
      <c r="A617" s="146" t="s">
        <v>985</v>
      </c>
      <c r="B617" s="149" t="s">
        <v>986</v>
      </c>
      <c r="C617" s="116" t="s">
        <v>987</v>
      </c>
      <c r="D617" s="112"/>
      <c r="E617" s="149" t="s">
        <v>709</v>
      </c>
      <c r="F617" s="152">
        <v>8</v>
      </c>
      <c r="G617" s="152">
        <v>0</v>
      </c>
      <c r="H617" s="152">
        <f>F617*AO617</f>
        <v>0</v>
      </c>
      <c r="I617" s="152">
        <f>F617*AP617</f>
        <v>0</v>
      </c>
      <c r="J617" s="152">
        <f>F617*G617</f>
        <v>0</v>
      </c>
      <c r="K617" s="153" t="s">
        <v>100</v>
      </c>
      <c r="Z617" s="5">
        <f>IF(AQ617="5",BJ617,0)</f>
        <v>0</v>
      </c>
      <c r="AB617" s="5">
        <f>IF(AQ617="1",BH617,0)</f>
        <v>0</v>
      </c>
      <c r="AC617" s="5">
        <f>IF(AQ617="1",BI617,0)</f>
        <v>0</v>
      </c>
      <c r="AD617" s="5">
        <f>IF(AQ617="7",BH617,0)</f>
        <v>0</v>
      </c>
      <c r="AE617" s="5">
        <f>IF(AQ617="7",BI617,0)</f>
        <v>0</v>
      </c>
      <c r="AF617" s="5">
        <f>IF(AQ617="2",BH617,0)</f>
        <v>0</v>
      </c>
      <c r="AG617" s="5">
        <f>IF(AQ617="2",BI617,0)</f>
        <v>0</v>
      </c>
      <c r="AH617" s="5">
        <f>IF(AQ617="0",BJ617,0)</f>
        <v>0</v>
      </c>
      <c r="AI617" s="3" t="s">
        <v>899</v>
      </c>
      <c r="AJ617" s="5">
        <f>IF(AN617=0,J617,0)</f>
        <v>0</v>
      </c>
      <c r="AK617" s="5">
        <f>IF(AN617=12,J617,0)</f>
        <v>0</v>
      </c>
      <c r="AL617" s="5">
        <f>IF(AN617=21,J617,0)</f>
        <v>0</v>
      </c>
      <c r="AN617" s="5">
        <v>21</v>
      </c>
      <c r="AO617" s="5">
        <f>G617*0.098459459</f>
        <v>0</v>
      </c>
      <c r="AP617" s="5">
        <f>G617*(1-0.098459459)</f>
        <v>0</v>
      </c>
      <c r="AQ617" s="6" t="s">
        <v>60</v>
      </c>
      <c r="AV617" s="5">
        <f>AW617+AX617</f>
        <v>0</v>
      </c>
      <c r="AW617" s="5">
        <f>F617*AO617</f>
        <v>0</v>
      </c>
      <c r="AX617" s="5">
        <f>F617*AP617</f>
        <v>0</v>
      </c>
      <c r="AY617" s="6" t="s">
        <v>965</v>
      </c>
      <c r="AZ617" s="6" t="s">
        <v>912</v>
      </c>
      <c r="BA617" s="3" t="s">
        <v>905</v>
      </c>
      <c r="BC617" s="5">
        <f>AW617+AX617</f>
        <v>0</v>
      </c>
      <c r="BD617" s="5">
        <f>G617/(100-BE617)*100</f>
        <v>0</v>
      </c>
      <c r="BE617" s="5">
        <v>0</v>
      </c>
      <c r="BF617" s="5">
        <f>617</f>
        <v>617</v>
      </c>
      <c r="BH617" s="5">
        <f>F617*AO617</f>
        <v>0</v>
      </c>
      <c r="BI617" s="5">
        <f>F617*AP617</f>
        <v>0</v>
      </c>
      <c r="BJ617" s="5">
        <f>F617*G617</f>
        <v>0</v>
      </c>
      <c r="BK617" s="5"/>
      <c r="BL617" s="5"/>
      <c r="BW617" s="5">
        <v>21</v>
      </c>
      <c r="BX617" s="2" t="s">
        <v>987</v>
      </c>
    </row>
    <row r="618" spans="1:76" ht="13.5" customHeight="1" x14ac:dyDescent="0.25">
      <c r="A618" s="154"/>
      <c r="B618" s="155"/>
      <c r="C618" s="156" t="s">
        <v>966</v>
      </c>
      <c r="D618" s="157"/>
      <c r="E618" s="157"/>
      <c r="F618" s="157"/>
      <c r="G618" s="157"/>
      <c r="H618" s="157"/>
      <c r="I618" s="157"/>
      <c r="J618" s="157"/>
      <c r="K618" s="158"/>
    </row>
    <row r="619" spans="1:76" x14ac:dyDescent="0.25">
      <c r="A619" s="154"/>
      <c r="B619" s="155"/>
      <c r="C619" s="159" t="s">
        <v>108</v>
      </c>
      <c r="D619" s="160" t="s">
        <v>52</v>
      </c>
      <c r="E619" s="155"/>
      <c r="F619" s="161">
        <v>8</v>
      </c>
      <c r="G619" s="155"/>
      <c r="H619" s="155"/>
      <c r="I619" s="155"/>
      <c r="J619" s="155"/>
      <c r="K619" s="162"/>
    </row>
    <row r="620" spans="1:76" x14ac:dyDescent="0.25">
      <c r="A620" s="146" t="s">
        <v>988</v>
      </c>
      <c r="B620" s="149" t="s">
        <v>989</v>
      </c>
      <c r="C620" s="116" t="s">
        <v>990</v>
      </c>
      <c r="D620" s="112"/>
      <c r="E620" s="149" t="s">
        <v>197</v>
      </c>
      <c r="F620" s="152">
        <v>350</v>
      </c>
      <c r="G620" s="152">
        <v>0</v>
      </c>
      <c r="H620" s="152">
        <f>F620*AO620</f>
        <v>0</v>
      </c>
      <c r="I620" s="152">
        <f>F620*AP620</f>
        <v>0</v>
      </c>
      <c r="J620" s="152">
        <f>F620*G620</f>
        <v>0</v>
      </c>
      <c r="K620" s="153" t="s">
        <v>100</v>
      </c>
      <c r="Z620" s="5">
        <f>IF(AQ620="5",BJ620,0)</f>
        <v>0</v>
      </c>
      <c r="AB620" s="5">
        <f>IF(AQ620="1",BH620,0)</f>
        <v>0</v>
      </c>
      <c r="AC620" s="5">
        <f>IF(AQ620="1",BI620,0)</f>
        <v>0</v>
      </c>
      <c r="AD620" s="5">
        <f>IF(AQ620="7",BH620,0)</f>
        <v>0</v>
      </c>
      <c r="AE620" s="5">
        <f>IF(AQ620="7",BI620,0)</f>
        <v>0</v>
      </c>
      <c r="AF620" s="5">
        <f>IF(AQ620="2",BH620,0)</f>
        <v>0</v>
      </c>
      <c r="AG620" s="5">
        <f>IF(AQ620="2",BI620,0)</f>
        <v>0</v>
      </c>
      <c r="AH620" s="5">
        <f>IF(AQ620="0",BJ620,0)</f>
        <v>0</v>
      </c>
      <c r="AI620" s="3" t="s">
        <v>899</v>
      </c>
      <c r="AJ620" s="5">
        <f>IF(AN620=0,J620,0)</f>
        <v>0</v>
      </c>
      <c r="AK620" s="5">
        <f>IF(AN620=12,J620,0)</f>
        <v>0</v>
      </c>
      <c r="AL620" s="5">
        <f>IF(AN620=21,J620,0)</f>
        <v>0</v>
      </c>
      <c r="AN620" s="5">
        <v>21</v>
      </c>
      <c r="AO620" s="5">
        <f>G620*0.098457447</f>
        <v>0</v>
      </c>
      <c r="AP620" s="5">
        <f>G620*(1-0.098457447)</f>
        <v>0</v>
      </c>
      <c r="AQ620" s="6" t="s">
        <v>60</v>
      </c>
      <c r="AV620" s="5">
        <f>AW620+AX620</f>
        <v>0</v>
      </c>
      <c r="AW620" s="5">
        <f>F620*AO620</f>
        <v>0</v>
      </c>
      <c r="AX620" s="5">
        <f>F620*AP620</f>
        <v>0</v>
      </c>
      <c r="AY620" s="6" t="s">
        <v>965</v>
      </c>
      <c r="AZ620" s="6" t="s">
        <v>912</v>
      </c>
      <c r="BA620" s="3" t="s">
        <v>905</v>
      </c>
      <c r="BC620" s="5">
        <f>AW620+AX620</f>
        <v>0</v>
      </c>
      <c r="BD620" s="5">
        <f>G620/(100-BE620)*100</f>
        <v>0</v>
      </c>
      <c r="BE620" s="5">
        <v>0</v>
      </c>
      <c r="BF620" s="5">
        <f>620</f>
        <v>620</v>
      </c>
      <c r="BH620" s="5">
        <f>F620*AO620</f>
        <v>0</v>
      </c>
      <c r="BI620" s="5">
        <f>F620*AP620</f>
        <v>0</v>
      </c>
      <c r="BJ620" s="5">
        <f>F620*G620</f>
        <v>0</v>
      </c>
      <c r="BK620" s="5"/>
      <c r="BL620" s="5"/>
      <c r="BW620" s="5">
        <v>21</v>
      </c>
      <c r="BX620" s="2" t="s">
        <v>990</v>
      </c>
    </row>
    <row r="621" spans="1:76" ht="13.5" customHeight="1" x14ac:dyDescent="0.25">
      <c r="A621" s="154"/>
      <c r="B621" s="155"/>
      <c r="C621" s="156" t="s">
        <v>966</v>
      </c>
      <c r="D621" s="157"/>
      <c r="E621" s="157"/>
      <c r="F621" s="157"/>
      <c r="G621" s="157"/>
      <c r="H621" s="157"/>
      <c r="I621" s="157"/>
      <c r="J621" s="157"/>
      <c r="K621" s="158"/>
    </row>
    <row r="622" spans="1:76" x14ac:dyDescent="0.25">
      <c r="A622" s="154"/>
      <c r="B622" s="155"/>
      <c r="C622" s="159" t="s">
        <v>991</v>
      </c>
      <c r="D622" s="160" t="s">
        <v>52</v>
      </c>
      <c r="E622" s="155"/>
      <c r="F622" s="161">
        <v>350</v>
      </c>
      <c r="G622" s="155"/>
      <c r="H622" s="155"/>
      <c r="I622" s="155"/>
      <c r="J622" s="155"/>
      <c r="K622" s="162"/>
    </row>
    <row r="623" spans="1:76" ht="25.5" x14ac:dyDescent="0.25">
      <c r="A623" s="146" t="s">
        <v>992</v>
      </c>
      <c r="B623" s="149" t="s">
        <v>993</v>
      </c>
      <c r="C623" s="116" t="s">
        <v>994</v>
      </c>
      <c r="D623" s="112"/>
      <c r="E623" s="149" t="s">
        <v>709</v>
      </c>
      <c r="F623" s="152">
        <v>152</v>
      </c>
      <c r="G623" s="152">
        <v>0</v>
      </c>
      <c r="H623" s="152">
        <f>F623*AO623</f>
        <v>0</v>
      </c>
      <c r="I623" s="152">
        <f>F623*AP623</f>
        <v>0</v>
      </c>
      <c r="J623" s="152">
        <f>F623*G623</f>
        <v>0</v>
      </c>
      <c r="K623" s="153" t="s">
        <v>100</v>
      </c>
      <c r="Z623" s="5">
        <f>IF(AQ623="5",BJ623,0)</f>
        <v>0</v>
      </c>
      <c r="AB623" s="5">
        <f>IF(AQ623="1",BH623,0)</f>
        <v>0</v>
      </c>
      <c r="AC623" s="5">
        <f>IF(AQ623="1",BI623,0)</f>
        <v>0</v>
      </c>
      <c r="AD623" s="5">
        <f>IF(AQ623="7",BH623,0)</f>
        <v>0</v>
      </c>
      <c r="AE623" s="5">
        <f>IF(AQ623="7",BI623,0)</f>
        <v>0</v>
      </c>
      <c r="AF623" s="5">
        <f>IF(AQ623="2",BH623,0)</f>
        <v>0</v>
      </c>
      <c r="AG623" s="5">
        <f>IF(AQ623="2",BI623,0)</f>
        <v>0</v>
      </c>
      <c r="AH623" s="5">
        <f>IF(AQ623="0",BJ623,0)</f>
        <v>0</v>
      </c>
      <c r="AI623" s="3" t="s">
        <v>899</v>
      </c>
      <c r="AJ623" s="5">
        <f>IF(AN623=0,J623,0)</f>
        <v>0</v>
      </c>
      <c r="AK623" s="5">
        <f>IF(AN623=12,J623,0)</f>
        <v>0</v>
      </c>
      <c r="AL623" s="5">
        <f>IF(AN623=21,J623,0)</f>
        <v>0</v>
      </c>
      <c r="AN623" s="5">
        <v>21</v>
      </c>
      <c r="AO623" s="5">
        <f>G623*0.098455446</f>
        <v>0</v>
      </c>
      <c r="AP623" s="5">
        <f>G623*(1-0.098455446)</f>
        <v>0</v>
      </c>
      <c r="AQ623" s="6" t="s">
        <v>60</v>
      </c>
      <c r="AV623" s="5">
        <f>AW623+AX623</f>
        <v>0</v>
      </c>
      <c r="AW623" s="5">
        <f>F623*AO623</f>
        <v>0</v>
      </c>
      <c r="AX623" s="5">
        <f>F623*AP623</f>
        <v>0</v>
      </c>
      <c r="AY623" s="6" t="s">
        <v>965</v>
      </c>
      <c r="AZ623" s="6" t="s">
        <v>912</v>
      </c>
      <c r="BA623" s="3" t="s">
        <v>905</v>
      </c>
      <c r="BC623" s="5">
        <f>AW623+AX623</f>
        <v>0</v>
      </c>
      <c r="BD623" s="5">
        <f>G623/(100-BE623)*100</f>
        <v>0</v>
      </c>
      <c r="BE623" s="5">
        <v>0</v>
      </c>
      <c r="BF623" s="5">
        <f>623</f>
        <v>623</v>
      </c>
      <c r="BH623" s="5">
        <f>F623*AO623</f>
        <v>0</v>
      </c>
      <c r="BI623" s="5">
        <f>F623*AP623</f>
        <v>0</v>
      </c>
      <c r="BJ623" s="5">
        <f>F623*G623</f>
        <v>0</v>
      </c>
      <c r="BK623" s="5"/>
      <c r="BL623" s="5"/>
      <c r="BW623" s="5">
        <v>21</v>
      </c>
      <c r="BX623" s="2" t="s">
        <v>994</v>
      </c>
    </row>
    <row r="624" spans="1:76" ht="13.5" customHeight="1" x14ac:dyDescent="0.25">
      <c r="A624" s="154"/>
      <c r="B624" s="155"/>
      <c r="C624" s="156" t="s">
        <v>966</v>
      </c>
      <c r="D624" s="157"/>
      <c r="E624" s="157"/>
      <c r="F624" s="157"/>
      <c r="G624" s="157"/>
      <c r="H624" s="157"/>
      <c r="I624" s="157"/>
      <c r="J624" s="157"/>
      <c r="K624" s="158"/>
    </row>
    <row r="625" spans="1:76" x14ac:dyDescent="0.25">
      <c r="A625" s="154"/>
      <c r="B625" s="155"/>
      <c r="C625" s="159" t="s">
        <v>877</v>
      </c>
      <c r="D625" s="160" t="s">
        <v>52</v>
      </c>
      <c r="E625" s="155"/>
      <c r="F625" s="161">
        <v>152</v>
      </c>
      <c r="G625" s="155"/>
      <c r="H625" s="155"/>
      <c r="I625" s="155"/>
      <c r="J625" s="155"/>
      <c r="K625" s="162"/>
    </row>
    <row r="626" spans="1:76" x14ac:dyDescent="0.25">
      <c r="A626" s="146" t="s">
        <v>995</v>
      </c>
      <c r="B626" s="149" t="s">
        <v>996</v>
      </c>
      <c r="C626" s="116" t="s">
        <v>997</v>
      </c>
      <c r="D626" s="112"/>
      <c r="E626" s="149" t="s">
        <v>709</v>
      </c>
      <c r="F626" s="152">
        <v>115</v>
      </c>
      <c r="G626" s="152">
        <v>0</v>
      </c>
      <c r="H626" s="152">
        <f>F626*AO626</f>
        <v>0</v>
      </c>
      <c r="I626" s="152">
        <f>F626*AP626</f>
        <v>0</v>
      </c>
      <c r="J626" s="152">
        <f>F626*G626</f>
        <v>0</v>
      </c>
      <c r="K626" s="153" t="s">
        <v>100</v>
      </c>
      <c r="Z626" s="5">
        <f>IF(AQ626="5",BJ626,0)</f>
        <v>0</v>
      </c>
      <c r="AB626" s="5">
        <f>IF(AQ626="1",BH626,0)</f>
        <v>0</v>
      </c>
      <c r="AC626" s="5">
        <f>IF(AQ626="1",BI626,0)</f>
        <v>0</v>
      </c>
      <c r="AD626" s="5">
        <f>IF(AQ626="7",BH626,0)</f>
        <v>0</v>
      </c>
      <c r="AE626" s="5">
        <f>IF(AQ626="7",BI626,0)</f>
        <v>0</v>
      </c>
      <c r="AF626" s="5">
        <f>IF(AQ626="2",BH626,0)</f>
        <v>0</v>
      </c>
      <c r="AG626" s="5">
        <f>IF(AQ626="2",BI626,0)</f>
        <v>0</v>
      </c>
      <c r="AH626" s="5">
        <f>IF(AQ626="0",BJ626,0)</f>
        <v>0</v>
      </c>
      <c r="AI626" s="3" t="s">
        <v>899</v>
      </c>
      <c r="AJ626" s="5">
        <f>IF(AN626=0,J626,0)</f>
        <v>0</v>
      </c>
      <c r="AK626" s="5">
        <f>IF(AN626=12,J626,0)</f>
        <v>0</v>
      </c>
      <c r="AL626" s="5">
        <f>IF(AN626=21,J626,0)</f>
        <v>0</v>
      </c>
      <c r="AN626" s="5">
        <v>21</v>
      </c>
      <c r="AO626" s="5">
        <f>G626*0.098455497</f>
        <v>0</v>
      </c>
      <c r="AP626" s="5">
        <f>G626*(1-0.098455497)</f>
        <v>0</v>
      </c>
      <c r="AQ626" s="6" t="s">
        <v>60</v>
      </c>
      <c r="AV626" s="5">
        <f>AW626+AX626</f>
        <v>0</v>
      </c>
      <c r="AW626" s="5">
        <f>F626*AO626</f>
        <v>0</v>
      </c>
      <c r="AX626" s="5">
        <f>F626*AP626</f>
        <v>0</v>
      </c>
      <c r="AY626" s="6" t="s">
        <v>965</v>
      </c>
      <c r="AZ626" s="6" t="s">
        <v>912</v>
      </c>
      <c r="BA626" s="3" t="s">
        <v>905</v>
      </c>
      <c r="BC626" s="5">
        <f>AW626+AX626</f>
        <v>0</v>
      </c>
      <c r="BD626" s="5">
        <f>G626/(100-BE626)*100</f>
        <v>0</v>
      </c>
      <c r="BE626" s="5">
        <v>0</v>
      </c>
      <c r="BF626" s="5">
        <f>626</f>
        <v>626</v>
      </c>
      <c r="BH626" s="5">
        <f>F626*AO626</f>
        <v>0</v>
      </c>
      <c r="BI626" s="5">
        <f>F626*AP626</f>
        <v>0</v>
      </c>
      <c r="BJ626" s="5">
        <f>F626*G626</f>
        <v>0</v>
      </c>
      <c r="BK626" s="5"/>
      <c r="BL626" s="5"/>
      <c r="BW626" s="5">
        <v>21</v>
      </c>
      <c r="BX626" s="2" t="s">
        <v>997</v>
      </c>
    </row>
    <row r="627" spans="1:76" ht="13.5" customHeight="1" x14ac:dyDescent="0.25">
      <c r="A627" s="154"/>
      <c r="B627" s="155"/>
      <c r="C627" s="156" t="s">
        <v>966</v>
      </c>
      <c r="D627" s="157"/>
      <c r="E627" s="157"/>
      <c r="F627" s="157"/>
      <c r="G627" s="157"/>
      <c r="H627" s="157"/>
      <c r="I627" s="157"/>
      <c r="J627" s="157"/>
      <c r="K627" s="158"/>
    </row>
    <row r="628" spans="1:76" x14ac:dyDescent="0.25">
      <c r="A628" s="154"/>
      <c r="B628" s="155"/>
      <c r="C628" s="159" t="s">
        <v>643</v>
      </c>
      <c r="D628" s="160" t="s">
        <v>52</v>
      </c>
      <c r="E628" s="155"/>
      <c r="F628" s="161">
        <v>115</v>
      </c>
      <c r="G628" s="155"/>
      <c r="H628" s="155"/>
      <c r="I628" s="155"/>
      <c r="J628" s="155"/>
      <c r="K628" s="162"/>
    </row>
    <row r="629" spans="1:76" ht="25.5" x14ac:dyDescent="0.25">
      <c r="A629" s="146" t="s">
        <v>998</v>
      </c>
      <c r="B629" s="149" t="s">
        <v>999</v>
      </c>
      <c r="C629" s="116" t="s">
        <v>1000</v>
      </c>
      <c r="D629" s="112"/>
      <c r="E629" s="149" t="s">
        <v>69</v>
      </c>
      <c r="F629" s="152">
        <v>25</v>
      </c>
      <c r="G629" s="152">
        <v>0</v>
      </c>
      <c r="H629" s="152">
        <f>F629*AO629</f>
        <v>0</v>
      </c>
      <c r="I629" s="152">
        <f>F629*AP629</f>
        <v>0</v>
      </c>
      <c r="J629" s="152">
        <f>F629*G629</f>
        <v>0</v>
      </c>
      <c r="K629" s="153" t="s">
        <v>100</v>
      </c>
      <c r="Z629" s="5">
        <f>IF(AQ629="5",BJ629,0)</f>
        <v>0</v>
      </c>
      <c r="AB629" s="5">
        <f>IF(AQ629="1",BH629,0)</f>
        <v>0</v>
      </c>
      <c r="AC629" s="5">
        <f>IF(AQ629="1",BI629,0)</f>
        <v>0</v>
      </c>
      <c r="AD629" s="5">
        <f>IF(AQ629="7",BH629,0)</f>
        <v>0</v>
      </c>
      <c r="AE629" s="5">
        <f>IF(AQ629="7",BI629,0)</f>
        <v>0</v>
      </c>
      <c r="AF629" s="5">
        <f>IF(AQ629="2",BH629,0)</f>
        <v>0</v>
      </c>
      <c r="AG629" s="5">
        <f>IF(AQ629="2",BI629,0)</f>
        <v>0</v>
      </c>
      <c r="AH629" s="5">
        <f>IF(AQ629="0",BJ629,0)</f>
        <v>0</v>
      </c>
      <c r="AI629" s="3" t="s">
        <v>899</v>
      </c>
      <c r="AJ629" s="5">
        <f>IF(AN629=0,J629,0)</f>
        <v>0</v>
      </c>
      <c r="AK629" s="5">
        <f>IF(AN629=12,J629,0)</f>
        <v>0</v>
      </c>
      <c r="AL629" s="5">
        <f>IF(AN629=21,J629,0)</f>
        <v>0</v>
      </c>
      <c r="AN629" s="5">
        <v>21</v>
      </c>
      <c r="AO629" s="5">
        <f>G629*0.098434783</f>
        <v>0</v>
      </c>
      <c r="AP629" s="5">
        <f>G629*(1-0.098434783)</f>
        <v>0</v>
      </c>
      <c r="AQ629" s="6" t="s">
        <v>60</v>
      </c>
      <c r="AV629" s="5">
        <f>AW629+AX629</f>
        <v>0</v>
      </c>
      <c r="AW629" s="5">
        <f>F629*AO629</f>
        <v>0</v>
      </c>
      <c r="AX629" s="5">
        <f>F629*AP629</f>
        <v>0</v>
      </c>
      <c r="AY629" s="6" t="s">
        <v>965</v>
      </c>
      <c r="AZ629" s="6" t="s">
        <v>912</v>
      </c>
      <c r="BA629" s="3" t="s">
        <v>905</v>
      </c>
      <c r="BC629" s="5">
        <f>AW629+AX629</f>
        <v>0</v>
      </c>
      <c r="BD629" s="5">
        <f>G629/(100-BE629)*100</f>
        <v>0</v>
      </c>
      <c r="BE629" s="5">
        <v>0</v>
      </c>
      <c r="BF629" s="5">
        <f>629</f>
        <v>629</v>
      </c>
      <c r="BH629" s="5">
        <f>F629*AO629</f>
        <v>0</v>
      </c>
      <c r="BI629" s="5">
        <f>F629*AP629</f>
        <v>0</v>
      </c>
      <c r="BJ629" s="5">
        <f>F629*G629</f>
        <v>0</v>
      </c>
      <c r="BK629" s="5"/>
      <c r="BL629" s="5"/>
      <c r="BW629" s="5">
        <v>21</v>
      </c>
      <c r="BX629" s="2" t="s">
        <v>1000</v>
      </c>
    </row>
    <row r="630" spans="1:76" ht="13.5" customHeight="1" x14ac:dyDescent="0.25">
      <c r="A630" s="154"/>
      <c r="B630" s="155"/>
      <c r="C630" s="156" t="s">
        <v>966</v>
      </c>
      <c r="D630" s="157"/>
      <c r="E630" s="157"/>
      <c r="F630" s="157"/>
      <c r="G630" s="157"/>
      <c r="H630" s="157"/>
      <c r="I630" s="157"/>
      <c r="J630" s="157"/>
      <c r="K630" s="158"/>
    </row>
    <row r="631" spans="1:76" x14ac:dyDescent="0.25">
      <c r="A631" s="154"/>
      <c r="B631" s="155"/>
      <c r="C631" s="159" t="s">
        <v>203</v>
      </c>
      <c r="D631" s="160" t="s">
        <v>52</v>
      </c>
      <c r="E631" s="155"/>
      <c r="F631" s="161">
        <v>25</v>
      </c>
      <c r="G631" s="155"/>
      <c r="H631" s="155"/>
      <c r="I631" s="155"/>
      <c r="J631" s="155"/>
      <c r="K631" s="162"/>
    </row>
    <row r="632" spans="1:76" ht="25.5" x14ac:dyDescent="0.25">
      <c r="A632" s="146" t="s">
        <v>1001</v>
      </c>
      <c r="B632" s="149" t="s">
        <v>1002</v>
      </c>
      <c r="C632" s="116" t="s">
        <v>1003</v>
      </c>
      <c r="D632" s="112"/>
      <c r="E632" s="149" t="s">
        <v>709</v>
      </c>
      <c r="F632" s="152">
        <v>8</v>
      </c>
      <c r="G632" s="152">
        <v>0</v>
      </c>
      <c r="H632" s="152">
        <f>F632*AO632</f>
        <v>0</v>
      </c>
      <c r="I632" s="152">
        <f>F632*AP632</f>
        <v>0</v>
      </c>
      <c r="J632" s="152">
        <f>F632*G632</f>
        <v>0</v>
      </c>
      <c r="K632" s="153" t="s">
        <v>100</v>
      </c>
      <c r="Z632" s="5">
        <f>IF(AQ632="5",BJ632,0)</f>
        <v>0</v>
      </c>
      <c r="AB632" s="5">
        <f>IF(AQ632="1",BH632,0)</f>
        <v>0</v>
      </c>
      <c r="AC632" s="5">
        <f>IF(AQ632="1",BI632,0)</f>
        <v>0</v>
      </c>
      <c r="AD632" s="5">
        <f>IF(AQ632="7",BH632,0)</f>
        <v>0</v>
      </c>
      <c r="AE632" s="5">
        <f>IF(AQ632="7",BI632,0)</f>
        <v>0</v>
      </c>
      <c r="AF632" s="5">
        <f>IF(AQ632="2",BH632,0)</f>
        <v>0</v>
      </c>
      <c r="AG632" s="5">
        <f>IF(AQ632="2",BI632,0)</f>
        <v>0</v>
      </c>
      <c r="AH632" s="5">
        <f>IF(AQ632="0",BJ632,0)</f>
        <v>0</v>
      </c>
      <c r="AI632" s="3" t="s">
        <v>899</v>
      </c>
      <c r="AJ632" s="5">
        <f>IF(AN632=0,J632,0)</f>
        <v>0</v>
      </c>
      <c r="AK632" s="5">
        <f>IF(AN632=12,J632,0)</f>
        <v>0</v>
      </c>
      <c r="AL632" s="5">
        <f>IF(AN632=21,J632,0)</f>
        <v>0</v>
      </c>
      <c r="AN632" s="5">
        <v>21</v>
      </c>
      <c r="AO632" s="5">
        <f>G632*0.098450704</f>
        <v>0</v>
      </c>
      <c r="AP632" s="5">
        <f>G632*(1-0.098450704)</f>
        <v>0</v>
      </c>
      <c r="AQ632" s="6" t="s">
        <v>60</v>
      </c>
      <c r="AV632" s="5">
        <f>AW632+AX632</f>
        <v>0</v>
      </c>
      <c r="AW632" s="5">
        <f>F632*AO632</f>
        <v>0</v>
      </c>
      <c r="AX632" s="5">
        <f>F632*AP632</f>
        <v>0</v>
      </c>
      <c r="AY632" s="6" t="s">
        <v>965</v>
      </c>
      <c r="AZ632" s="6" t="s">
        <v>912</v>
      </c>
      <c r="BA632" s="3" t="s">
        <v>905</v>
      </c>
      <c r="BC632" s="5">
        <f>AW632+AX632</f>
        <v>0</v>
      </c>
      <c r="BD632" s="5">
        <f>G632/(100-BE632)*100</f>
        <v>0</v>
      </c>
      <c r="BE632" s="5">
        <v>0</v>
      </c>
      <c r="BF632" s="5">
        <f>632</f>
        <v>632</v>
      </c>
      <c r="BH632" s="5">
        <f>F632*AO632</f>
        <v>0</v>
      </c>
      <c r="BI632" s="5">
        <f>F632*AP632</f>
        <v>0</v>
      </c>
      <c r="BJ632" s="5">
        <f>F632*G632</f>
        <v>0</v>
      </c>
      <c r="BK632" s="5"/>
      <c r="BL632" s="5"/>
      <c r="BW632" s="5">
        <v>21</v>
      </c>
      <c r="BX632" s="2" t="s">
        <v>1003</v>
      </c>
    </row>
    <row r="633" spans="1:76" ht="54" customHeight="1" x14ac:dyDescent="0.25">
      <c r="A633" s="154"/>
      <c r="B633" s="155"/>
      <c r="C633" s="156" t="s">
        <v>1004</v>
      </c>
      <c r="D633" s="157"/>
      <c r="E633" s="157"/>
      <c r="F633" s="157"/>
      <c r="G633" s="157"/>
      <c r="H633" s="157"/>
      <c r="I633" s="157"/>
      <c r="J633" s="157"/>
      <c r="K633" s="158"/>
    </row>
    <row r="634" spans="1:76" x14ac:dyDescent="0.25">
      <c r="A634" s="154"/>
      <c r="B634" s="155"/>
      <c r="C634" s="159" t="s">
        <v>108</v>
      </c>
      <c r="D634" s="160" t="s">
        <v>52</v>
      </c>
      <c r="E634" s="155"/>
      <c r="F634" s="161">
        <v>8</v>
      </c>
      <c r="G634" s="155"/>
      <c r="H634" s="155"/>
      <c r="I634" s="155"/>
      <c r="J634" s="155"/>
      <c r="K634" s="162"/>
    </row>
    <row r="635" spans="1:76" x14ac:dyDescent="0.25">
      <c r="A635" s="146" t="s">
        <v>1005</v>
      </c>
      <c r="B635" s="149" t="s">
        <v>1006</v>
      </c>
      <c r="C635" s="116" t="s">
        <v>1007</v>
      </c>
      <c r="D635" s="112"/>
      <c r="E635" s="149" t="s">
        <v>709</v>
      </c>
      <c r="F635" s="152">
        <v>8</v>
      </c>
      <c r="G635" s="152">
        <v>0</v>
      </c>
      <c r="H635" s="152">
        <f>F635*AO635</f>
        <v>0</v>
      </c>
      <c r="I635" s="152">
        <f>F635*AP635</f>
        <v>0</v>
      </c>
      <c r="J635" s="152">
        <f>F635*G635</f>
        <v>0</v>
      </c>
      <c r="K635" s="153" t="s">
        <v>100</v>
      </c>
      <c r="Z635" s="5">
        <f>IF(AQ635="5",BJ635,0)</f>
        <v>0</v>
      </c>
      <c r="AB635" s="5">
        <f>IF(AQ635="1",BH635,0)</f>
        <v>0</v>
      </c>
      <c r="AC635" s="5">
        <f>IF(AQ635="1",BI635,0)</f>
        <v>0</v>
      </c>
      <c r="AD635" s="5">
        <f>IF(AQ635="7",BH635,0)</f>
        <v>0</v>
      </c>
      <c r="AE635" s="5">
        <f>IF(AQ635="7",BI635,0)</f>
        <v>0</v>
      </c>
      <c r="AF635" s="5">
        <f>IF(AQ635="2",BH635,0)</f>
        <v>0</v>
      </c>
      <c r="AG635" s="5">
        <f>IF(AQ635="2",BI635,0)</f>
        <v>0</v>
      </c>
      <c r="AH635" s="5">
        <f>IF(AQ635="0",BJ635,0)</f>
        <v>0</v>
      </c>
      <c r="AI635" s="3" t="s">
        <v>899</v>
      </c>
      <c r="AJ635" s="5">
        <f>IF(AN635=0,J635,0)</f>
        <v>0</v>
      </c>
      <c r="AK635" s="5">
        <f>IF(AN635=12,J635,0)</f>
        <v>0</v>
      </c>
      <c r="AL635" s="5">
        <f>IF(AN635=21,J635,0)</f>
        <v>0</v>
      </c>
      <c r="AN635" s="5">
        <v>21</v>
      </c>
      <c r="AO635" s="5">
        <f>G635*0.09844</f>
        <v>0</v>
      </c>
      <c r="AP635" s="5">
        <f>G635*(1-0.09844)</f>
        <v>0</v>
      </c>
      <c r="AQ635" s="6" t="s">
        <v>60</v>
      </c>
      <c r="AV635" s="5">
        <f>AW635+AX635</f>
        <v>0</v>
      </c>
      <c r="AW635" s="5">
        <f>F635*AO635</f>
        <v>0</v>
      </c>
      <c r="AX635" s="5">
        <f>F635*AP635</f>
        <v>0</v>
      </c>
      <c r="AY635" s="6" t="s">
        <v>965</v>
      </c>
      <c r="AZ635" s="6" t="s">
        <v>912</v>
      </c>
      <c r="BA635" s="3" t="s">
        <v>905</v>
      </c>
      <c r="BC635" s="5">
        <f>AW635+AX635</f>
        <v>0</v>
      </c>
      <c r="BD635" s="5">
        <f>G635/(100-BE635)*100</f>
        <v>0</v>
      </c>
      <c r="BE635" s="5">
        <v>0</v>
      </c>
      <c r="BF635" s="5">
        <f>635</f>
        <v>635</v>
      </c>
      <c r="BH635" s="5">
        <f>F635*AO635</f>
        <v>0</v>
      </c>
      <c r="BI635" s="5">
        <f>F635*AP635</f>
        <v>0</v>
      </c>
      <c r="BJ635" s="5">
        <f>F635*G635</f>
        <v>0</v>
      </c>
      <c r="BK635" s="5"/>
      <c r="BL635" s="5"/>
      <c r="BW635" s="5">
        <v>21</v>
      </c>
      <c r="BX635" s="2" t="s">
        <v>1007</v>
      </c>
    </row>
    <row r="636" spans="1:76" ht="13.5" customHeight="1" x14ac:dyDescent="0.25">
      <c r="A636" s="154"/>
      <c r="B636" s="155"/>
      <c r="C636" s="156" t="s">
        <v>1008</v>
      </c>
      <c r="D636" s="157"/>
      <c r="E636" s="157"/>
      <c r="F636" s="157"/>
      <c r="G636" s="157"/>
      <c r="H636" s="157"/>
      <c r="I636" s="157"/>
      <c r="J636" s="157"/>
      <c r="K636" s="158"/>
    </row>
    <row r="637" spans="1:76" x14ac:dyDescent="0.25">
      <c r="A637" s="154"/>
      <c r="B637" s="155"/>
      <c r="C637" s="159" t="s">
        <v>108</v>
      </c>
      <c r="D637" s="160" t="s">
        <v>52</v>
      </c>
      <c r="E637" s="155"/>
      <c r="F637" s="161">
        <v>8</v>
      </c>
      <c r="G637" s="155"/>
      <c r="H637" s="155"/>
      <c r="I637" s="155"/>
      <c r="J637" s="155"/>
      <c r="K637" s="162"/>
    </row>
    <row r="638" spans="1:76" ht="25.5" x14ac:dyDescent="0.25">
      <c r="A638" s="146" t="s">
        <v>1009</v>
      </c>
      <c r="B638" s="149" t="s">
        <v>1010</v>
      </c>
      <c r="C638" s="116" t="s">
        <v>1011</v>
      </c>
      <c r="D638" s="112"/>
      <c r="E638" s="149" t="s">
        <v>709</v>
      </c>
      <c r="F638" s="152">
        <v>8</v>
      </c>
      <c r="G638" s="152">
        <v>0</v>
      </c>
      <c r="H638" s="152">
        <f>F638*AO638</f>
        <v>0</v>
      </c>
      <c r="I638" s="152">
        <f>F638*AP638</f>
        <v>0</v>
      </c>
      <c r="J638" s="152">
        <f>F638*G638</f>
        <v>0</v>
      </c>
      <c r="K638" s="153" t="s">
        <v>100</v>
      </c>
      <c r="Z638" s="5">
        <f>IF(AQ638="5",BJ638,0)</f>
        <v>0</v>
      </c>
      <c r="AB638" s="5">
        <f>IF(AQ638="1",BH638,0)</f>
        <v>0</v>
      </c>
      <c r="AC638" s="5">
        <f>IF(AQ638="1",BI638,0)</f>
        <v>0</v>
      </c>
      <c r="AD638" s="5">
        <f>IF(AQ638="7",BH638,0)</f>
        <v>0</v>
      </c>
      <c r="AE638" s="5">
        <f>IF(AQ638="7",BI638,0)</f>
        <v>0</v>
      </c>
      <c r="AF638" s="5">
        <f>IF(AQ638="2",BH638,0)</f>
        <v>0</v>
      </c>
      <c r="AG638" s="5">
        <f>IF(AQ638="2",BI638,0)</f>
        <v>0</v>
      </c>
      <c r="AH638" s="5">
        <f>IF(AQ638="0",BJ638,0)</f>
        <v>0</v>
      </c>
      <c r="AI638" s="3" t="s">
        <v>899</v>
      </c>
      <c r="AJ638" s="5">
        <f>IF(AN638=0,J638,0)</f>
        <v>0</v>
      </c>
      <c r="AK638" s="5">
        <f>IF(AN638=12,J638,0)</f>
        <v>0</v>
      </c>
      <c r="AL638" s="5">
        <f>IF(AN638=21,J638,0)</f>
        <v>0</v>
      </c>
      <c r="AN638" s="5">
        <v>21</v>
      </c>
      <c r="AO638" s="5">
        <f>G638*0.098443038</f>
        <v>0</v>
      </c>
      <c r="AP638" s="5">
        <f>G638*(1-0.098443038)</f>
        <v>0</v>
      </c>
      <c r="AQ638" s="6" t="s">
        <v>60</v>
      </c>
      <c r="AV638" s="5">
        <f>AW638+AX638</f>
        <v>0</v>
      </c>
      <c r="AW638" s="5">
        <f>F638*AO638</f>
        <v>0</v>
      </c>
      <c r="AX638" s="5">
        <f>F638*AP638</f>
        <v>0</v>
      </c>
      <c r="AY638" s="6" t="s">
        <v>965</v>
      </c>
      <c r="AZ638" s="6" t="s">
        <v>912</v>
      </c>
      <c r="BA638" s="3" t="s">
        <v>905</v>
      </c>
      <c r="BC638" s="5">
        <f>AW638+AX638</f>
        <v>0</v>
      </c>
      <c r="BD638" s="5">
        <f>G638/(100-BE638)*100</f>
        <v>0</v>
      </c>
      <c r="BE638" s="5">
        <v>0</v>
      </c>
      <c r="BF638" s="5">
        <f>638</f>
        <v>638</v>
      </c>
      <c r="BH638" s="5">
        <f>F638*AO638</f>
        <v>0</v>
      </c>
      <c r="BI638" s="5">
        <f>F638*AP638</f>
        <v>0</v>
      </c>
      <c r="BJ638" s="5">
        <f>F638*G638</f>
        <v>0</v>
      </c>
      <c r="BK638" s="5"/>
      <c r="BL638" s="5"/>
      <c r="BW638" s="5">
        <v>21</v>
      </c>
      <c r="BX638" s="2" t="s">
        <v>1011</v>
      </c>
    </row>
    <row r="639" spans="1:76" ht="27" customHeight="1" x14ac:dyDescent="0.25">
      <c r="A639" s="154"/>
      <c r="B639" s="155"/>
      <c r="C639" s="156" t="s">
        <v>1012</v>
      </c>
      <c r="D639" s="157"/>
      <c r="E639" s="157"/>
      <c r="F639" s="157"/>
      <c r="G639" s="157"/>
      <c r="H639" s="157"/>
      <c r="I639" s="157"/>
      <c r="J639" s="157"/>
      <c r="K639" s="158"/>
    </row>
    <row r="640" spans="1:76" x14ac:dyDescent="0.25">
      <c r="A640" s="154"/>
      <c r="B640" s="155"/>
      <c r="C640" s="159" t="s">
        <v>108</v>
      </c>
      <c r="D640" s="160" t="s">
        <v>52</v>
      </c>
      <c r="E640" s="155"/>
      <c r="F640" s="161">
        <v>8</v>
      </c>
      <c r="G640" s="155"/>
      <c r="H640" s="155"/>
      <c r="I640" s="155"/>
      <c r="J640" s="155"/>
      <c r="K640" s="162"/>
    </row>
    <row r="641" spans="1:76" x14ac:dyDescent="0.25">
      <c r="A641" s="146" t="s">
        <v>1013</v>
      </c>
      <c r="B641" s="149" t="s">
        <v>1014</v>
      </c>
      <c r="C641" s="116" t="s">
        <v>1015</v>
      </c>
      <c r="D641" s="112"/>
      <c r="E641" s="149" t="s">
        <v>197</v>
      </c>
      <c r="F641" s="152">
        <v>30</v>
      </c>
      <c r="G641" s="152">
        <v>0</v>
      </c>
      <c r="H641" s="152">
        <f>F641*AO641</f>
        <v>0</v>
      </c>
      <c r="I641" s="152">
        <f>F641*AP641</f>
        <v>0</v>
      </c>
      <c r="J641" s="152">
        <f>F641*G641</f>
        <v>0</v>
      </c>
      <c r="K641" s="153" t="s">
        <v>100</v>
      </c>
      <c r="Z641" s="5">
        <f>IF(AQ641="5",BJ641,0)</f>
        <v>0</v>
      </c>
      <c r="AB641" s="5">
        <f>IF(AQ641="1",BH641,0)</f>
        <v>0</v>
      </c>
      <c r="AC641" s="5">
        <f>IF(AQ641="1",BI641,0)</f>
        <v>0</v>
      </c>
      <c r="AD641" s="5">
        <f>IF(AQ641="7",BH641,0)</f>
        <v>0</v>
      </c>
      <c r="AE641" s="5">
        <f>IF(AQ641="7",BI641,0)</f>
        <v>0</v>
      </c>
      <c r="AF641" s="5">
        <f>IF(AQ641="2",BH641,0)</f>
        <v>0</v>
      </c>
      <c r="AG641" s="5">
        <f>IF(AQ641="2",BI641,0)</f>
        <v>0</v>
      </c>
      <c r="AH641" s="5">
        <f>IF(AQ641="0",BJ641,0)</f>
        <v>0</v>
      </c>
      <c r="AI641" s="3" t="s">
        <v>899</v>
      </c>
      <c r="AJ641" s="5">
        <f>IF(AN641=0,J641,0)</f>
        <v>0</v>
      </c>
      <c r="AK641" s="5">
        <f>IF(AN641=12,J641,0)</f>
        <v>0</v>
      </c>
      <c r="AL641" s="5">
        <f>IF(AN641=21,J641,0)</f>
        <v>0</v>
      </c>
      <c r="AN641" s="5">
        <v>21</v>
      </c>
      <c r="AO641" s="5">
        <f>G641*0.098441558</f>
        <v>0</v>
      </c>
      <c r="AP641" s="5">
        <f>G641*(1-0.098441558)</f>
        <v>0</v>
      </c>
      <c r="AQ641" s="6" t="s">
        <v>60</v>
      </c>
      <c r="AV641" s="5">
        <f>AW641+AX641</f>
        <v>0</v>
      </c>
      <c r="AW641" s="5">
        <f>F641*AO641</f>
        <v>0</v>
      </c>
      <c r="AX641" s="5">
        <f>F641*AP641</f>
        <v>0</v>
      </c>
      <c r="AY641" s="6" t="s">
        <v>965</v>
      </c>
      <c r="AZ641" s="6" t="s">
        <v>912</v>
      </c>
      <c r="BA641" s="3" t="s">
        <v>905</v>
      </c>
      <c r="BC641" s="5">
        <f>AW641+AX641</f>
        <v>0</v>
      </c>
      <c r="BD641" s="5">
        <f>G641/(100-BE641)*100</f>
        <v>0</v>
      </c>
      <c r="BE641" s="5">
        <v>0</v>
      </c>
      <c r="BF641" s="5">
        <f>641</f>
        <v>641</v>
      </c>
      <c r="BH641" s="5">
        <f>F641*AO641</f>
        <v>0</v>
      </c>
      <c r="BI641" s="5">
        <f>F641*AP641</f>
        <v>0</v>
      </c>
      <c r="BJ641" s="5">
        <f>F641*G641</f>
        <v>0</v>
      </c>
      <c r="BK641" s="5"/>
      <c r="BL641" s="5"/>
      <c r="BW641" s="5">
        <v>21</v>
      </c>
      <c r="BX641" s="2" t="s">
        <v>1015</v>
      </c>
    </row>
    <row r="642" spans="1:76" ht="13.5" customHeight="1" x14ac:dyDescent="0.25">
      <c r="A642" s="154"/>
      <c r="B642" s="155"/>
      <c r="C642" s="156" t="s">
        <v>1008</v>
      </c>
      <c r="D642" s="157"/>
      <c r="E642" s="157"/>
      <c r="F642" s="157"/>
      <c r="G642" s="157"/>
      <c r="H642" s="157"/>
      <c r="I642" s="157"/>
      <c r="J642" s="157"/>
      <c r="K642" s="158"/>
    </row>
    <row r="643" spans="1:76" x14ac:dyDescent="0.25">
      <c r="A643" s="154"/>
      <c r="B643" s="155"/>
      <c r="C643" s="159" t="s">
        <v>239</v>
      </c>
      <c r="D643" s="160" t="s">
        <v>52</v>
      </c>
      <c r="E643" s="155"/>
      <c r="F643" s="161">
        <v>30</v>
      </c>
      <c r="G643" s="155"/>
      <c r="H643" s="155"/>
      <c r="I643" s="155"/>
      <c r="J643" s="155"/>
      <c r="K643" s="162"/>
    </row>
    <row r="644" spans="1:76" x14ac:dyDescent="0.25">
      <c r="A644" s="146" t="s">
        <v>1016</v>
      </c>
      <c r="B644" s="149" t="s">
        <v>1017</v>
      </c>
      <c r="C644" s="116" t="s">
        <v>1018</v>
      </c>
      <c r="D644" s="112"/>
      <c r="E644" s="149" t="s">
        <v>709</v>
      </c>
      <c r="F644" s="152">
        <v>10</v>
      </c>
      <c r="G644" s="152">
        <v>0</v>
      </c>
      <c r="H644" s="152">
        <f>F644*AO644</f>
        <v>0</v>
      </c>
      <c r="I644" s="152">
        <f>F644*AP644</f>
        <v>0</v>
      </c>
      <c r="J644" s="152">
        <f>F644*G644</f>
        <v>0</v>
      </c>
      <c r="K644" s="153" t="s">
        <v>100</v>
      </c>
      <c r="Z644" s="5">
        <f>IF(AQ644="5",BJ644,0)</f>
        <v>0</v>
      </c>
      <c r="AB644" s="5">
        <f>IF(AQ644="1",BH644,0)</f>
        <v>0</v>
      </c>
      <c r="AC644" s="5">
        <f>IF(AQ644="1",BI644,0)</f>
        <v>0</v>
      </c>
      <c r="AD644" s="5">
        <f>IF(AQ644="7",BH644,0)</f>
        <v>0</v>
      </c>
      <c r="AE644" s="5">
        <f>IF(AQ644="7",BI644,0)</f>
        <v>0</v>
      </c>
      <c r="AF644" s="5">
        <f>IF(AQ644="2",BH644,0)</f>
        <v>0</v>
      </c>
      <c r="AG644" s="5">
        <f>IF(AQ644="2",BI644,0)</f>
        <v>0</v>
      </c>
      <c r="AH644" s="5">
        <f>IF(AQ644="0",BJ644,0)</f>
        <v>0</v>
      </c>
      <c r="AI644" s="3" t="s">
        <v>899</v>
      </c>
      <c r="AJ644" s="5">
        <f>IF(AN644=0,J644,0)</f>
        <v>0</v>
      </c>
      <c r="AK644" s="5">
        <f>IF(AN644=12,J644,0)</f>
        <v>0</v>
      </c>
      <c r="AL644" s="5">
        <f>IF(AN644=21,J644,0)</f>
        <v>0</v>
      </c>
      <c r="AN644" s="5">
        <v>21</v>
      </c>
      <c r="AO644" s="5">
        <f>G644*0.098421053</f>
        <v>0</v>
      </c>
      <c r="AP644" s="5">
        <f>G644*(1-0.098421053)</f>
        <v>0</v>
      </c>
      <c r="AQ644" s="6" t="s">
        <v>60</v>
      </c>
      <c r="AV644" s="5">
        <f>AW644+AX644</f>
        <v>0</v>
      </c>
      <c r="AW644" s="5">
        <f>F644*AO644</f>
        <v>0</v>
      </c>
      <c r="AX644" s="5">
        <f>F644*AP644</f>
        <v>0</v>
      </c>
      <c r="AY644" s="6" t="s">
        <v>965</v>
      </c>
      <c r="AZ644" s="6" t="s">
        <v>912</v>
      </c>
      <c r="BA644" s="3" t="s">
        <v>905</v>
      </c>
      <c r="BC644" s="5">
        <f>AW644+AX644</f>
        <v>0</v>
      </c>
      <c r="BD644" s="5">
        <f>G644/(100-BE644)*100</f>
        <v>0</v>
      </c>
      <c r="BE644" s="5">
        <v>0</v>
      </c>
      <c r="BF644" s="5">
        <f>644</f>
        <v>644</v>
      </c>
      <c r="BH644" s="5">
        <f>F644*AO644</f>
        <v>0</v>
      </c>
      <c r="BI644" s="5">
        <f>F644*AP644</f>
        <v>0</v>
      </c>
      <c r="BJ644" s="5">
        <f>F644*G644</f>
        <v>0</v>
      </c>
      <c r="BK644" s="5"/>
      <c r="BL644" s="5"/>
      <c r="BW644" s="5">
        <v>21</v>
      </c>
      <c r="BX644" s="2" t="s">
        <v>1018</v>
      </c>
    </row>
    <row r="645" spans="1:76" ht="13.5" customHeight="1" x14ac:dyDescent="0.25">
      <c r="A645" s="154"/>
      <c r="B645" s="155"/>
      <c r="C645" s="156" t="s">
        <v>1008</v>
      </c>
      <c r="D645" s="157"/>
      <c r="E645" s="157"/>
      <c r="F645" s="157"/>
      <c r="G645" s="157"/>
      <c r="H645" s="157"/>
      <c r="I645" s="157"/>
      <c r="J645" s="157"/>
      <c r="K645" s="158"/>
    </row>
    <row r="646" spans="1:76" x14ac:dyDescent="0.25">
      <c r="A646" s="154"/>
      <c r="B646" s="155"/>
      <c r="C646" s="159" t="s">
        <v>114</v>
      </c>
      <c r="D646" s="160" t="s">
        <v>52</v>
      </c>
      <c r="E646" s="155"/>
      <c r="F646" s="161">
        <v>10</v>
      </c>
      <c r="G646" s="155"/>
      <c r="H646" s="155"/>
      <c r="I646" s="155"/>
      <c r="J646" s="155"/>
      <c r="K646" s="162"/>
    </row>
    <row r="647" spans="1:76" x14ac:dyDescent="0.25">
      <c r="A647" s="146" t="s">
        <v>1019</v>
      </c>
      <c r="B647" s="149" t="s">
        <v>1020</v>
      </c>
      <c r="C647" s="116" t="s">
        <v>1021</v>
      </c>
      <c r="D647" s="112"/>
      <c r="E647" s="149" t="s">
        <v>709</v>
      </c>
      <c r="F647" s="152">
        <v>6</v>
      </c>
      <c r="G647" s="152">
        <v>0</v>
      </c>
      <c r="H647" s="152">
        <f>F647*AO647</f>
        <v>0</v>
      </c>
      <c r="I647" s="152">
        <f>F647*AP647</f>
        <v>0</v>
      </c>
      <c r="J647" s="152">
        <f>F647*G647</f>
        <v>0</v>
      </c>
      <c r="K647" s="153" t="s">
        <v>100</v>
      </c>
      <c r="Z647" s="5">
        <f>IF(AQ647="5",BJ647,0)</f>
        <v>0</v>
      </c>
      <c r="AB647" s="5">
        <f>IF(AQ647="1",BH647,0)</f>
        <v>0</v>
      </c>
      <c r="AC647" s="5">
        <f>IF(AQ647="1",BI647,0)</f>
        <v>0</v>
      </c>
      <c r="AD647" s="5">
        <f>IF(AQ647="7",BH647,0)</f>
        <v>0</v>
      </c>
      <c r="AE647" s="5">
        <f>IF(AQ647="7",BI647,0)</f>
        <v>0</v>
      </c>
      <c r="AF647" s="5">
        <f>IF(AQ647="2",BH647,0)</f>
        <v>0</v>
      </c>
      <c r="AG647" s="5">
        <f>IF(AQ647="2",BI647,0)</f>
        <v>0</v>
      </c>
      <c r="AH647" s="5">
        <f>IF(AQ647="0",BJ647,0)</f>
        <v>0</v>
      </c>
      <c r="AI647" s="3" t="s">
        <v>899</v>
      </c>
      <c r="AJ647" s="5">
        <f>IF(AN647=0,J647,0)</f>
        <v>0</v>
      </c>
      <c r="AK647" s="5">
        <f>IF(AN647=12,J647,0)</f>
        <v>0</v>
      </c>
      <c r="AL647" s="5">
        <f>IF(AN647=21,J647,0)</f>
        <v>0</v>
      </c>
      <c r="AN647" s="5">
        <v>21</v>
      </c>
      <c r="AO647" s="5">
        <f>G647*0.098438438</f>
        <v>0</v>
      </c>
      <c r="AP647" s="5">
        <f>G647*(1-0.098438438)</f>
        <v>0</v>
      </c>
      <c r="AQ647" s="6" t="s">
        <v>60</v>
      </c>
      <c r="AV647" s="5">
        <f>AW647+AX647</f>
        <v>0</v>
      </c>
      <c r="AW647" s="5">
        <f>F647*AO647</f>
        <v>0</v>
      </c>
      <c r="AX647" s="5">
        <f>F647*AP647</f>
        <v>0</v>
      </c>
      <c r="AY647" s="6" t="s">
        <v>965</v>
      </c>
      <c r="AZ647" s="6" t="s">
        <v>912</v>
      </c>
      <c r="BA647" s="3" t="s">
        <v>905</v>
      </c>
      <c r="BC647" s="5">
        <f>AW647+AX647</f>
        <v>0</v>
      </c>
      <c r="BD647" s="5">
        <f>G647/(100-BE647)*100</f>
        <v>0</v>
      </c>
      <c r="BE647" s="5">
        <v>0</v>
      </c>
      <c r="BF647" s="5">
        <f>647</f>
        <v>647</v>
      </c>
      <c r="BH647" s="5">
        <f>F647*AO647</f>
        <v>0</v>
      </c>
      <c r="BI647" s="5">
        <f>F647*AP647</f>
        <v>0</v>
      </c>
      <c r="BJ647" s="5">
        <f>F647*G647</f>
        <v>0</v>
      </c>
      <c r="BK647" s="5"/>
      <c r="BL647" s="5"/>
      <c r="BW647" s="5">
        <v>21</v>
      </c>
      <c r="BX647" s="2" t="s">
        <v>1021</v>
      </c>
    </row>
    <row r="648" spans="1:76" ht="13.5" customHeight="1" x14ac:dyDescent="0.25">
      <c r="A648" s="154"/>
      <c r="B648" s="155"/>
      <c r="C648" s="156" t="s">
        <v>1008</v>
      </c>
      <c r="D648" s="157"/>
      <c r="E648" s="157"/>
      <c r="F648" s="157"/>
      <c r="G648" s="157"/>
      <c r="H648" s="157"/>
      <c r="I648" s="157"/>
      <c r="J648" s="157"/>
      <c r="K648" s="158"/>
    </row>
    <row r="649" spans="1:76" x14ac:dyDescent="0.25">
      <c r="A649" s="154"/>
      <c r="B649" s="155"/>
      <c r="C649" s="159" t="s">
        <v>102</v>
      </c>
      <c r="D649" s="160" t="s">
        <v>52</v>
      </c>
      <c r="E649" s="155"/>
      <c r="F649" s="161">
        <v>6</v>
      </c>
      <c r="G649" s="155"/>
      <c r="H649" s="155"/>
      <c r="I649" s="155"/>
      <c r="J649" s="155"/>
      <c r="K649" s="162"/>
    </row>
    <row r="650" spans="1:76" x14ac:dyDescent="0.25">
      <c r="A650" s="146" t="s">
        <v>1022</v>
      </c>
      <c r="B650" s="149" t="s">
        <v>1023</v>
      </c>
      <c r="C650" s="116" t="s">
        <v>1024</v>
      </c>
      <c r="D650" s="112"/>
      <c r="E650" s="149" t="s">
        <v>1025</v>
      </c>
      <c r="F650" s="152">
        <v>40</v>
      </c>
      <c r="G650" s="152">
        <v>0</v>
      </c>
      <c r="H650" s="152">
        <f>F650*AO650</f>
        <v>0</v>
      </c>
      <c r="I650" s="152">
        <f>F650*AP650</f>
        <v>0</v>
      </c>
      <c r="J650" s="152">
        <f>F650*G650</f>
        <v>0</v>
      </c>
      <c r="K650" s="153" t="s">
        <v>100</v>
      </c>
      <c r="Z650" s="5">
        <f>IF(AQ650="5",BJ650,0)</f>
        <v>0</v>
      </c>
      <c r="AB650" s="5">
        <f>IF(AQ650="1",BH650,0)</f>
        <v>0</v>
      </c>
      <c r="AC650" s="5">
        <f>IF(AQ650="1",BI650,0)</f>
        <v>0</v>
      </c>
      <c r="AD650" s="5">
        <f>IF(AQ650="7",BH650,0)</f>
        <v>0</v>
      </c>
      <c r="AE650" s="5">
        <f>IF(AQ650="7",BI650,0)</f>
        <v>0</v>
      </c>
      <c r="AF650" s="5">
        <f>IF(AQ650="2",BH650,0)</f>
        <v>0</v>
      </c>
      <c r="AG650" s="5">
        <f>IF(AQ650="2",BI650,0)</f>
        <v>0</v>
      </c>
      <c r="AH650" s="5">
        <f>IF(AQ650="0",BJ650,0)</f>
        <v>0</v>
      </c>
      <c r="AI650" s="3" t="s">
        <v>899</v>
      </c>
      <c r="AJ650" s="5">
        <f>IF(AN650=0,J650,0)</f>
        <v>0</v>
      </c>
      <c r="AK650" s="5">
        <f>IF(AN650=12,J650,0)</f>
        <v>0</v>
      </c>
      <c r="AL650" s="5">
        <f>IF(AN650=21,J650,0)</f>
        <v>0</v>
      </c>
      <c r="AN650" s="5">
        <v>21</v>
      </c>
      <c r="AO650" s="5">
        <f>G650*0.09844</f>
        <v>0</v>
      </c>
      <c r="AP650" s="5">
        <f>G650*(1-0.09844)</f>
        <v>0</v>
      </c>
      <c r="AQ650" s="6" t="s">
        <v>60</v>
      </c>
      <c r="AV650" s="5">
        <f>AW650+AX650</f>
        <v>0</v>
      </c>
      <c r="AW650" s="5">
        <f>F650*AO650</f>
        <v>0</v>
      </c>
      <c r="AX650" s="5">
        <f>F650*AP650</f>
        <v>0</v>
      </c>
      <c r="AY650" s="6" t="s">
        <v>965</v>
      </c>
      <c r="AZ650" s="6" t="s">
        <v>912</v>
      </c>
      <c r="BA650" s="3" t="s">
        <v>905</v>
      </c>
      <c r="BC650" s="5">
        <f>AW650+AX650</f>
        <v>0</v>
      </c>
      <c r="BD650" s="5">
        <f>G650/(100-BE650)*100</f>
        <v>0</v>
      </c>
      <c r="BE650" s="5">
        <v>0</v>
      </c>
      <c r="BF650" s="5">
        <f>650</f>
        <v>650</v>
      </c>
      <c r="BH650" s="5">
        <f>F650*AO650</f>
        <v>0</v>
      </c>
      <c r="BI650" s="5">
        <f>F650*AP650</f>
        <v>0</v>
      </c>
      <c r="BJ650" s="5">
        <f>F650*G650</f>
        <v>0</v>
      </c>
      <c r="BK650" s="5"/>
      <c r="BL650" s="5"/>
      <c r="BW650" s="5">
        <v>21</v>
      </c>
      <c r="BX650" s="2" t="s">
        <v>1024</v>
      </c>
    </row>
    <row r="651" spans="1:76" ht="13.5" customHeight="1" x14ac:dyDescent="0.25">
      <c r="A651" s="154"/>
      <c r="B651" s="155"/>
      <c r="C651" s="156" t="s">
        <v>1026</v>
      </c>
      <c r="D651" s="157"/>
      <c r="E651" s="157"/>
      <c r="F651" s="157"/>
      <c r="G651" s="157"/>
      <c r="H651" s="157"/>
      <c r="I651" s="157"/>
      <c r="J651" s="157"/>
      <c r="K651" s="158"/>
    </row>
    <row r="652" spans="1:76" x14ac:dyDescent="0.25">
      <c r="A652" s="154"/>
      <c r="B652" s="155"/>
      <c r="C652" s="159" t="s">
        <v>293</v>
      </c>
      <c r="D652" s="160" t="s">
        <v>52</v>
      </c>
      <c r="E652" s="155"/>
      <c r="F652" s="161">
        <v>40</v>
      </c>
      <c r="G652" s="155"/>
      <c r="H652" s="155"/>
      <c r="I652" s="155"/>
      <c r="J652" s="155"/>
      <c r="K652" s="162"/>
    </row>
    <row r="653" spans="1:76" x14ac:dyDescent="0.25">
      <c r="A653" s="146" t="s">
        <v>1027</v>
      </c>
      <c r="B653" s="149" t="s">
        <v>1028</v>
      </c>
      <c r="C653" s="116" t="s">
        <v>1029</v>
      </c>
      <c r="D653" s="112"/>
      <c r="E653" s="149" t="s">
        <v>128</v>
      </c>
      <c r="F653" s="152">
        <v>0.78</v>
      </c>
      <c r="G653" s="152">
        <v>0</v>
      </c>
      <c r="H653" s="152">
        <f>F653*AO653</f>
        <v>0</v>
      </c>
      <c r="I653" s="152">
        <f>F653*AP653</f>
        <v>0</v>
      </c>
      <c r="J653" s="152">
        <f>F653*G653</f>
        <v>0</v>
      </c>
      <c r="K653" s="153" t="s">
        <v>100</v>
      </c>
      <c r="Z653" s="5">
        <f>IF(AQ653="5",BJ653,0)</f>
        <v>0</v>
      </c>
      <c r="AB653" s="5">
        <f>IF(AQ653="1",BH653,0)</f>
        <v>0</v>
      </c>
      <c r="AC653" s="5">
        <f>IF(AQ653="1",BI653,0)</f>
        <v>0</v>
      </c>
      <c r="AD653" s="5">
        <f>IF(AQ653="7",BH653,0)</f>
        <v>0</v>
      </c>
      <c r="AE653" s="5">
        <f>IF(AQ653="7",BI653,0)</f>
        <v>0</v>
      </c>
      <c r="AF653" s="5">
        <f>IF(AQ653="2",BH653,0)</f>
        <v>0</v>
      </c>
      <c r="AG653" s="5">
        <f>IF(AQ653="2",BI653,0)</f>
        <v>0</v>
      </c>
      <c r="AH653" s="5">
        <f>IF(AQ653="0",BJ653,0)</f>
        <v>0</v>
      </c>
      <c r="AI653" s="3" t="s">
        <v>899</v>
      </c>
      <c r="AJ653" s="5">
        <f>IF(AN653=0,J653,0)</f>
        <v>0</v>
      </c>
      <c r="AK653" s="5">
        <f>IF(AN653=12,J653,0)</f>
        <v>0</v>
      </c>
      <c r="AL653" s="5">
        <f>IF(AN653=21,J653,0)</f>
        <v>0</v>
      </c>
      <c r="AN653" s="5">
        <v>21</v>
      </c>
      <c r="AO653" s="5">
        <f>G653*0.09844</f>
        <v>0</v>
      </c>
      <c r="AP653" s="5">
        <f>G653*(1-0.09844)</f>
        <v>0</v>
      </c>
      <c r="AQ653" s="6" t="s">
        <v>60</v>
      </c>
      <c r="AV653" s="5">
        <f>AW653+AX653</f>
        <v>0</v>
      </c>
      <c r="AW653" s="5">
        <f>F653*AO653</f>
        <v>0</v>
      </c>
      <c r="AX653" s="5">
        <f>F653*AP653</f>
        <v>0</v>
      </c>
      <c r="AY653" s="6" t="s">
        <v>965</v>
      </c>
      <c r="AZ653" s="6" t="s">
        <v>912</v>
      </c>
      <c r="BA653" s="3" t="s">
        <v>905</v>
      </c>
      <c r="BC653" s="5">
        <f>AW653+AX653</f>
        <v>0</v>
      </c>
      <c r="BD653" s="5">
        <f>G653/(100-BE653)*100</f>
        <v>0</v>
      </c>
      <c r="BE653" s="5">
        <v>0</v>
      </c>
      <c r="BF653" s="5">
        <f>653</f>
        <v>653</v>
      </c>
      <c r="BH653" s="5">
        <f>F653*AO653</f>
        <v>0</v>
      </c>
      <c r="BI653" s="5">
        <f>F653*AP653</f>
        <v>0</v>
      </c>
      <c r="BJ653" s="5">
        <f>F653*G653</f>
        <v>0</v>
      </c>
      <c r="BK653" s="5"/>
      <c r="BL653" s="5"/>
      <c r="BW653" s="5">
        <v>21</v>
      </c>
      <c r="BX653" s="2" t="s">
        <v>1029</v>
      </c>
    </row>
    <row r="654" spans="1:76" ht="13.5" customHeight="1" x14ac:dyDescent="0.25">
      <c r="A654" s="154"/>
      <c r="B654" s="155"/>
      <c r="C654" s="156" t="s">
        <v>1026</v>
      </c>
      <c r="D654" s="157"/>
      <c r="E654" s="157"/>
      <c r="F654" s="157"/>
      <c r="G654" s="157"/>
      <c r="H654" s="157"/>
      <c r="I654" s="157"/>
      <c r="J654" s="157"/>
      <c r="K654" s="158"/>
    </row>
    <row r="655" spans="1:76" x14ac:dyDescent="0.25">
      <c r="A655" s="154"/>
      <c r="B655" s="155"/>
      <c r="C655" s="159" t="s">
        <v>1030</v>
      </c>
      <c r="D655" s="160" t="s">
        <v>52</v>
      </c>
      <c r="E655" s="155"/>
      <c r="F655" s="161">
        <v>0.78</v>
      </c>
      <c r="G655" s="155"/>
      <c r="H655" s="155"/>
      <c r="I655" s="155"/>
      <c r="J655" s="155"/>
      <c r="K655" s="162"/>
    </row>
    <row r="656" spans="1:76" ht="25.5" x14ac:dyDescent="0.25">
      <c r="A656" s="146" t="s">
        <v>1031</v>
      </c>
      <c r="B656" s="149" t="s">
        <v>1032</v>
      </c>
      <c r="C656" s="116" t="s">
        <v>1033</v>
      </c>
      <c r="D656" s="112"/>
      <c r="E656" s="149" t="s">
        <v>709</v>
      </c>
      <c r="F656" s="152">
        <v>150</v>
      </c>
      <c r="G656" s="152">
        <v>0</v>
      </c>
      <c r="H656" s="152">
        <f>F656*AO656</f>
        <v>0</v>
      </c>
      <c r="I656" s="152">
        <f>F656*AP656</f>
        <v>0</v>
      </c>
      <c r="J656" s="152">
        <f>F656*G656</f>
        <v>0</v>
      </c>
      <c r="K656" s="153" t="s">
        <v>100</v>
      </c>
      <c r="Z656" s="5">
        <f>IF(AQ656="5",BJ656,0)</f>
        <v>0</v>
      </c>
      <c r="AB656" s="5">
        <f>IF(AQ656="1",BH656,0)</f>
        <v>0</v>
      </c>
      <c r="AC656" s="5">
        <f>IF(AQ656="1",BI656,0)</f>
        <v>0</v>
      </c>
      <c r="AD656" s="5">
        <f>IF(AQ656="7",BH656,0)</f>
        <v>0</v>
      </c>
      <c r="AE656" s="5">
        <f>IF(AQ656="7",BI656,0)</f>
        <v>0</v>
      </c>
      <c r="AF656" s="5">
        <f>IF(AQ656="2",BH656,0)</f>
        <v>0</v>
      </c>
      <c r="AG656" s="5">
        <f>IF(AQ656="2",BI656,0)</f>
        <v>0</v>
      </c>
      <c r="AH656" s="5">
        <f>IF(AQ656="0",BJ656,0)</f>
        <v>0</v>
      </c>
      <c r="AI656" s="3" t="s">
        <v>899</v>
      </c>
      <c r="AJ656" s="5">
        <f>IF(AN656=0,J656,0)</f>
        <v>0</v>
      </c>
      <c r="AK656" s="5">
        <f>IF(AN656=12,J656,0)</f>
        <v>0</v>
      </c>
      <c r="AL656" s="5">
        <f>IF(AN656=21,J656,0)</f>
        <v>0</v>
      </c>
      <c r="AN656" s="5">
        <v>21</v>
      </c>
      <c r="AO656" s="5">
        <f>G656*0.098421053</f>
        <v>0</v>
      </c>
      <c r="AP656" s="5">
        <f>G656*(1-0.098421053)</f>
        <v>0</v>
      </c>
      <c r="AQ656" s="6" t="s">
        <v>60</v>
      </c>
      <c r="AV656" s="5">
        <f>AW656+AX656</f>
        <v>0</v>
      </c>
      <c r="AW656" s="5">
        <f>F656*AO656</f>
        <v>0</v>
      </c>
      <c r="AX656" s="5">
        <f>F656*AP656</f>
        <v>0</v>
      </c>
      <c r="AY656" s="6" t="s">
        <v>965</v>
      </c>
      <c r="AZ656" s="6" t="s">
        <v>912</v>
      </c>
      <c r="BA656" s="3" t="s">
        <v>905</v>
      </c>
      <c r="BC656" s="5">
        <f>AW656+AX656</f>
        <v>0</v>
      </c>
      <c r="BD656" s="5">
        <f>G656/(100-BE656)*100</f>
        <v>0</v>
      </c>
      <c r="BE656" s="5">
        <v>0</v>
      </c>
      <c r="BF656" s="5">
        <f>656</f>
        <v>656</v>
      </c>
      <c r="BH656" s="5">
        <f>F656*AO656</f>
        <v>0</v>
      </c>
      <c r="BI656" s="5">
        <f>F656*AP656</f>
        <v>0</v>
      </c>
      <c r="BJ656" s="5">
        <f>F656*G656</f>
        <v>0</v>
      </c>
      <c r="BK656" s="5"/>
      <c r="BL656" s="5"/>
      <c r="BW656" s="5">
        <v>21</v>
      </c>
      <c r="BX656" s="2" t="s">
        <v>1033</v>
      </c>
    </row>
    <row r="657" spans="1:76" ht="13.5" customHeight="1" x14ac:dyDescent="0.25">
      <c r="A657" s="154"/>
      <c r="B657" s="155"/>
      <c r="C657" s="156" t="s">
        <v>1026</v>
      </c>
      <c r="D657" s="157"/>
      <c r="E657" s="157"/>
      <c r="F657" s="157"/>
      <c r="G657" s="157"/>
      <c r="H657" s="157"/>
      <c r="I657" s="157"/>
      <c r="J657" s="157"/>
      <c r="K657" s="158"/>
    </row>
    <row r="658" spans="1:76" x14ac:dyDescent="0.25">
      <c r="A658" s="154"/>
      <c r="B658" s="155"/>
      <c r="C658" s="159" t="s">
        <v>866</v>
      </c>
      <c r="D658" s="160" t="s">
        <v>52</v>
      </c>
      <c r="E658" s="155"/>
      <c r="F658" s="161">
        <v>150</v>
      </c>
      <c r="G658" s="155"/>
      <c r="H658" s="155"/>
      <c r="I658" s="155"/>
      <c r="J658" s="155"/>
      <c r="K658" s="162"/>
    </row>
    <row r="659" spans="1:76" x14ac:dyDescent="0.25">
      <c r="A659" s="146" t="s">
        <v>1034</v>
      </c>
      <c r="B659" s="149" t="s">
        <v>1035</v>
      </c>
      <c r="C659" s="116" t="s">
        <v>1036</v>
      </c>
      <c r="D659" s="112"/>
      <c r="E659" s="149" t="s">
        <v>709</v>
      </c>
      <c r="F659" s="152">
        <v>3</v>
      </c>
      <c r="G659" s="152">
        <v>0</v>
      </c>
      <c r="H659" s="152">
        <f>F659*AO659</f>
        <v>0</v>
      </c>
      <c r="I659" s="152">
        <f>F659*AP659</f>
        <v>0</v>
      </c>
      <c r="J659" s="152">
        <f>F659*G659</f>
        <v>0</v>
      </c>
      <c r="K659" s="153" t="s">
        <v>100</v>
      </c>
      <c r="Z659" s="5">
        <f>IF(AQ659="5",BJ659,0)</f>
        <v>0</v>
      </c>
      <c r="AB659" s="5">
        <f>IF(AQ659="1",BH659,0)</f>
        <v>0</v>
      </c>
      <c r="AC659" s="5">
        <f>IF(AQ659="1",BI659,0)</f>
        <v>0</v>
      </c>
      <c r="AD659" s="5">
        <f>IF(AQ659="7",BH659,0)</f>
        <v>0</v>
      </c>
      <c r="AE659" s="5">
        <f>IF(AQ659="7",BI659,0)</f>
        <v>0</v>
      </c>
      <c r="AF659" s="5">
        <f>IF(AQ659="2",BH659,0)</f>
        <v>0</v>
      </c>
      <c r="AG659" s="5">
        <f>IF(AQ659="2",BI659,0)</f>
        <v>0</v>
      </c>
      <c r="AH659" s="5">
        <f>IF(AQ659="0",BJ659,0)</f>
        <v>0</v>
      </c>
      <c r="AI659" s="3" t="s">
        <v>899</v>
      </c>
      <c r="AJ659" s="5">
        <f>IF(AN659=0,J659,0)</f>
        <v>0</v>
      </c>
      <c r="AK659" s="5">
        <f>IF(AN659=12,J659,0)</f>
        <v>0</v>
      </c>
      <c r="AL659" s="5">
        <f>IF(AN659=21,J659,0)</f>
        <v>0</v>
      </c>
      <c r="AN659" s="5">
        <v>21</v>
      </c>
      <c r="AO659" s="5">
        <f>G659*0.098422535</f>
        <v>0</v>
      </c>
      <c r="AP659" s="5">
        <f>G659*(1-0.098422535)</f>
        <v>0</v>
      </c>
      <c r="AQ659" s="6" t="s">
        <v>60</v>
      </c>
      <c r="AV659" s="5">
        <f>AW659+AX659</f>
        <v>0</v>
      </c>
      <c r="AW659" s="5">
        <f>F659*AO659</f>
        <v>0</v>
      </c>
      <c r="AX659" s="5">
        <f>F659*AP659</f>
        <v>0</v>
      </c>
      <c r="AY659" s="6" t="s">
        <v>965</v>
      </c>
      <c r="AZ659" s="6" t="s">
        <v>912</v>
      </c>
      <c r="BA659" s="3" t="s">
        <v>905</v>
      </c>
      <c r="BC659" s="5">
        <f>AW659+AX659</f>
        <v>0</v>
      </c>
      <c r="BD659" s="5">
        <f>G659/(100-BE659)*100</f>
        <v>0</v>
      </c>
      <c r="BE659" s="5">
        <v>0</v>
      </c>
      <c r="BF659" s="5">
        <f>659</f>
        <v>659</v>
      </c>
      <c r="BH659" s="5">
        <f>F659*AO659</f>
        <v>0</v>
      </c>
      <c r="BI659" s="5">
        <f>F659*AP659</f>
        <v>0</v>
      </c>
      <c r="BJ659" s="5">
        <f>F659*G659</f>
        <v>0</v>
      </c>
      <c r="BK659" s="5"/>
      <c r="BL659" s="5"/>
      <c r="BW659" s="5">
        <v>21</v>
      </c>
      <c r="BX659" s="2" t="s">
        <v>1036</v>
      </c>
    </row>
    <row r="660" spans="1:76" ht="13.5" customHeight="1" x14ac:dyDescent="0.25">
      <c r="A660" s="154"/>
      <c r="B660" s="155"/>
      <c r="C660" s="156" t="s">
        <v>1026</v>
      </c>
      <c r="D660" s="157"/>
      <c r="E660" s="157"/>
      <c r="F660" s="157"/>
      <c r="G660" s="157"/>
      <c r="H660" s="157"/>
      <c r="I660" s="157"/>
      <c r="J660" s="157"/>
      <c r="K660" s="158"/>
    </row>
    <row r="661" spans="1:76" x14ac:dyDescent="0.25">
      <c r="A661" s="154"/>
      <c r="B661" s="155"/>
      <c r="C661" s="159" t="s">
        <v>87</v>
      </c>
      <c r="D661" s="160" t="s">
        <v>52</v>
      </c>
      <c r="E661" s="155"/>
      <c r="F661" s="161">
        <v>3</v>
      </c>
      <c r="G661" s="155"/>
      <c r="H661" s="155"/>
      <c r="I661" s="155"/>
      <c r="J661" s="155"/>
      <c r="K661" s="162"/>
    </row>
    <row r="662" spans="1:76" x14ac:dyDescent="0.25">
      <c r="A662" s="146" t="s">
        <v>1037</v>
      </c>
      <c r="B662" s="149" t="s">
        <v>1038</v>
      </c>
      <c r="C662" s="116" t="s">
        <v>1039</v>
      </c>
      <c r="D662" s="112"/>
      <c r="E662" s="149" t="s">
        <v>709</v>
      </c>
      <c r="F662" s="152">
        <v>7</v>
      </c>
      <c r="G662" s="152">
        <v>0</v>
      </c>
      <c r="H662" s="152">
        <f>F662*AO662</f>
        <v>0</v>
      </c>
      <c r="I662" s="152">
        <f>F662*AP662</f>
        <v>0</v>
      </c>
      <c r="J662" s="152">
        <f>F662*G662</f>
        <v>0</v>
      </c>
      <c r="K662" s="153" t="s">
        <v>100</v>
      </c>
      <c r="Z662" s="5">
        <f>IF(AQ662="5",BJ662,0)</f>
        <v>0</v>
      </c>
      <c r="AB662" s="5">
        <f>IF(AQ662="1",BH662,0)</f>
        <v>0</v>
      </c>
      <c r="AC662" s="5">
        <f>IF(AQ662="1",BI662,0)</f>
        <v>0</v>
      </c>
      <c r="AD662" s="5">
        <f>IF(AQ662="7",BH662,0)</f>
        <v>0</v>
      </c>
      <c r="AE662" s="5">
        <f>IF(AQ662="7",BI662,0)</f>
        <v>0</v>
      </c>
      <c r="AF662" s="5">
        <f>IF(AQ662="2",BH662,0)</f>
        <v>0</v>
      </c>
      <c r="AG662" s="5">
        <f>IF(AQ662="2",BI662,0)</f>
        <v>0</v>
      </c>
      <c r="AH662" s="5">
        <f>IF(AQ662="0",BJ662,0)</f>
        <v>0</v>
      </c>
      <c r="AI662" s="3" t="s">
        <v>899</v>
      </c>
      <c r="AJ662" s="5">
        <f>IF(AN662=0,J662,0)</f>
        <v>0</v>
      </c>
      <c r="AK662" s="5">
        <f>IF(AN662=12,J662,0)</f>
        <v>0</v>
      </c>
      <c r="AL662" s="5">
        <f>IF(AN662=21,J662,0)</f>
        <v>0</v>
      </c>
      <c r="AN662" s="5">
        <v>21</v>
      </c>
      <c r="AO662" s="5">
        <f>G662*0.098419847</f>
        <v>0</v>
      </c>
      <c r="AP662" s="5">
        <f>G662*(1-0.098419847)</f>
        <v>0</v>
      </c>
      <c r="AQ662" s="6" t="s">
        <v>60</v>
      </c>
      <c r="AV662" s="5">
        <f>AW662+AX662</f>
        <v>0</v>
      </c>
      <c r="AW662" s="5">
        <f>F662*AO662</f>
        <v>0</v>
      </c>
      <c r="AX662" s="5">
        <f>F662*AP662</f>
        <v>0</v>
      </c>
      <c r="AY662" s="6" t="s">
        <v>965</v>
      </c>
      <c r="AZ662" s="6" t="s">
        <v>912</v>
      </c>
      <c r="BA662" s="3" t="s">
        <v>905</v>
      </c>
      <c r="BC662" s="5">
        <f>AW662+AX662</f>
        <v>0</v>
      </c>
      <c r="BD662" s="5">
        <f>G662/(100-BE662)*100</f>
        <v>0</v>
      </c>
      <c r="BE662" s="5">
        <v>0</v>
      </c>
      <c r="BF662" s="5">
        <f>662</f>
        <v>662</v>
      </c>
      <c r="BH662" s="5">
        <f>F662*AO662</f>
        <v>0</v>
      </c>
      <c r="BI662" s="5">
        <f>F662*AP662</f>
        <v>0</v>
      </c>
      <c r="BJ662" s="5">
        <f>F662*G662</f>
        <v>0</v>
      </c>
      <c r="BK662" s="5"/>
      <c r="BL662" s="5"/>
      <c r="BW662" s="5">
        <v>21</v>
      </c>
      <c r="BX662" s="2" t="s">
        <v>1039</v>
      </c>
    </row>
    <row r="663" spans="1:76" ht="13.5" customHeight="1" x14ac:dyDescent="0.25">
      <c r="A663" s="154"/>
      <c r="B663" s="155"/>
      <c r="C663" s="156" t="s">
        <v>1026</v>
      </c>
      <c r="D663" s="157"/>
      <c r="E663" s="157"/>
      <c r="F663" s="157"/>
      <c r="G663" s="157"/>
      <c r="H663" s="157"/>
      <c r="I663" s="157"/>
      <c r="J663" s="157"/>
      <c r="K663" s="158"/>
    </row>
    <row r="664" spans="1:76" x14ac:dyDescent="0.25">
      <c r="A664" s="154"/>
      <c r="B664" s="155"/>
      <c r="C664" s="159" t="s">
        <v>105</v>
      </c>
      <c r="D664" s="160" t="s">
        <v>52</v>
      </c>
      <c r="E664" s="155"/>
      <c r="F664" s="161">
        <v>7</v>
      </c>
      <c r="G664" s="155"/>
      <c r="H664" s="155"/>
      <c r="I664" s="155"/>
      <c r="J664" s="155"/>
      <c r="K664" s="162"/>
    </row>
    <row r="665" spans="1:76" x14ac:dyDescent="0.25">
      <c r="A665" s="146" t="s">
        <v>1040</v>
      </c>
      <c r="B665" s="149" t="s">
        <v>1041</v>
      </c>
      <c r="C665" s="116" t="s">
        <v>1042</v>
      </c>
      <c r="D665" s="112"/>
      <c r="E665" s="149" t="s">
        <v>1025</v>
      </c>
      <c r="F665" s="152">
        <v>10</v>
      </c>
      <c r="G665" s="152">
        <v>0</v>
      </c>
      <c r="H665" s="152">
        <f>F665*AO665</f>
        <v>0</v>
      </c>
      <c r="I665" s="152">
        <f>F665*AP665</f>
        <v>0</v>
      </c>
      <c r="J665" s="152">
        <f>F665*G665</f>
        <v>0</v>
      </c>
      <c r="K665" s="153" t="s">
        <v>100</v>
      </c>
      <c r="Z665" s="5">
        <f>IF(AQ665="5",BJ665,0)</f>
        <v>0</v>
      </c>
      <c r="AB665" s="5">
        <f>IF(AQ665="1",BH665,0)</f>
        <v>0</v>
      </c>
      <c r="AC665" s="5">
        <f>IF(AQ665="1",BI665,0)</f>
        <v>0</v>
      </c>
      <c r="AD665" s="5">
        <f>IF(AQ665="7",BH665,0)</f>
        <v>0</v>
      </c>
      <c r="AE665" s="5">
        <f>IF(AQ665="7",BI665,0)</f>
        <v>0</v>
      </c>
      <c r="AF665" s="5">
        <f>IF(AQ665="2",BH665,0)</f>
        <v>0</v>
      </c>
      <c r="AG665" s="5">
        <f>IF(AQ665="2",BI665,0)</f>
        <v>0</v>
      </c>
      <c r="AH665" s="5">
        <f>IF(AQ665="0",BJ665,0)</f>
        <v>0</v>
      </c>
      <c r="AI665" s="3" t="s">
        <v>899</v>
      </c>
      <c r="AJ665" s="5">
        <f>IF(AN665=0,J665,0)</f>
        <v>0</v>
      </c>
      <c r="AK665" s="5">
        <f>IF(AN665=12,J665,0)</f>
        <v>0</v>
      </c>
      <c r="AL665" s="5">
        <f>IF(AN665=21,J665,0)</f>
        <v>0</v>
      </c>
      <c r="AN665" s="5">
        <v>21</v>
      </c>
      <c r="AO665" s="5">
        <f>G665*0.098415385</f>
        <v>0</v>
      </c>
      <c r="AP665" s="5">
        <f>G665*(1-0.098415385)</f>
        <v>0</v>
      </c>
      <c r="AQ665" s="6" t="s">
        <v>60</v>
      </c>
      <c r="AV665" s="5">
        <f>AW665+AX665</f>
        <v>0</v>
      </c>
      <c r="AW665" s="5">
        <f>F665*AO665</f>
        <v>0</v>
      </c>
      <c r="AX665" s="5">
        <f>F665*AP665</f>
        <v>0</v>
      </c>
      <c r="AY665" s="6" t="s">
        <v>965</v>
      </c>
      <c r="AZ665" s="6" t="s">
        <v>912</v>
      </c>
      <c r="BA665" s="3" t="s">
        <v>905</v>
      </c>
      <c r="BC665" s="5">
        <f>AW665+AX665</f>
        <v>0</v>
      </c>
      <c r="BD665" s="5">
        <f>G665/(100-BE665)*100</f>
        <v>0</v>
      </c>
      <c r="BE665" s="5">
        <v>0</v>
      </c>
      <c r="BF665" s="5">
        <f>665</f>
        <v>665</v>
      </c>
      <c r="BH665" s="5">
        <f>F665*AO665</f>
        <v>0</v>
      </c>
      <c r="BI665" s="5">
        <f>F665*AP665</f>
        <v>0</v>
      </c>
      <c r="BJ665" s="5">
        <f>F665*G665</f>
        <v>0</v>
      </c>
      <c r="BK665" s="5"/>
      <c r="BL665" s="5"/>
      <c r="BW665" s="5">
        <v>21</v>
      </c>
      <c r="BX665" s="2" t="s">
        <v>1042</v>
      </c>
    </row>
    <row r="666" spans="1:76" ht="13.5" customHeight="1" x14ac:dyDescent="0.25">
      <c r="A666" s="154"/>
      <c r="B666" s="155"/>
      <c r="C666" s="156" t="s">
        <v>1026</v>
      </c>
      <c r="D666" s="157"/>
      <c r="E666" s="157"/>
      <c r="F666" s="157"/>
      <c r="G666" s="157"/>
      <c r="H666" s="157"/>
      <c r="I666" s="157"/>
      <c r="J666" s="157"/>
      <c r="K666" s="158"/>
    </row>
    <row r="667" spans="1:76" x14ac:dyDescent="0.25">
      <c r="A667" s="154"/>
      <c r="B667" s="155"/>
      <c r="C667" s="159" t="s">
        <v>114</v>
      </c>
      <c r="D667" s="160" t="s">
        <v>52</v>
      </c>
      <c r="E667" s="155"/>
      <c r="F667" s="161">
        <v>10</v>
      </c>
      <c r="G667" s="155"/>
      <c r="H667" s="155"/>
      <c r="I667" s="155"/>
      <c r="J667" s="155"/>
      <c r="K667" s="162"/>
    </row>
    <row r="668" spans="1:76" x14ac:dyDescent="0.25">
      <c r="A668" s="146" t="s">
        <v>1043</v>
      </c>
      <c r="B668" s="149" t="s">
        <v>1044</v>
      </c>
      <c r="C668" s="116" t="s">
        <v>1045</v>
      </c>
      <c r="D668" s="112"/>
      <c r="E668" s="149" t="s">
        <v>709</v>
      </c>
      <c r="F668" s="152">
        <v>140</v>
      </c>
      <c r="G668" s="152">
        <v>0</v>
      </c>
      <c r="H668" s="152">
        <f>F668*AO668</f>
        <v>0</v>
      </c>
      <c r="I668" s="152">
        <f>F668*AP668</f>
        <v>0</v>
      </c>
      <c r="J668" s="152">
        <f>F668*G668</f>
        <v>0</v>
      </c>
      <c r="K668" s="153" t="s">
        <v>100</v>
      </c>
      <c r="Z668" s="5">
        <f>IF(AQ668="5",BJ668,0)</f>
        <v>0</v>
      </c>
      <c r="AB668" s="5">
        <f>IF(AQ668="1",BH668,0)</f>
        <v>0</v>
      </c>
      <c r="AC668" s="5">
        <f>IF(AQ668="1",BI668,0)</f>
        <v>0</v>
      </c>
      <c r="AD668" s="5">
        <f>IF(AQ668="7",BH668,0)</f>
        <v>0</v>
      </c>
      <c r="AE668" s="5">
        <f>IF(AQ668="7",BI668,0)</f>
        <v>0</v>
      </c>
      <c r="AF668" s="5">
        <f>IF(AQ668="2",BH668,0)</f>
        <v>0</v>
      </c>
      <c r="AG668" s="5">
        <f>IF(AQ668="2",BI668,0)</f>
        <v>0</v>
      </c>
      <c r="AH668" s="5">
        <f>IF(AQ668="0",BJ668,0)</f>
        <v>0</v>
      </c>
      <c r="AI668" s="3" t="s">
        <v>899</v>
      </c>
      <c r="AJ668" s="5">
        <f>IF(AN668=0,J668,0)</f>
        <v>0</v>
      </c>
      <c r="AK668" s="5">
        <f>IF(AN668=12,J668,0)</f>
        <v>0</v>
      </c>
      <c r="AL668" s="5">
        <f>IF(AN668=21,J668,0)</f>
        <v>0</v>
      </c>
      <c r="AN668" s="5">
        <v>21</v>
      </c>
      <c r="AO668" s="5">
        <f>G668*0.098421053</f>
        <v>0</v>
      </c>
      <c r="AP668" s="5">
        <f>G668*(1-0.098421053)</f>
        <v>0</v>
      </c>
      <c r="AQ668" s="6" t="s">
        <v>60</v>
      </c>
      <c r="AV668" s="5">
        <f>AW668+AX668</f>
        <v>0</v>
      </c>
      <c r="AW668" s="5">
        <f>F668*AO668</f>
        <v>0</v>
      </c>
      <c r="AX668" s="5">
        <f>F668*AP668</f>
        <v>0</v>
      </c>
      <c r="AY668" s="6" t="s">
        <v>965</v>
      </c>
      <c r="AZ668" s="6" t="s">
        <v>912</v>
      </c>
      <c r="BA668" s="3" t="s">
        <v>905</v>
      </c>
      <c r="BC668" s="5">
        <f>AW668+AX668</f>
        <v>0</v>
      </c>
      <c r="BD668" s="5">
        <f>G668/(100-BE668)*100</f>
        <v>0</v>
      </c>
      <c r="BE668" s="5">
        <v>0</v>
      </c>
      <c r="BF668" s="5">
        <f>668</f>
        <v>668</v>
      </c>
      <c r="BH668" s="5">
        <f>F668*AO668</f>
        <v>0</v>
      </c>
      <c r="BI668" s="5">
        <f>F668*AP668</f>
        <v>0</v>
      </c>
      <c r="BJ668" s="5">
        <f>F668*G668</f>
        <v>0</v>
      </c>
      <c r="BK668" s="5"/>
      <c r="BL668" s="5"/>
      <c r="BW668" s="5">
        <v>21</v>
      </c>
      <c r="BX668" s="2" t="s">
        <v>1045</v>
      </c>
    </row>
    <row r="669" spans="1:76" ht="13.5" customHeight="1" x14ac:dyDescent="0.25">
      <c r="A669" s="154"/>
      <c r="B669" s="155"/>
      <c r="C669" s="156" t="s">
        <v>1026</v>
      </c>
      <c r="D669" s="157"/>
      <c r="E669" s="157"/>
      <c r="F669" s="157"/>
      <c r="G669" s="157"/>
      <c r="H669" s="157"/>
      <c r="I669" s="157"/>
      <c r="J669" s="157"/>
      <c r="K669" s="158"/>
    </row>
    <row r="670" spans="1:76" x14ac:dyDescent="0.25">
      <c r="A670" s="154"/>
      <c r="B670" s="155"/>
      <c r="C670" s="159" t="s">
        <v>807</v>
      </c>
      <c r="D670" s="160" t="s">
        <v>52</v>
      </c>
      <c r="E670" s="155"/>
      <c r="F670" s="161">
        <v>140</v>
      </c>
      <c r="G670" s="155"/>
      <c r="H670" s="155"/>
      <c r="I670" s="155"/>
      <c r="J670" s="155"/>
      <c r="K670" s="162"/>
    </row>
    <row r="671" spans="1:76" x14ac:dyDescent="0.25">
      <c r="A671" s="146" t="s">
        <v>1046</v>
      </c>
      <c r="B671" s="149" t="s">
        <v>1047</v>
      </c>
      <c r="C671" s="116" t="s">
        <v>1048</v>
      </c>
      <c r="D671" s="112"/>
      <c r="E671" s="149" t="s">
        <v>709</v>
      </c>
      <c r="F671" s="152">
        <v>199</v>
      </c>
      <c r="G671" s="152">
        <v>0</v>
      </c>
      <c r="H671" s="152">
        <f>F671*AO671</f>
        <v>0</v>
      </c>
      <c r="I671" s="152">
        <f>F671*AP671</f>
        <v>0</v>
      </c>
      <c r="J671" s="152">
        <f>F671*G671</f>
        <v>0</v>
      </c>
      <c r="K671" s="153" t="s">
        <v>100</v>
      </c>
      <c r="Z671" s="5">
        <f>IF(AQ671="5",BJ671,0)</f>
        <v>0</v>
      </c>
      <c r="AB671" s="5">
        <f>IF(AQ671="1",BH671,0)</f>
        <v>0</v>
      </c>
      <c r="AC671" s="5">
        <f>IF(AQ671="1",BI671,0)</f>
        <v>0</v>
      </c>
      <c r="AD671" s="5">
        <f>IF(AQ671="7",BH671,0)</f>
        <v>0</v>
      </c>
      <c r="AE671" s="5">
        <f>IF(AQ671="7",BI671,0)</f>
        <v>0</v>
      </c>
      <c r="AF671" s="5">
        <f>IF(AQ671="2",BH671,0)</f>
        <v>0</v>
      </c>
      <c r="AG671" s="5">
        <f>IF(AQ671="2",BI671,0)</f>
        <v>0</v>
      </c>
      <c r="AH671" s="5">
        <f>IF(AQ671="0",BJ671,0)</f>
        <v>0</v>
      </c>
      <c r="AI671" s="3" t="s">
        <v>899</v>
      </c>
      <c r="AJ671" s="5">
        <f>IF(AN671=0,J671,0)</f>
        <v>0</v>
      </c>
      <c r="AK671" s="5">
        <f>IF(AN671=12,J671,0)</f>
        <v>0</v>
      </c>
      <c r="AL671" s="5">
        <f>IF(AN671=21,J671,0)</f>
        <v>0</v>
      </c>
      <c r="AN671" s="5">
        <v>21</v>
      </c>
      <c r="AO671" s="5">
        <f>G671*0.0975</f>
        <v>0</v>
      </c>
      <c r="AP671" s="5">
        <f>G671*(1-0.0975)</f>
        <v>0</v>
      </c>
      <c r="AQ671" s="6" t="s">
        <v>60</v>
      </c>
      <c r="AV671" s="5">
        <f>AW671+AX671</f>
        <v>0</v>
      </c>
      <c r="AW671" s="5">
        <f>F671*AO671</f>
        <v>0</v>
      </c>
      <c r="AX671" s="5">
        <f>F671*AP671</f>
        <v>0</v>
      </c>
      <c r="AY671" s="6" t="s">
        <v>965</v>
      </c>
      <c r="AZ671" s="6" t="s">
        <v>912</v>
      </c>
      <c r="BA671" s="3" t="s">
        <v>905</v>
      </c>
      <c r="BC671" s="5">
        <f>AW671+AX671</f>
        <v>0</v>
      </c>
      <c r="BD671" s="5">
        <f>G671/(100-BE671)*100</f>
        <v>0</v>
      </c>
      <c r="BE671" s="5">
        <v>0</v>
      </c>
      <c r="BF671" s="5">
        <f>671</f>
        <v>671</v>
      </c>
      <c r="BH671" s="5">
        <f>F671*AO671</f>
        <v>0</v>
      </c>
      <c r="BI671" s="5">
        <f>F671*AP671</f>
        <v>0</v>
      </c>
      <c r="BJ671" s="5">
        <f>F671*G671</f>
        <v>0</v>
      </c>
      <c r="BK671" s="5"/>
      <c r="BL671" s="5"/>
      <c r="BW671" s="5">
        <v>21</v>
      </c>
      <c r="BX671" s="2" t="s">
        <v>1048</v>
      </c>
    </row>
    <row r="672" spans="1:76" ht="13.5" customHeight="1" x14ac:dyDescent="0.25">
      <c r="A672" s="154"/>
      <c r="B672" s="155"/>
      <c r="C672" s="156" t="s">
        <v>1026</v>
      </c>
      <c r="D672" s="157"/>
      <c r="E672" s="157"/>
      <c r="F672" s="157"/>
      <c r="G672" s="157"/>
      <c r="H672" s="157"/>
      <c r="I672" s="157"/>
      <c r="J672" s="157"/>
      <c r="K672" s="158"/>
    </row>
    <row r="673" spans="1:76" x14ac:dyDescent="0.25">
      <c r="A673" s="154"/>
      <c r="B673" s="155"/>
      <c r="C673" s="159" t="s">
        <v>1049</v>
      </c>
      <c r="D673" s="160" t="s">
        <v>52</v>
      </c>
      <c r="E673" s="155"/>
      <c r="F673" s="161">
        <v>199</v>
      </c>
      <c r="G673" s="155"/>
      <c r="H673" s="155"/>
      <c r="I673" s="155"/>
      <c r="J673" s="155"/>
      <c r="K673" s="162"/>
    </row>
    <row r="674" spans="1:76" x14ac:dyDescent="0.25">
      <c r="A674" s="146" t="s">
        <v>1050</v>
      </c>
      <c r="B674" s="149" t="s">
        <v>1051</v>
      </c>
      <c r="C674" s="116" t="s">
        <v>1052</v>
      </c>
      <c r="D674" s="112"/>
      <c r="E674" s="149" t="s">
        <v>709</v>
      </c>
      <c r="F674" s="152">
        <v>3</v>
      </c>
      <c r="G674" s="152">
        <v>0</v>
      </c>
      <c r="H674" s="152">
        <f>F674*AO674</f>
        <v>0</v>
      </c>
      <c r="I674" s="152">
        <f>F674*AP674</f>
        <v>0</v>
      </c>
      <c r="J674" s="152">
        <f>F674*G674</f>
        <v>0</v>
      </c>
      <c r="K674" s="153" t="s">
        <v>100</v>
      </c>
      <c r="Z674" s="5">
        <f>IF(AQ674="5",BJ674,0)</f>
        <v>0</v>
      </c>
      <c r="AB674" s="5">
        <f>IF(AQ674="1",BH674,0)</f>
        <v>0</v>
      </c>
      <c r="AC674" s="5">
        <f>IF(AQ674="1",BI674,0)</f>
        <v>0</v>
      </c>
      <c r="AD674" s="5">
        <f>IF(AQ674="7",BH674,0)</f>
        <v>0</v>
      </c>
      <c r="AE674" s="5">
        <f>IF(AQ674="7",BI674,0)</f>
        <v>0</v>
      </c>
      <c r="AF674" s="5">
        <f>IF(AQ674="2",BH674,0)</f>
        <v>0</v>
      </c>
      <c r="AG674" s="5">
        <f>IF(AQ674="2",BI674,0)</f>
        <v>0</v>
      </c>
      <c r="AH674" s="5">
        <f>IF(AQ674="0",BJ674,0)</f>
        <v>0</v>
      </c>
      <c r="AI674" s="3" t="s">
        <v>899</v>
      </c>
      <c r="AJ674" s="5">
        <f>IF(AN674=0,J674,0)</f>
        <v>0</v>
      </c>
      <c r="AK674" s="5">
        <f>IF(AN674=12,J674,0)</f>
        <v>0</v>
      </c>
      <c r="AL674" s="5">
        <f>IF(AN674=21,J674,0)</f>
        <v>0</v>
      </c>
      <c r="AN674" s="5">
        <v>21</v>
      </c>
      <c r="AO674" s="5">
        <f>G674*0.09752</f>
        <v>0</v>
      </c>
      <c r="AP674" s="5">
        <f>G674*(1-0.09752)</f>
        <v>0</v>
      </c>
      <c r="AQ674" s="6" t="s">
        <v>60</v>
      </c>
      <c r="AV674" s="5">
        <f>AW674+AX674</f>
        <v>0</v>
      </c>
      <c r="AW674" s="5">
        <f>F674*AO674</f>
        <v>0</v>
      </c>
      <c r="AX674" s="5">
        <f>F674*AP674</f>
        <v>0</v>
      </c>
      <c r="AY674" s="6" t="s">
        <v>965</v>
      </c>
      <c r="AZ674" s="6" t="s">
        <v>912</v>
      </c>
      <c r="BA674" s="3" t="s">
        <v>905</v>
      </c>
      <c r="BC674" s="5">
        <f>AW674+AX674</f>
        <v>0</v>
      </c>
      <c r="BD674" s="5">
        <f>G674/(100-BE674)*100</f>
        <v>0</v>
      </c>
      <c r="BE674" s="5">
        <v>0</v>
      </c>
      <c r="BF674" s="5">
        <f>674</f>
        <v>674</v>
      </c>
      <c r="BH674" s="5">
        <f>F674*AO674</f>
        <v>0</v>
      </c>
      <c r="BI674" s="5">
        <f>F674*AP674</f>
        <v>0</v>
      </c>
      <c r="BJ674" s="5">
        <f>F674*G674</f>
        <v>0</v>
      </c>
      <c r="BK674" s="5"/>
      <c r="BL674" s="5"/>
      <c r="BW674" s="5">
        <v>21</v>
      </c>
      <c r="BX674" s="2" t="s">
        <v>1052</v>
      </c>
    </row>
    <row r="675" spans="1:76" ht="13.5" customHeight="1" x14ac:dyDescent="0.25">
      <c r="A675" s="154"/>
      <c r="B675" s="155"/>
      <c r="C675" s="156" t="s">
        <v>1026</v>
      </c>
      <c r="D675" s="157"/>
      <c r="E675" s="157"/>
      <c r="F675" s="157"/>
      <c r="G675" s="157"/>
      <c r="H675" s="157"/>
      <c r="I675" s="157"/>
      <c r="J675" s="157"/>
      <c r="K675" s="158"/>
    </row>
    <row r="676" spans="1:76" x14ac:dyDescent="0.25">
      <c r="A676" s="154"/>
      <c r="B676" s="155"/>
      <c r="C676" s="159" t="s">
        <v>87</v>
      </c>
      <c r="D676" s="160" t="s">
        <v>52</v>
      </c>
      <c r="E676" s="155"/>
      <c r="F676" s="161">
        <v>3</v>
      </c>
      <c r="G676" s="155"/>
      <c r="H676" s="155"/>
      <c r="I676" s="155"/>
      <c r="J676" s="155"/>
      <c r="K676" s="162"/>
    </row>
    <row r="677" spans="1:76" x14ac:dyDescent="0.25">
      <c r="A677" s="146" t="s">
        <v>1053</v>
      </c>
      <c r="B677" s="149" t="s">
        <v>1054</v>
      </c>
      <c r="C677" s="116" t="s">
        <v>1052</v>
      </c>
      <c r="D677" s="112"/>
      <c r="E677" s="149" t="s">
        <v>709</v>
      </c>
      <c r="F677" s="152">
        <v>3</v>
      </c>
      <c r="G677" s="152">
        <v>0</v>
      </c>
      <c r="H677" s="152">
        <f>F677*AO677</f>
        <v>0</v>
      </c>
      <c r="I677" s="152">
        <f>F677*AP677</f>
        <v>0</v>
      </c>
      <c r="J677" s="152">
        <f>F677*G677</f>
        <v>0</v>
      </c>
      <c r="K677" s="153" t="s">
        <v>100</v>
      </c>
      <c r="Z677" s="5">
        <f>IF(AQ677="5",BJ677,0)</f>
        <v>0</v>
      </c>
      <c r="AB677" s="5">
        <f>IF(AQ677="1",BH677,0)</f>
        <v>0</v>
      </c>
      <c r="AC677" s="5">
        <f>IF(AQ677="1",BI677,0)</f>
        <v>0</v>
      </c>
      <c r="AD677" s="5">
        <f>IF(AQ677="7",BH677,0)</f>
        <v>0</v>
      </c>
      <c r="AE677" s="5">
        <f>IF(AQ677="7",BI677,0)</f>
        <v>0</v>
      </c>
      <c r="AF677" s="5">
        <f>IF(AQ677="2",BH677,0)</f>
        <v>0</v>
      </c>
      <c r="AG677" s="5">
        <f>IF(AQ677="2",BI677,0)</f>
        <v>0</v>
      </c>
      <c r="AH677" s="5">
        <f>IF(AQ677="0",BJ677,0)</f>
        <v>0</v>
      </c>
      <c r="AI677" s="3" t="s">
        <v>899</v>
      </c>
      <c r="AJ677" s="5">
        <f>IF(AN677=0,J677,0)</f>
        <v>0</v>
      </c>
      <c r="AK677" s="5">
        <f>IF(AN677=12,J677,0)</f>
        <v>0</v>
      </c>
      <c r="AL677" s="5">
        <f>IF(AN677=21,J677,0)</f>
        <v>0</v>
      </c>
      <c r="AN677" s="5">
        <v>21</v>
      </c>
      <c r="AO677" s="5">
        <f>G677*0.097518182</f>
        <v>0</v>
      </c>
      <c r="AP677" s="5">
        <f>G677*(1-0.097518182)</f>
        <v>0</v>
      </c>
      <c r="AQ677" s="6" t="s">
        <v>60</v>
      </c>
      <c r="AV677" s="5">
        <f>AW677+AX677</f>
        <v>0</v>
      </c>
      <c r="AW677" s="5">
        <f>F677*AO677</f>
        <v>0</v>
      </c>
      <c r="AX677" s="5">
        <f>F677*AP677</f>
        <v>0</v>
      </c>
      <c r="AY677" s="6" t="s">
        <v>965</v>
      </c>
      <c r="AZ677" s="6" t="s">
        <v>912</v>
      </c>
      <c r="BA677" s="3" t="s">
        <v>905</v>
      </c>
      <c r="BC677" s="5">
        <f>AW677+AX677</f>
        <v>0</v>
      </c>
      <c r="BD677" s="5">
        <f>G677/(100-BE677)*100</f>
        <v>0</v>
      </c>
      <c r="BE677" s="5">
        <v>0</v>
      </c>
      <c r="BF677" s="5">
        <f>677</f>
        <v>677</v>
      </c>
      <c r="BH677" s="5">
        <f>F677*AO677</f>
        <v>0</v>
      </c>
      <c r="BI677" s="5">
        <f>F677*AP677</f>
        <v>0</v>
      </c>
      <c r="BJ677" s="5">
        <f>F677*G677</f>
        <v>0</v>
      </c>
      <c r="BK677" s="5"/>
      <c r="BL677" s="5"/>
      <c r="BW677" s="5">
        <v>21</v>
      </c>
      <c r="BX677" s="2" t="s">
        <v>1052</v>
      </c>
    </row>
    <row r="678" spans="1:76" ht="13.5" customHeight="1" x14ac:dyDescent="0.25">
      <c r="A678" s="154"/>
      <c r="B678" s="155"/>
      <c r="C678" s="156" t="s">
        <v>1026</v>
      </c>
      <c r="D678" s="157"/>
      <c r="E678" s="157"/>
      <c r="F678" s="157"/>
      <c r="G678" s="157"/>
      <c r="H678" s="157"/>
      <c r="I678" s="157"/>
      <c r="J678" s="157"/>
      <c r="K678" s="158"/>
    </row>
    <row r="679" spans="1:76" x14ac:dyDescent="0.25">
      <c r="A679" s="154"/>
      <c r="B679" s="155"/>
      <c r="C679" s="159" t="s">
        <v>87</v>
      </c>
      <c r="D679" s="160" t="s">
        <v>52</v>
      </c>
      <c r="E679" s="155"/>
      <c r="F679" s="161">
        <v>3</v>
      </c>
      <c r="G679" s="155"/>
      <c r="H679" s="155"/>
      <c r="I679" s="155"/>
      <c r="J679" s="155"/>
      <c r="K679" s="162"/>
    </row>
    <row r="680" spans="1:76" x14ac:dyDescent="0.25">
      <c r="A680" s="146" t="s">
        <v>924</v>
      </c>
      <c r="B680" s="149" t="s">
        <v>1055</v>
      </c>
      <c r="C680" s="116" t="s">
        <v>1056</v>
      </c>
      <c r="D680" s="112"/>
      <c r="E680" s="149" t="s">
        <v>709</v>
      </c>
      <c r="F680" s="152">
        <v>45</v>
      </c>
      <c r="G680" s="152">
        <v>0</v>
      </c>
      <c r="H680" s="152">
        <f>F680*AO680</f>
        <v>0</v>
      </c>
      <c r="I680" s="152">
        <f>F680*AP680</f>
        <v>0</v>
      </c>
      <c r="J680" s="152">
        <f>F680*G680</f>
        <v>0</v>
      </c>
      <c r="K680" s="153" t="s">
        <v>100</v>
      </c>
      <c r="Z680" s="5">
        <f>IF(AQ680="5",BJ680,0)</f>
        <v>0</v>
      </c>
      <c r="AB680" s="5">
        <f>IF(AQ680="1",BH680,0)</f>
        <v>0</v>
      </c>
      <c r="AC680" s="5">
        <f>IF(AQ680="1",BI680,0)</f>
        <v>0</v>
      </c>
      <c r="AD680" s="5">
        <f>IF(AQ680="7",BH680,0)</f>
        <v>0</v>
      </c>
      <c r="AE680" s="5">
        <f>IF(AQ680="7",BI680,0)</f>
        <v>0</v>
      </c>
      <c r="AF680" s="5">
        <f>IF(AQ680="2",BH680,0)</f>
        <v>0</v>
      </c>
      <c r="AG680" s="5">
        <f>IF(AQ680="2",BI680,0)</f>
        <v>0</v>
      </c>
      <c r="AH680" s="5">
        <f>IF(AQ680="0",BJ680,0)</f>
        <v>0</v>
      </c>
      <c r="AI680" s="3" t="s">
        <v>899</v>
      </c>
      <c r="AJ680" s="5">
        <f>IF(AN680=0,J680,0)</f>
        <v>0</v>
      </c>
      <c r="AK680" s="5">
        <f>IF(AN680=12,J680,0)</f>
        <v>0</v>
      </c>
      <c r="AL680" s="5">
        <f>IF(AN680=21,J680,0)</f>
        <v>0</v>
      </c>
      <c r="AN680" s="5">
        <v>21</v>
      </c>
      <c r="AO680" s="5">
        <f>G680*0.0975</f>
        <v>0</v>
      </c>
      <c r="AP680" s="5">
        <f>G680*(1-0.0975)</f>
        <v>0</v>
      </c>
      <c r="AQ680" s="6" t="s">
        <v>60</v>
      </c>
      <c r="AV680" s="5">
        <f>AW680+AX680</f>
        <v>0</v>
      </c>
      <c r="AW680" s="5">
        <f>F680*AO680</f>
        <v>0</v>
      </c>
      <c r="AX680" s="5">
        <f>F680*AP680</f>
        <v>0</v>
      </c>
      <c r="AY680" s="6" t="s">
        <v>965</v>
      </c>
      <c r="AZ680" s="6" t="s">
        <v>912</v>
      </c>
      <c r="BA680" s="3" t="s">
        <v>905</v>
      </c>
      <c r="BC680" s="5">
        <f>AW680+AX680</f>
        <v>0</v>
      </c>
      <c r="BD680" s="5">
        <f>G680/(100-BE680)*100</f>
        <v>0</v>
      </c>
      <c r="BE680" s="5">
        <v>0</v>
      </c>
      <c r="BF680" s="5">
        <f>680</f>
        <v>680</v>
      </c>
      <c r="BH680" s="5">
        <f>F680*AO680</f>
        <v>0</v>
      </c>
      <c r="BI680" s="5">
        <f>F680*AP680</f>
        <v>0</v>
      </c>
      <c r="BJ680" s="5">
        <f>F680*G680</f>
        <v>0</v>
      </c>
      <c r="BK680" s="5"/>
      <c r="BL680" s="5"/>
      <c r="BW680" s="5">
        <v>21</v>
      </c>
      <c r="BX680" s="2" t="s">
        <v>1056</v>
      </c>
    </row>
    <row r="681" spans="1:76" ht="13.5" customHeight="1" x14ac:dyDescent="0.25">
      <c r="A681" s="154"/>
      <c r="B681" s="155"/>
      <c r="C681" s="156" t="s">
        <v>1026</v>
      </c>
      <c r="D681" s="157"/>
      <c r="E681" s="157"/>
      <c r="F681" s="157"/>
      <c r="G681" s="157"/>
      <c r="H681" s="157"/>
      <c r="I681" s="157"/>
      <c r="J681" s="157"/>
      <c r="K681" s="158"/>
    </row>
    <row r="682" spans="1:76" x14ac:dyDescent="0.25">
      <c r="A682" s="154"/>
      <c r="B682" s="155"/>
      <c r="C682" s="159" t="s">
        <v>317</v>
      </c>
      <c r="D682" s="160" t="s">
        <v>52</v>
      </c>
      <c r="E682" s="155"/>
      <c r="F682" s="161">
        <v>45</v>
      </c>
      <c r="G682" s="155"/>
      <c r="H682" s="155"/>
      <c r="I682" s="155"/>
      <c r="J682" s="155"/>
      <c r="K682" s="162"/>
    </row>
    <row r="683" spans="1:76" x14ac:dyDescent="0.25">
      <c r="A683" s="146" t="s">
        <v>1057</v>
      </c>
      <c r="B683" s="149" t="s">
        <v>1058</v>
      </c>
      <c r="C683" s="116" t="s">
        <v>1059</v>
      </c>
      <c r="D683" s="112"/>
      <c r="E683" s="149" t="s">
        <v>1025</v>
      </c>
      <c r="F683" s="152">
        <v>12</v>
      </c>
      <c r="G683" s="152">
        <v>0</v>
      </c>
      <c r="H683" s="152">
        <f>F683*AO683</f>
        <v>0</v>
      </c>
      <c r="I683" s="152">
        <f>F683*AP683</f>
        <v>0</v>
      </c>
      <c r="J683" s="152">
        <f>F683*G683</f>
        <v>0</v>
      </c>
      <c r="K683" s="153" t="s">
        <v>100</v>
      </c>
      <c r="Z683" s="5">
        <f>IF(AQ683="5",BJ683,0)</f>
        <v>0</v>
      </c>
      <c r="AB683" s="5">
        <f>IF(AQ683="1",BH683,0)</f>
        <v>0</v>
      </c>
      <c r="AC683" s="5">
        <f>IF(AQ683="1",BI683,0)</f>
        <v>0</v>
      </c>
      <c r="AD683" s="5">
        <f>IF(AQ683="7",BH683,0)</f>
        <v>0</v>
      </c>
      <c r="AE683" s="5">
        <f>IF(AQ683="7",BI683,0)</f>
        <v>0</v>
      </c>
      <c r="AF683" s="5">
        <f>IF(AQ683="2",BH683,0)</f>
        <v>0</v>
      </c>
      <c r="AG683" s="5">
        <f>IF(AQ683="2",BI683,0)</f>
        <v>0</v>
      </c>
      <c r="AH683" s="5">
        <f>IF(AQ683="0",BJ683,0)</f>
        <v>0</v>
      </c>
      <c r="AI683" s="3" t="s">
        <v>899</v>
      </c>
      <c r="AJ683" s="5">
        <f>IF(AN683=0,J683,0)</f>
        <v>0</v>
      </c>
      <c r="AK683" s="5">
        <f>IF(AN683=12,J683,0)</f>
        <v>0</v>
      </c>
      <c r="AL683" s="5">
        <f>IF(AN683=21,J683,0)</f>
        <v>0</v>
      </c>
      <c r="AN683" s="5">
        <v>21</v>
      </c>
      <c r="AO683" s="5">
        <f>G683*0.097507692</f>
        <v>0</v>
      </c>
      <c r="AP683" s="5">
        <f>G683*(1-0.097507692)</f>
        <v>0</v>
      </c>
      <c r="AQ683" s="6" t="s">
        <v>60</v>
      </c>
      <c r="AV683" s="5">
        <f>AW683+AX683</f>
        <v>0</v>
      </c>
      <c r="AW683" s="5">
        <f>F683*AO683</f>
        <v>0</v>
      </c>
      <c r="AX683" s="5">
        <f>F683*AP683</f>
        <v>0</v>
      </c>
      <c r="AY683" s="6" t="s">
        <v>965</v>
      </c>
      <c r="AZ683" s="6" t="s">
        <v>912</v>
      </c>
      <c r="BA683" s="3" t="s">
        <v>905</v>
      </c>
      <c r="BC683" s="5">
        <f>AW683+AX683</f>
        <v>0</v>
      </c>
      <c r="BD683" s="5">
        <f>G683/(100-BE683)*100</f>
        <v>0</v>
      </c>
      <c r="BE683" s="5">
        <v>0</v>
      </c>
      <c r="BF683" s="5">
        <f>683</f>
        <v>683</v>
      </c>
      <c r="BH683" s="5">
        <f>F683*AO683</f>
        <v>0</v>
      </c>
      <c r="BI683" s="5">
        <f>F683*AP683</f>
        <v>0</v>
      </c>
      <c r="BJ683" s="5">
        <f>F683*G683</f>
        <v>0</v>
      </c>
      <c r="BK683" s="5"/>
      <c r="BL683" s="5"/>
      <c r="BW683" s="5">
        <v>21</v>
      </c>
      <c r="BX683" s="2" t="s">
        <v>1059</v>
      </c>
    </row>
    <row r="684" spans="1:76" ht="13.5" customHeight="1" x14ac:dyDescent="0.25">
      <c r="A684" s="154"/>
      <c r="B684" s="155"/>
      <c r="C684" s="156" t="s">
        <v>1026</v>
      </c>
      <c r="D684" s="157"/>
      <c r="E684" s="157"/>
      <c r="F684" s="157"/>
      <c r="G684" s="157"/>
      <c r="H684" s="157"/>
      <c r="I684" s="157"/>
      <c r="J684" s="157"/>
      <c r="K684" s="158"/>
    </row>
    <row r="685" spans="1:76" x14ac:dyDescent="0.25">
      <c r="A685" s="154"/>
      <c r="B685" s="155"/>
      <c r="C685" s="159" t="s">
        <v>120</v>
      </c>
      <c r="D685" s="160" t="s">
        <v>52</v>
      </c>
      <c r="E685" s="155"/>
      <c r="F685" s="161">
        <v>12</v>
      </c>
      <c r="G685" s="155"/>
      <c r="H685" s="155"/>
      <c r="I685" s="155"/>
      <c r="J685" s="155"/>
      <c r="K685" s="162"/>
    </row>
    <row r="686" spans="1:76" x14ac:dyDescent="0.25">
      <c r="A686" s="146" t="s">
        <v>1049</v>
      </c>
      <c r="B686" s="149" t="s">
        <v>1060</v>
      </c>
      <c r="C686" s="116" t="s">
        <v>1061</v>
      </c>
      <c r="D686" s="112"/>
      <c r="E686" s="149" t="s">
        <v>1025</v>
      </c>
      <c r="F686" s="152">
        <v>12</v>
      </c>
      <c r="G686" s="152">
        <v>0</v>
      </c>
      <c r="H686" s="152">
        <f>F686*AO686</f>
        <v>0</v>
      </c>
      <c r="I686" s="152">
        <f>F686*AP686</f>
        <v>0</v>
      </c>
      <c r="J686" s="152">
        <f>F686*G686</f>
        <v>0</v>
      </c>
      <c r="K686" s="153" t="s">
        <v>100</v>
      </c>
      <c r="Z686" s="5">
        <f>IF(AQ686="5",BJ686,0)</f>
        <v>0</v>
      </c>
      <c r="AB686" s="5">
        <f>IF(AQ686="1",BH686,0)</f>
        <v>0</v>
      </c>
      <c r="AC686" s="5">
        <f>IF(AQ686="1",BI686,0)</f>
        <v>0</v>
      </c>
      <c r="AD686" s="5">
        <f>IF(AQ686="7",BH686,0)</f>
        <v>0</v>
      </c>
      <c r="AE686" s="5">
        <f>IF(AQ686="7",BI686,0)</f>
        <v>0</v>
      </c>
      <c r="AF686" s="5">
        <f>IF(AQ686="2",BH686,0)</f>
        <v>0</v>
      </c>
      <c r="AG686" s="5">
        <f>IF(AQ686="2",BI686,0)</f>
        <v>0</v>
      </c>
      <c r="AH686" s="5">
        <f>IF(AQ686="0",BJ686,0)</f>
        <v>0</v>
      </c>
      <c r="AI686" s="3" t="s">
        <v>899</v>
      </c>
      <c r="AJ686" s="5">
        <f>IF(AN686=0,J686,0)</f>
        <v>0</v>
      </c>
      <c r="AK686" s="5">
        <f>IF(AN686=12,J686,0)</f>
        <v>0</v>
      </c>
      <c r="AL686" s="5">
        <f>IF(AN686=21,J686,0)</f>
        <v>0</v>
      </c>
      <c r="AN686" s="5">
        <v>21</v>
      </c>
      <c r="AO686" s="5">
        <f>G686*0.097507692</f>
        <v>0</v>
      </c>
      <c r="AP686" s="5">
        <f>G686*(1-0.097507692)</f>
        <v>0</v>
      </c>
      <c r="AQ686" s="6" t="s">
        <v>60</v>
      </c>
      <c r="AV686" s="5">
        <f>AW686+AX686</f>
        <v>0</v>
      </c>
      <c r="AW686" s="5">
        <f>F686*AO686</f>
        <v>0</v>
      </c>
      <c r="AX686" s="5">
        <f>F686*AP686</f>
        <v>0</v>
      </c>
      <c r="AY686" s="6" t="s">
        <v>965</v>
      </c>
      <c r="AZ686" s="6" t="s">
        <v>912</v>
      </c>
      <c r="BA686" s="3" t="s">
        <v>905</v>
      </c>
      <c r="BC686" s="5">
        <f>AW686+AX686</f>
        <v>0</v>
      </c>
      <c r="BD686" s="5">
        <f>G686/(100-BE686)*100</f>
        <v>0</v>
      </c>
      <c r="BE686" s="5">
        <v>0</v>
      </c>
      <c r="BF686" s="5">
        <f>686</f>
        <v>686</v>
      </c>
      <c r="BH686" s="5">
        <f>F686*AO686</f>
        <v>0</v>
      </c>
      <c r="BI686" s="5">
        <f>F686*AP686</f>
        <v>0</v>
      </c>
      <c r="BJ686" s="5">
        <f>F686*G686</f>
        <v>0</v>
      </c>
      <c r="BK686" s="5"/>
      <c r="BL686" s="5"/>
      <c r="BW686" s="5">
        <v>21</v>
      </c>
      <c r="BX686" s="2" t="s">
        <v>1061</v>
      </c>
    </row>
    <row r="687" spans="1:76" ht="13.5" customHeight="1" x14ac:dyDescent="0.25">
      <c r="A687" s="154"/>
      <c r="B687" s="155"/>
      <c r="C687" s="156" t="s">
        <v>1026</v>
      </c>
      <c r="D687" s="157"/>
      <c r="E687" s="157"/>
      <c r="F687" s="157"/>
      <c r="G687" s="157"/>
      <c r="H687" s="157"/>
      <c r="I687" s="157"/>
      <c r="J687" s="157"/>
      <c r="K687" s="158"/>
    </row>
    <row r="688" spans="1:76" x14ac:dyDescent="0.25">
      <c r="A688" s="154"/>
      <c r="B688" s="155"/>
      <c r="C688" s="159" t="s">
        <v>120</v>
      </c>
      <c r="D688" s="160" t="s">
        <v>52</v>
      </c>
      <c r="E688" s="155"/>
      <c r="F688" s="161">
        <v>12</v>
      </c>
      <c r="G688" s="155"/>
      <c r="H688" s="155"/>
      <c r="I688" s="155"/>
      <c r="J688" s="155"/>
      <c r="K688" s="162"/>
    </row>
    <row r="689" spans="1:76" x14ac:dyDescent="0.25">
      <c r="A689" s="146" t="s">
        <v>1062</v>
      </c>
      <c r="B689" s="149" t="s">
        <v>1063</v>
      </c>
      <c r="C689" s="116" t="s">
        <v>1064</v>
      </c>
      <c r="D689" s="112"/>
      <c r="E689" s="149" t="s">
        <v>1025</v>
      </c>
      <c r="F689" s="152">
        <v>16</v>
      </c>
      <c r="G689" s="152">
        <v>0</v>
      </c>
      <c r="H689" s="152">
        <f>F689*AO689</f>
        <v>0</v>
      </c>
      <c r="I689" s="152">
        <f>F689*AP689</f>
        <v>0</v>
      </c>
      <c r="J689" s="152">
        <f>F689*G689</f>
        <v>0</v>
      </c>
      <c r="K689" s="153" t="s">
        <v>100</v>
      </c>
      <c r="Z689" s="5">
        <f>IF(AQ689="5",BJ689,0)</f>
        <v>0</v>
      </c>
      <c r="AB689" s="5">
        <f>IF(AQ689="1",BH689,0)</f>
        <v>0</v>
      </c>
      <c r="AC689" s="5">
        <f>IF(AQ689="1",BI689,0)</f>
        <v>0</v>
      </c>
      <c r="AD689" s="5">
        <f>IF(AQ689="7",BH689,0)</f>
        <v>0</v>
      </c>
      <c r="AE689" s="5">
        <f>IF(AQ689="7",BI689,0)</f>
        <v>0</v>
      </c>
      <c r="AF689" s="5">
        <f>IF(AQ689="2",BH689,0)</f>
        <v>0</v>
      </c>
      <c r="AG689" s="5">
        <f>IF(AQ689="2",BI689,0)</f>
        <v>0</v>
      </c>
      <c r="AH689" s="5">
        <f>IF(AQ689="0",BJ689,0)</f>
        <v>0</v>
      </c>
      <c r="AI689" s="3" t="s">
        <v>899</v>
      </c>
      <c r="AJ689" s="5">
        <f>IF(AN689=0,J689,0)</f>
        <v>0</v>
      </c>
      <c r="AK689" s="5">
        <f>IF(AN689=12,J689,0)</f>
        <v>0</v>
      </c>
      <c r="AL689" s="5">
        <f>IF(AN689=21,J689,0)</f>
        <v>0</v>
      </c>
      <c r="AN689" s="5">
        <v>21</v>
      </c>
      <c r="AO689" s="5">
        <f>G689*0.097507692</f>
        <v>0</v>
      </c>
      <c r="AP689" s="5">
        <f>G689*(1-0.097507692)</f>
        <v>0</v>
      </c>
      <c r="AQ689" s="6" t="s">
        <v>60</v>
      </c>
      <c r="AV689" s="5">
        <f>AW689+AX689</f>
        <v>0</v>
      </c>
      <c r="AW689" s="5">
        <f>F689*AO689</f>
        <v>0</v>
      </c>
      <c r="AX689" s="5">
        <f>F689*AP689</f>
        <v>0</v>
      </c>
      <c r="AY689" s="6" t="s">
        <v>965</v>
      </c>
      <c r="AZ689" s="6" t="s">
        <v>912</v>
      </c>
      <c r="BA689" s="3" t="s">
        <v>905</v>
      </c>
      <c r="BC689" s="5">
        <f>AW689+AX689</f>
        <v>0</v>
      </c>
      <c r="BD689" s="5">
        <f>G689/(100-BE689)*100</f>
        <v>0</v>
      </c>
      <c r="BE689" s="5">
        <v>0</v>
      </c>
      <c r="BF689" s="5">
        <f>689</f>
        <v>689</v>
      </c>
      <c r="BH689" s="5">
        <f>F689*AO689</f>
        <v>0</v>
      </c>
      <c r="BI689" s="5">
        <f>F689*AP689</f>
        <v>0</v>
      </c>
      <c r="BJ689" s="5">
        <f>F689*G689</f>
        <v>0</v>
      </c>
      <c r="BK689" s="5"/>
      <c r="BL689" s="5"/>
      <c r="BW689" s="5">
        <v>21</v>
      </c>
      <c r="BX689" s="2" t="s">
        <v>1064</v>
      </c>
    </row>
    <row r="690" spans="1:76" ht="13.5" customHeight="1" x14ac:dyDescent="0.25">
      <c r="A690" s="154"/>
      <c r="B690" s="155"/>
      <c r="C690" s="156" t="s">
        <v>1026</v>
      </c>
      <c r="D690" s="157"/>
      <c r="E690" s="157"/>
      <c r="F690" s="157"/>
      <c r="G690" s="157"/>
      <c r="H690" s="157"/>
      <c r="I690" s="157"/>
      <c r="J690" s="157"/>
      <c r="K690" s="158"/>
    </row>
    <row r="691" spans="1:76" x14ac:dyDescent="0.25">
      <c r="A691" s="154"/>
      <c r="B691" s="155"/>
      <c r="C691" s="159" t="s">
        <v>142</v>
      </c>
      <c r="D691" s="160" t="s">
        <v>52</v>
      </c>
      <c r="E691" s="155"/>
      <c r="F691" s="161">
        <v>16</v>
      </c>
      <c r="G691" s="155"/>
      <c r="H691" s="155"/>
      <c r="I691" s="155"/>
      <c r="J691" s="155"/>
      <c r="K691" s="162"/>
    </row>
    <row r="692" spans="1:76" x14ac:dyDescent="0.25">
      <c r="A692" s="146" t="s">
        <v>1065</v>
      </c>
      <c r="B692" s="149" t="s">
        <v>1066</v>
      </c>
      <c r="C692" s="116" t="s">
        <v>1067</v>
      </c>
      <c r="D692" s="112"/>
      <c r="E692" s="149" t="s">
        <v>1068</v>
      </c>
      <c r="F692" s="152">
        <v>1</v>
      </c>
      <c r="G692" s="152">
        <v>0</v>
      </c>
      <c r="H692" s="152">
        <f>F692*AO692</f>
        <v>0</v>
      </c>
      <c r="I692" s="152">
        <f>F692*AP692</f>
        <v>0</v>
      </c>
      <c r="J692" s="152">
        <f>F692*G692</f>
        <v>0</v>
      </c>
      <c r="K692" s="153" t="s">
        <v>100</v>
      </c>
      <c r="Z692" s="5">
        <f>IF(AQ692="5",BJ692,0)</f>
        <v>0</v>
      </c>
      <c r="AB692" s="5">
        <f>IF(AQ692="1",BH692,0)</f>
        <v>0</v>
      </c>
      <c r="AC692" s="5">
        <f>IF(AQ692="1",BI692,0)</f>
        <v>0</v>
      </c>
      <c r="AD692" s="5">
        <f>IF(AQ692="7",BH692,0)</f>
        <v>0</v>
      </c>
      <c r="AE692" s="5">
        <f>IF(AQ692="7",BI692,0)</f>
        <v>0</v>
      </c>
      <c r="AF692" s="5">
        <f>IF(AQ692="2",BH692,0)</f>
        <v>0</v>
      </c>
      <c r="AG692" s="5">
        <f>IF(AQ692="2",BI692,0)</f>
        <v>0</v>
      </c>
      <c r="AH692" s="5">
        <f>IF(AQ692="0",BJ692,0)</f>
        <v>0</v>
      </c>
      <c r="AI692" s="3" t="s">
        <v>899</v>
      </c>
      <c r="AJ692" s="5">
        <f>IF(AN692=0,J692,0)</f>
        <v>0</v>
      </c>
      <c r="AK692" s="5">
        <f>IF(AN692=12,J692,0)</f>
        <v>0</v>
      </c>
      <c r="AL692" s="5">
        <f>IF(AN692=21,J692,0)</f>
        <v>0</v>
      </c>
      <c r="AN692" s="5">
        <v>21</v>
      </c>
      <c r="AO692" s="5">
        <f>G692*0.097507596</f>
        <v>0</v>
      </c>
      <c r="AP692" s="5">
        <f>G692*(1-0.097507596)</f>
        <v>0</v>
      </c>
      <c r="AQ692" s="6" t="s">
        <v>60</v>
      </c>
      <c r="AV692" s="5">
        <f>AW692+AX692</f>
        <v>0</v>
      </c>
      <c r="AW692" s="5">
        <f>F692*AO692</f>
        <v>0</v>
      </c>
      <c r="AX692" s="5">
        <f>F692*AP692</f>
        <v>0</v>
      </c>
      <c r="AY692" s="6" t="s">
        <v>965</v>
      </c>
      <c r="AZ692" s="6" t="s">
        <v>912</v>
      </c>
      <c r="BA692" s="3" t="s">
        <v>905</v>
      </c>
      <c r="BC692" s="5">
        <f>AW692+AX692</f>
        <v>0</v>
      </c>
      <c r="BD692" s="5">
        <f>G692/(100-BE692)*100</f>
        <v>0</v>
      </c>
      <c r="BE692" s="5">
        <v>0</v>
      </c>
      <c r="BF692" s="5">
        <f>692</f>
        <v>692</v>
      </c>
      <c r="BH692" s="5">
        <f>F692*AO692</f>
        <v>0</v>
      </c>
      <c r="BI692" s="5">
        <f>F692*AP692</f>
        <v>0</v>
      </c>
      <c r="BJ692" s="5">
        <f>F692*G692</f>
        <v>0</v>
      </c>
      <c r="BK692" s="5"/>
      <c r="BL692" s="5"/>
      <c r="BW692" s="5">
        <v>21</v>
      </c>
      <c r="BX692" s="2" t="s">
        <v>1067</v>
      </c>
    </row>
    <row r="693" spans="1:76" x14ac:dyDescent="0.25">
      <c r="A693" s="154"/>
      <c r="B693" s="155"/>
      <c r="C693" s="159" t="s">
        <v>57</v>
      </c>
      <c r="D693" s="160" t="s">
        <v>52</v>
      </c>
      <c r="E693" s="155"/>
      <c r="F693" s="161">
        <v>1</v>
      </c>
      <c r="G693" s="155"/>
      <c r="H693" s="155"/>
      <c r="I693" s="155"/>
      <c r="J693" s="155"/>
      <c r="K693" s="162"/>
    </row>
    <row r="694" spans="1:76" x14ac:dyDescent="0.25">
      <c r="A694" s="146" t="s">
        <v>1069</v>
      </c>
      <c r="B694" s="149" t="s">
        <v>1070</v>
      </c>
      <c r="C694" s="116" t="s">
        <v>1071</v>
      </c>
      <c r="D694" s="112"/>
      <c r="E694" s="149" t="s">
        <v>1068</v>
      </c>
      <c r="F694" s="152">
        <v>1</v>
      </c>
      <c r="G694" s="152">
        <v>0</v>
      </c>
      <c r="H694" s="152">
        <f>F694*AO694</f>
        <v>0</v>
      </c>
      <c r="I694" s="152">
        <f>F694*AP694</f>
        <v>0</v>
      </c>
      <c r="J694" s="152">
        <f>F694*G694</f>
        <v>0</v>
      </c>
      <c r="K694" s="153" t="s">
        <v>100</v>
      </c>
      <c r="Z694" s="5">
        <f>IF(AQ694="5",BJ694,0)</f>
        <v>0</v>
      </c>
      <c r="AB694" s="5">
        <f>IF(AQ694="1",BH694,0)</f>
        <v>0</v>
      </c>
      <c r="AC694" s="5">
        <f>IF(AQ694="1",BI694,0)</f>
        <v>0</v>
      </c>
      <c r="AD694" s="5">
        <f>IF(AQ694="7",BH694,0)</f>
        <v>0</v>
      </c>
      <c r="AE694" s="5">
        <f>IF(AQ694="7",BI694,0)</f>
        <v>0</v>
      </c>
      <c r="AF694" s="5">
        <f>IF(AQ694="2",BH694,0)</f>
        <v>0</v>
      </c>
      <c r="AG694" s="5">
        <f>IF(AQ694="2",BI694,0)</f>
        <v>0</v>
      </c>
      <c r="AH694" s="5">
        <f>IF(AQ694="0",BJ694,0)</f>
        <v>0</v>
      </c>
      <c r="AI694" s="3" t="s">
        <v>899</v>
      </c>
      <c r="AJ694" s="5">
        <f>IF(AN694=0,J694,0)</f>
        <v>0</v>
      </c>
      <c r="AK694" s="5">
        <f>IF(AN694=12,J694,0)</f>
        <v>0</v>
      </c>
      <c r="AL694" s="5">
        <f>IF(AN694=21,J694,0)</f>
        <v>0</v>
      </c>
      <c r="AN694" s="5">
        <v>21</v>
      </c>
      <c r="AO694" s="5">
        <f>G694*0.097508345</f>
        <v>0</v>
      </c>
      <c r="AP694" s="5">
        <f>G694*(1-0.097508345)</f>
        <v>0</v>
      </c>
      <c r="AQ694" s="6" t="s">
        <v>60</v>
      </c>
      <c r="AV694" s="5">
        <f>AW694+AX694</f>
        <v>0</v>
      </c>
      <c r="AW694" s="5">
        <f>F694*AO694</f>
        <v>0</v>
      </c>
      <c r="AX694" s="5">
        <f>F694*AP694</f>
        <v>0</v>
      </c>
      <c r="AY694" s="6" t="s">
        <v>965</v>
      </c>
      <c r="AZ694" s="6" t="s">
        <v>912</v>
      </c>
      <c r="BA694" s="3" t="s">
        <v>905</v>
      </c>
      <c r="BC694" s="5">
        <f>AW694+AX694</f>
        <v>0</v>
      </c>
      <c r="BD694" s="5">
        <f>G694/(100-BE694)*100</f>
        <v>0</v>
      </c>
      <c r="BE694" s="5">
        <v>0</v>
      </c>
      <c r="BF694" s="5">
        <f>694</f>
        <v>694</v>
      </c>
      <c r="BH694" s="5">
        <f>F694*AO694</f>
        <v>0</v>
      </c>
      <c r="BI694" s="5">
        <f>F694*AP694</f>
        <v>0</v>
      </c>
      <c r="BJ694" s="5">
        <f>F694*G694</f>
        <v>0</v>
      </c>
      <c r="BK694" s="5"/>
      <c r="BL694" s="5"/>
      <c r="BW694" s="5">
        <v>21</v>
      </c>
      <c r="BX694" s="2" t="s">
        <v>1071</v>
      </c>
    </row>
    <row r="695" spans="1:76" x14ac:dyDescent="0.25">
      <c r="A695" s="154"/>
      <c r="B695" s="155"/>
      <c r="C695" s="159" t="s">
        <v>57</v>
      </c>
      <c r="D695" s="160" t="s">
        <v>52</v>
      </c>
      <c r="E695" s="155"/>
      <c r="F695" s="161">
        <v>1</v>
      </c>
      <c r="G695" s="155"/>
      <c r="H695" s="155"/>
      <c r="I695" s="155"/>
      <c r="J695" s="155"/>
      <c r="K695" s="162"/>
    </row>
    <row r="696" spans="1:76" x14ac:dyDescent="0.25">
      <c r="A696" s="146" t="s">
        <v>52</v>
      </c>
      <c r="B696" s="147" t="s">
        <v>52</v>
      </c>
      <c r="C696" s="148" t="s">
        <v>1072</v>
      </c>
      <c r="D696" s="113"/>
      <c r="E696" s="149" t="s">
        <v>33</v>
      </c>
      <c r="F696" s="149" t="s">
        <v>33</v>
      </c>
      <c r="G696" s="149" t="s">
        <v>33</v>
      </c>
      <c r="H696" s="150">
        <f>H697+H702+H710+H714+H720+H733</f>
        <v>0</v>
      </c>
      <c r="I696" s="150">
        <f>I697+I702+I710+I714+I720+I733</f>
        <v>0</v>
      </c>
      <c r="J696" s="150">
        <f>J697+J702+J710+J714+J720+J733</f>
        <v>0</v>
      </c>
      <c r="K696" s="151" t="s">
        <v>52</v>
      </c>
    </row>
    <row r="697" spans="1:76" x14ac:dyDescent="0.25">
      <c r="A697" s="146" t="s">
        <v>52</v>
      </c>
      <c r="B697" s="147" t="s">
        <v>125</v>
      </c>
      <c r="C697" s="148" t="s">
        <v>1073</v>
      </c>
      <c r="D697" s="113"/>
      <c r="E697" s="149" t="s">
        <v>33</v>
      </c>
      <c r="F697" s="149" t="s">
        <v>33</v>
      </c>
      <c r="G697" s="149" t="s">
        <v>33</v>
      </c>
      <c r="H697" s="150">
        <f>SUM(H698:H698)</f>
        <v>0</v>
      </c>
      <c r="I697" s="150">
        <f>SUM(I698:I698)</f>
        <v>0</v>
      </c>
      <c r="J697" s="150">
        <f>SUM(J698:J698)</f>
        <v>0</v>
      </c>
      <c r="K697" s="151" t="s">
        <v>52</v>
      </c>
      <c r="AI697" s="3" t="s">
        <v>1074</v>
      </c>
      <c r="AS697" s="1">
        <f>SUM(AJ698:AJ698)</f>
        <v>0</v>
      </c>
      <c r="AT697" s="1">
        <f>SUM(AK698:AK698)</f>
        <v>0</v>
      </c>
      <c r="AU697" s="1">
        <f>SUM(AL698:AL698)</f>
        <v>0</v>
      </c>
    </row>
    <row r="698" spans="1:76" x14ac:dyDescent="0.25">
      <c r="A698" s="146" t="s">
        <v>1075</v>
      </c>
      <c r="B698" s="149" t="s">
        <v>1076</v>
      </c>
      <c r="C698" s="116" t="s">
        <v>1077</v>
      </c>
      <c r="D698" s="112"/>
      <c r="E698" s="149" t="s">
        <v>206</v>
      </c>
      <c r="F698" s="152">
        <v>5.6319999999999997</v>
      </c>
      <c r="G698" s="152">
        <v>0</v>
      </c>
      <c r="H698" s="152">
        <f>F698*AO698</f>
        <v>0</v>
      </c>
      <c r="I698" s="152">
        <f>F698*AP698</f>
        <v>0</v>
      </c>
      <c r="J698" s="152">
        <f>F698*G698</f>
        <v>0</v>
      </c>
      <c r="K698" s="153" t="s">
        <v>1078</v>
      </c>
      <c r="Z698" s="5">
        <f>IF(AQ698="5",BJ698,0)</f>
        <v>0</v>
      </c>
      <c r="AB698" s="5">
        <f>IF(AQ698="1",BH698,0)</f>
        <v>0</v>
      </c>
      <c r="AC698" s="5">
        <f>IF(AQ698="1",BI698,0)</f>
        <v>0</v>
      </c>
      <c r="AD698" s="5">
        <f>IF(AQ698="7",BH698,0)</f>
        <v>0</v>
      </c>
      <c r="AE698" s="5">
        <f>IF(AQ698="7",BI698,0)</f>
        <v>0</v>
      </c>
      <c r="AF698" s="5">
        <f>IF(AQ698="2",BH698,0)</f>
        <v>0</v>
      </c>
      <c r="AG698" s="5">
        <f>IF(AQ698="2",BI698,0)</f>
        <v>0</v>
      </c>
      <c r="AH698" s="5">
        <f>IF(AQ698="0",BJ698,0)</f>
        <v>0</v>
      </c>
      <c r="AI698" s="3" t="s">
        <v>1074</v>
      </c>
      <c r="AJ698" s="5">
        <f>IF(AN698=0,J698,0)</f>
        <v>0</v>
      </c>
      <c r="AK698" s="5">
        <f>IF(AN698=12,J698,0)</f>
        <v>0</v>
      </c>
      <c r="AL698" s="5">
        <f>IF(AN698=21,J698,0)</f>
        <v>0</v>
      </c>
      <c r="AN698" s="5">
        <v>21</v>
      </c>
      <c r="AO698" s="5">
        <f>G698*0</f>
        <v>0</v>
      </c>
      <c r="AP698" s="5">
        <f>G698*(1-0)</f>
        <v>0</v>
      </c>
      <c r="AQ698" s="6" t="s">
        <v>57</v>
      </c>
      <c r="AV698" s="5">
        <f>AW698+AX698</f>
        <v>0</v>
      </c>
      <c r="AW698" s="5">
        <f>F698*AO698</f>
        <v>0</v>
      </c>
      <c r="AX698" s="5">
        <f>F698*AP698</f>
        <v>0</v>
      </c>
      <c r="AY698" s="6" t="s">
        <v>1079</v>
      </c>
      <c r="AZ698" s="6" t="s">
        <v>1080</v>
      </c>
      <c r="BA698" s="3" t="s">
        <v>1081</v>
      </c>
      <c r="BC698" s="5">
        <f>AW698+AX698</f>
        <v>0</v>
      </c>
      <c r="BD698" s="5">
        <f>G698/(100-BE698)*100</f>
        <v>0</v>
      </c>
      <c r="BE698" s="5">
        <v>0</v>
      </c>
      <c r="BF698" s="5">
        <f>698</f>
        <v>698</v>
      </c>
      <c r="BH698" s="5">
        <f>F698*AO698</f>
        <v>0</v>
      </c>
      <c r="BI698" s="5">
        <f>F698*AP698</f>
        <v>0</v>
      </c>
      <c r="BJ698" s="5">
        <f>F698*G698</f>
        <v>0</v>
      </c>
      <c r="BK698" s="5"/>
      <c r="BL698" s="5">
        <v>13</v>
      </c>
      <c r="BW698" s="5">
        <v>21</v>
      </c>
      <c r="BX698" s="2" t="s">
        <v>1077</v>
      </c>
    </row>
    <row r="699" spans="1:76" x14ac:dyDescent="0.25">
      <c r="A699" s="154"/>
      <c r="B699" s="155"/>
      <c r="C699" s="159" t="s">
        <v>1082</v>
      </c>
      <c r="D699" s="160" t="s">
        <v>1083</v>
      </c>
      <c r="E699" s="155"/>
      <c r="F699" s="161">
        <v>5.12</v>
      </c>
      <c r="G699" s="155"/>
      <c r="H699" s="155"/>
      <c r="I699" s="155"/>
      <c r="J699" s="155"/>
      <c r="K699" s="162"/>
    </row>
    <row r="700" spans="1:76" x14ac:dyDescent="0.25">
      <c r="A700" s="154"/>
      <c r="B700" s="155"/>
      <c r="C700" s="159" t="s">
        <v>1084</v>
      </c>
      <c r="D700" s="160" t="s">
        <v>1085</v>
      </c>
      <c r="E700" s="155"/>
      <c r="F700" s="161">
        <v>0.51200000000000001</v>
      </c>
      <c r="G700" s="155"/>
      <c r="H700" s="155"/>
      <c r="I700" s="155"/>
      <c r="J700" s="155"/>
      <c r="K700" s="162"/>
    </row>
    <row r="701" spans="1:76" ht="13.5" customHeight="1" x14ac:dyDescent="0.25">
      <c r="A701" s="154"/>
      <c r="B701" s="163" t="s">
        <v>140</v>
      </c>
      <c r="C701" s="156" t="s">
        <v>211</v>
      </c>
      <c r="D701" s="157"/>
      <c r="E701" s="157"/>
      <c r="F701" s="157"/>
      <c r="G701" s="157"/>
      <c r="H701" s="157"/>
      <c r="I701" s="157"/>
      <c r="J701" s="157"/>
      <c r="K701" s="158"/>
    </row>
    <row r="702" spans="1:76" x14ac:dyDescent="0.25">
      <c r="A702" s="146" t="s">
        <v>52</v>
      </c>
      <c r="B702" s="147" t="s">
        <v>147</v>
      </c>
      <c r="C702" s="148" t="s">
        <v>1086</v>
      </c>
      <c r="D702" s="113"/>
      <c r="E702" s="149" t="s">
        <v>33</v>
      </c>
      <c r="F702" s="149" t="s">
        <v>33</v>
      </c>
      <c r="G702" s="149" t="s">
        <v>33</v>
      </c>
      <c r="H702" s="150">
        <f>SUM(H703:H706)</f>
        <v>0</v>
      </c>
      <c r="I702" s="150">
        <f>SUM(I703:I706)</f>
        <v>0</v>
      </c>
      <c r="J702" s="150">
        <f>SUM(J703:J706)</f>
        <v>0</v>
      </c>
      <c r="K702" s="151" t="s">
        <v>52</v>
      </c>
      <c r="AI702" s="3" t="s">
        <v>1074</v>
      </c>
      <c r="AS702" s="1">
        <f>SUM(AJ703:AJ706)</f>
        <v>0</v>
      </c>
      <c r="AT702" s="1">
        <f>SUM(AK703:AK706)</f>
        <v>0</v>
      </c>
      <c r="AU702" s="1">
        <f>SUM(AL703:AL706)</f>
        <v>0</v>
      </c>
    </row>
    <row r="703" spans="1:76" x14ac:dyDescent="0.25">
      <c r="A703" s="146" t="s">
        <v>1087</v>
      </c>
      <c r="B703" s="149" t="s">
        <v>1088</v>
      </c>
      <c r="C703" s="116" t="s">
        <v>1089</v>
      </c>
      <c r="D703" s="112"/>
      <c r="E703" s="149" t="s">
        <v>206</v>
      </c>
      <c r="F703" s="152">
        <v>5.6319999999999997</v>
      </c>
      <c r="G703" s="152">
        <v>0</v>
      </c>
      <c r="H703" s="152">
        <f>F703*AO703</f>
        <v>0</v>
      </c>
      <c r="I703" s="152">
        <f>F703*AP703</f>
        <v>0</v>
      </c>
      <c r="J703" s="152">
        <f>F703*G703</f>
        <v>0</v>
      </c>
      <c r="K703" s="153" t="s">
        <v>1078</v>
      </c>
      <c r="Z703" s="5">
        <f>IF(AQ703="5",BJ703,0)</f>
        <v>0</v>
      </c>
      <c r="AB703" s="5">
        <f>IF(AQ703="1",BH703,0)</f>
        <v>0</v>
      </c>
      <c r="AC703" s="5">
        <f>IF(AQ703="1",BI703,0)</f>
        <v>0</v>
      </c>
      <c r="AD703" s="5">
        <f>IF(AQ703="7",BH703,0)</f>
        <v>0</v>
      </c>
      <c r="AE703" s="5">
        <f>IF(AQ703="7",BI703,0)</f>
        <v>0</v>
      </c>
      <c r="AF703" s="5">
        <f>IF(AQ703="2",BH703,0)</f>
        <v>0</v>
      </c>
      <c r="AG703" s="5">
        <f>IF(AQ703="2",BI703,0)</f>
        <v>0</v>
      </c>
      <c r="AH703" s="5">
        <f>IF(AQ703="0",BJ703,0)</f>
        <v>0</v>
      </c>
      <c r="AI703" s="3" t="s">
        <v>1074</v>
      </c>
      <c r="AJ703" s="5">
        <f>IF(AN703=0,J703,0)</f>
        <v>0</v>
      </c>
      <c r="AK703" s="5">
        <f>IF(AN703=12,J703,0)</f>
        <v>0</v>
      </c>
      <c r="AL703" s="5">
        <f>IF(AN703=21,J703,0)</f>
        <v>0</v>
      </c>
      <c r="AN703" s="5">
        <v>21</v>
      </c>
      <c r="AO703" s="5">
        <f>G703*0</f>
        <v>0</v>
      </c>
      <c r="AP703" s="5">
        <f>G703*(1-0)</f>
        <v>0</v>
      </c>
      <c r="AQ703" s="6" t="s">
        <v>57</v>
      </c>
      <c r="AV703" s="5">
        <f>AW703+AX703</f>
        <v>0</v>
      </c>
      <c r="AW703" s="5">
        <f>F703*AO703</f>
        <v>0</v>
      </c>
      <c r="AX703" s="5">
        <f>F703*AP703</f>
        <v>0</v>
      </c>
      <c r="AY703" s="6" t="s">
        <v>1090</v>
      </c>
      <c r="AZ703" s="6" t="s">
        <v>1080</v>
      </c>
      <c r="BA703" s="3" t="s">
        <v>1081</v>
      </c>
      <c r="BC703" s="5">
        <f>AW703+AX703</f>
        <v>0</v>
      </c>
      <c r="BD703" s="5">
        <f>G703/(100-BE703)*100</f>
        <v>0</v>
      </c>
      <c r="BE703" s="5">
        <v>0</v>
      </c>
      <c r="BF703" s="5">
        <f>703</f>
        <v>703</v>
      </c>
      <c r="BH703" s="5">
        <f>F703*AO703</f>
        <v>0</v>
      </c>
      <c r="BI703" s="5">
        <f>F703*AP703</f>
        <v>0</v>
      </c>
      <c r="BJ703" s="5">
        <f>F703*G703</f>
        <v>0</v>
      </c>
      <c r="BK703" s="5"/>
      <c r="BL703" s="5">
        <v>17</v>
      </c>
      <c r="BW703" s="5">
        <v>21</v>
      </c>
      <c r="BX703" s="2" t="s">
        <v>1089</v>
      </c>
    </row>
    <row r="704" spans="1:76" x14ac:dyDescent="0.25">
      <c r="A704" s="154"/>
      <c r="B704" s="155"/>
      <c r="C704" s="159" t="s">
        <v>1082</v>
      </c>
      <c r="D704" s="160" t="s">
        <v>1083</v>
      </c>
      <c r="E704" s="155"/>
      <c r="F704" s="161">
        <v>5.12</v>
      </c>
      <c r="G704" s="155"/>
      <c r="H704" s="155"/>
      <c r="I704" s="155"/>
      <c r="J704" s="155"/>
      <c r="K704" s="162"/>
    </row>
    <row r="705" spans="1:76" x14ac:dyDescent="0.25">
      <c r="A705" s="154"/>
      <c r="B705" s="155"/>
      <c r="C705" s="159" t="s">
        <v>1084</v>
      </c>
      <c r="D705" s="160" t="s">
        <v>1085</v>
      </c>
      <c r="E705" s="155"/>
      <c r="F705" s="161">
        <v>0.51200000000000001</v>
      </c>
      <c r="G705" s="155"/>
      <c r="H705" s="155"/>
      <c r="I705" s="155"/>
      <c r="J705" s="155"/>
      <c r="K705" s="162"/>
    </row>
    <row r="706" spans="1:76" x14ac:dyDescent="0.25">
      <c r="A706" s="146" t="s">
        <v>1091</v>
      </c>
      <c r="B706" s="149" t="s">
        <v>1092</v>
      </c>
      <c r="C706" s="116" t="s">
        <v>1093</v>
      </c>
      <c r="D706" s="112"/>
      <c r="E706" s="149" t="s">
        <v>206</v>
      </c>
      <c r="F706" s="152">
        <v>1.28</v>
      </c>
      <c r="G706" s="152">
        <v>0</v>
      </c>
      <c r="H706" s="152">
        <f>F706*AO706</f>
        <v>0</v>
      </c>
      <c r="I706" s="152">
        <f>F706*AP706</f>
        <v>0</v>
      </c>
      <c r="J706" s="152">
        <f>F706*G706</f>
        <v>0</v>
      </c>
      <c r="K706" s="153" t="s">
        <v>70</v>
      </c>
      <c r="Z706" s="5">
        <f>IF(AQ706="5",BJ706,0)</f>
        <v>0</v>
      </c>
      <c r="AB706" s="5">
        <f>IF(AQ706="1",BH706,0)</f>
        <v>0</v>
      </c>
      <c r="AC706" s="5">
        <f>IF(AQ706="1",BI706,0)</f>
        <v>0</v>
      </c>
      <c r="AD706" s="5">
        <f>IF(AQ706="7",BH706,0)</f>
        <v>0</v>
      </c>
      <c r="AE706" s="5">
        <f>IF(AQ706="7",BI706,0)</f>
        <v>0</v>
      </c>
      <c r="AF706" s="5">
        <f>IF(AQ706="2",BH706,0)</f>
        <v>0</v>
      </c>
      <c r="AG706" s="5">
        <f>IF(AQ706="2",BI706,0)</f>
        <v>0</v>
      </c>
      <c r="AH706" s="5">
        <f>IF(AQ706="0",BJ706,0)</f>
        <v>0</v>
      </c>
      <c r="AI706" s="3" t="s">
        <v>1074</v>
      </c>
      <c r="AJ706" s="5">
        <f>IF(AN706=0,J706,0)</f>
        <v>0</v>
      </c>
      <c r="AK706" s="5">
        <f>IF(AN706=12,J706,0)</f>
        <v>0</v>
      </c>
      <c r="AL706" s="5">
        <f>IF(AN706=21,J706,0)</f>
        <v>0</v>
      </c>
      <c r="AN706" s="5">
        <v>21</v>
      </c>
      <c r="AO706" s="5">
        <f>G706*0.496426735</f>
        <v>0</v>
      </c>
      <c r="AP706" s="5">
        <f>G706*(1-0.496426735)</f>
        <v>0</v>
      </c>
      <c r="AQ706" s="6" t="s">
        <v>57</v>
      </c>
      <c r="AV706" s="5">
        <f>AW706+AX706</f>
        <v>0</v>
      </c>
      <c r="AW706" s="5">
        <f>F706*AO706</f>
        <v>0</v>
      </c>
      <c r="AX706" s="5">
        <f>F706*AP706</f>
        <v>0</v>
      </c>
      <c r="AY706" s="6" t="s">
        <v>1090</v>
      </c>
      <c r="AZ706" s="6" t="s">
        <v>1080</v>
      </c>
      <c r="BA706" s="3" t="s">
        <v>1081</v>
      </c>
      <c r="BC706" s="5">
        <f>AW706+AX706</f>
        <v>0</v>
      </c>
      <c r="BD706" s="5">
        <f>G706/(100-BE706)*100</f>
        <v>0</v>
      </c>
      <c r="BE706" s="5">
        <v>0</v>
      </c>
      <c r="BF706" s="5">
        <f>706</f>
        <v>706</v>
      </c>
      <c r="BH706" s="5">
        <f>F706*AO706</f>
        <v>0</v>
      </c>
      <c r="BI706" s="5">
        <f>F706*AP706</f>
        <v>0</v>
      </c>
      <c r="BJ706" s="5">
        <f>F706*G706</f>
        <v>0</v>
      </c>
      <c r="BK706" s="5"/>
      <c r="BL706" s="5">
        <v>17</v>
      </c>
      <c r="BW706" s="5">
        <v>21</v>
      </c>
      <c r="BX706" s="2" t="s">
        <v>1093</v>
      </c>
    </row>
    <row r="707" spans="1:76" ht="13.5" customHeight="1" x14ac:dyDescent="0.25">
      <c r="A707" s="154"/>
      <c r="B707" s="155"/>
      <c r="C707" s="156" t="s">
        <v>1094</v>
      </c>
      <c r="D707" s="157"/>
      <c r="E707" s="157"/>
      <c r="F707" s="157"/>
      <c r="G707" s="157"/>
      <c r="H707" s="157"/>
      <c r="I707" s="157"/>
      <c r="J707" s="157"/>
      <c r="K707" s="158"/>
    </row>
    <row r="708" spans="1:76" x14ac:dyDescent="0.25">
      <c r="A708" s="154"/>
      <c r="B708" s="155"/>
      <c r="C708" s="159" t="s">
        <v>1095</v>
      </c>
      <c r="D708" s="160" t="s">
        <v>1083</v>
      </c>
      <c r="E708" s="155"/>
      <c r="F708" s="161">
        <v>1.28</v>
      </c>
      <c r="G708" s="155"/>
      <c r="H708" s="155"/>
      <c r="I708" s="155"/>
      <c r="J708" s="155"/>
      <c r="K708" s="162"/>
    </row>
    <row r="709" spans="1:76" x14ac:dyDescent="0.25">
      <c r="A709" s="154"/>
      <c r="B709" s="163" t="s">
        <v>85</v>
      </c>
      <c r="C709" s="156" t="s">
        <v>1096</v>
      </c>
      <c r="D709" s="157"/>
      <c r="E709" s="157"/>
      <c r="F709" s="157"/>
      <c r="G709" s="157"/>
      <c r="H709" s="157"/>
      <c r="I709" s="157"/>
      <c r="J709" s="157"/>
      <c r="K709" s="158"/>
      <c r="BX709" s="7" t="s">
        <v>1096</v>
      </c>
    </row>
    <row r="710" spans="1:76" x14ac:dyDescent="0.25">
      <c r="A710" s="146" t="s">
        <v>52</v>
      </c>
      <c r="B710" s="147" t="s">
        <v>150</v>
      </c>
      <c r="C710" s="148" t="s">
        <v>1097</v>
      </c>
      <c r="D710" s="113"/>
      <c r="E710" s="149" t="s">
        <v>33</v>
      </c>
      <c r="F710" s="149" t="s">
        <v>33</v>
      </c>
      <c r="G710" s="149" t="s">
        <v>33</v>
      </c>
      <c r="H710" s="150">
        <f>SUM(H711:H711)</f>
        <v>0</v>
      </c>
      <c r="I710" s="150">
        <f>SUM(I711:I711)</f>
        <v>0</v>
      </c>
      <c r="J710" s="150">
        <f>SUM(J711:J711)</f>
        <v>0</v>
      </c>
      <c r="K710" s="151" t="s">
        <v>52</v>
      </c>
      <c r="AI710" s="3" t="s">
        <v>1074</v>
      </c>
      <c r="AS710" s="1">
        <f>SUM(AJ711:AJ711)</f>
        <v>0</v>
      </c>
      <c r="AT710" s="1">
        <f>SUM(AK711:AK711)</f>
        <v>0</v>
      </c>
      <c r="AU710" s="1">
        <f>SUM(AL711:AL711)</f>
        <v>0</v>
      </c>
    </row>
    <row r="711" spans="1:76" x14ac:dyDescent="0.25">
      <c r="A711" s="146" t="s">
        <v>1098</v>
      </c>
      <c r="B711" s="149" t="s">
        <v>1099</v>
      </c>
      <c r="C711" s="116" t="s">
        <v>1100</v>
      </c>
      <c r="D711" s="112"/>
      <c r="E711" s="149" t="s">
        <v>69</v>
      </c>
      <c r="F711" s="152">
        <v>15.05</v>
      </c>
      <c r="G711" s="152">
        <v>0</v>
      </c>
      <c r="H711" s="152">
        <f>F711*AO711</f>
        <v>0</v>
      </c>
      <c r="I711" s="152">
        <f>F711*AP711</f>
        <v>0</v>
      </c>
      <c r="J711" s="152">
        <f>F711*G711</f>
        <v>0</v>
      </c>
      <c r="K711" s="153" t="s">
        <v>1078</v>
      </c>
      <c r="Z711" s="5">
        <f>IF(AQ711="5",BJ711,0)</f>
        <v>0</v>
      </c>
      <c r="AB711" s="5">
        <f>IF(AQ711="1",BH711,0)</f>
        <v>0</v>
      </c>
      <c r="AC711" s="5">
        <f>IF(AQ711="1",BI711,0)</f>
        <v>0</v>
      </c>
      <c r="AD711" s="5">
        <f>IF(AQ711="7",BH711,0)</f>
        <v>0</v>
      </c>
      <c r="AE711" s="5">
        <f>IF(AQ711="7",BI711,0)</f>
        <v>0</v>
      </c>
      <c r="AF711" s="5">
        <f>IF(AQ711="2",BH711,0)</f>
        <v>0</v>
      </c>
      <c r="AG711" s="5">
        <f>IF(AQ711="2",BI711,0)</f>
        <v>0</v>
      </c>
      <c r="AH711" s="5">
        <f>IF(AQ711="0",BJ711,0)</f>
        <v>0</v>
      </c>
      <c r="AI711" s="3" t="s">
        <v>1074</v>
      </c>
      <c r="AJ711" s="5">
        <f>IF(AN711=0,J711,0)</f>
        <v>0</v>
      </c>
      <c r="AK711" s="5">
        <f>IF(AN711=12,J711,0)</f>
        <v>0</v>
      </c>
      <c r="AL711" s="5">
        <f>IF(AN711=21,J711,0)</f>
        <v>0</v>
      </c>
      <c r="AN711" s="5">
        <v>21</v>
      </c>
      <c r="AO711" s="5">
        <f>G711*0.072820801</f>
        <v>0</v>
      </c>
      <c r="AP711" s="5">
        <f>G711*(1-0.072820801)</f>
        <v>0</v>
      </c>
      <c r="AQ711" s="6" t="s">
        <v>57</v>
      </c>
      <c r="AV711" s="5">
        <f>AW711+AX711</f>
        <v>0</v>
      </c>
      <c r="AW711" s="5">
        <f>F711*AO711</f>
        <v>0</v>
      </c>
      <c r="AX711" s="5">
        <f>F711*AP711</f>
        <v>0</v>
      </c>
      <c r="AY711" s="6" t="s">
        <v>1101</v>
      </c>
      <c r="AZ711" s="6" t="s">
        <v>1080</v>
      </c>
      <c r="BA711" s="3" t="s">
        <v>1081</v>
      </c>
      <c r="BC711" s="5">
        <f>AW711+AX711</f>
        <v>0</v>
      </c>
      <c r="BD711" s="5">
        <f>G711/(100-BE711)*100</f>
        <v>0</v>
      </c>
      <c r="BE711" s="5">
        <v>0</v>
      </c>
      <c r="BF711" s="5">
        <f>711</f>
        <v>711</v>
      </c>
      <c r="BH711" s="5">
        <f>F711*AO711</f>
        <v>0</v>
      </c>
      <c r="BI711" s="5">
        <f>F711*AP711</f>
        <v>0</v>
      </c>
      <c r="BJ711" s="5">
        <f>F711*G711</f>
        <v>0</v>
      </c>
      <c r="BK711" s="5"/>
      <c r="BL711" s="5">
        <v>18</v>
      </c>
      <c r="BW711" s="5">
        <v>21</v>
      </c>
      <c r="BX711" s="2" t="s">
        <v>1100</v>
      </c>
    </row>
    <row r="712" spans="1:76" x14ac:dyDescent="0.25">
      <c r="A712" s="154"/>
      <c r="B712" s="155"/>
      <c r="C712" s="159" t="s">
        <v>1102</v>
      </c>
      <c r="D712" s="160" t="s">
        <v>52</v>
      </c>
      <c r="E712" s="155"/>
      <c r="F712" s="161">
        <v>12.8</v>
      </c>
      <c r="G712" s="155"/>
      <c r="H712" s="155"/>
      <c r="I712" s="155"/>
      <c r="J712" s="155"/>
      <c r="K712" s="162"/>
    </row>
    <row r="713" spans="1:76" x14ac:dyDescent="0.25">
      <c r="A713" s="154"/>
      <c r="B713" s="155"/>
      <c r="C713" s="159" t="s">
        <v>1103</v>
      </c>
      <c r="D713" s="160" t="s">
        <v>1085</v>
      </c>
      <c r="E713" s="155"/>
      <c r="F713" s="161">
        <v>2.25</v>
      </c>
      <c r="G713" s="155"/>
      <c r="H713" s="155"/>
      <c r="I713" s="155"/>
      <c r="J713" s="155"/>
      <c r="K713" s="162"/>
    </row>
    <row r="714" spans="1:76" x14ac:dyDescent="0.25">
      <c r="A714" s="146" t="s">
        <v>52</v>
      </c>
      <c r="B714" s="147" t="s">
        <v>317</v>
      </c>
      <c r="C714" s="148" t="s">
        <v>1104</v>
      </c>
      <c r="D714" s="113"/>
      <c r="E714" s="149" t="s">
        <v>33</v>
      </c>
      <c r="F714" s="149" t="s">
        <v>33</v>
      </c>
      <c r="G714" s="149" t="s">
        <v>33</v>
      </c>
      <c r="H714" s="150">
        <f>SUM(H715:H719)</f>
        <v>0</v>
      </c>
      <c r="I714" s="150">
        <f>SUM(I715:I719)</f>
        <v>0</v>
      </c>
      <c r="J714" s="150">
        <f>SUM(J715:J719)</f>
        <v>0</v>
      </c>
      <c r="K714" s="151" t="s">
        <v>52</v>
      </c>
      <c r="AI714" s="3" t="s">
        <v>1074</v>
      </c>
      <c r="AS714" s="1">
        <f>SUM(AJ715:AJ719)</f>
        <v>0</v>
      </c>
      <c r="AT714" s="1">
        <f>SUM(AK715:AK719)</f>
        <v>0</v>
      </c>
      <c r="AU714" s="1">
        <f>SUM(AL715:AL719)</f>
        <v>0</v>
      </c>
    </row>
    <row r="715" spans="1:76" x14ac:dyDescent="0.25">
      <c r="A715" s="146" t="s">
        <v>1105</v>
      </c>
      <c r="B715" s="149" t="s">
        <v>1106</v>
      </c>
      <c r="C715" s="116" t="s">
        <v>1107</v>
      </c>
      <c r="D715" s="112"/>
      <c r="E715" s="149" t="s">
        <v>206</v>
      </c>
      <c r="F715" s="152">
        <v>0.70399999999999996</v>
      </c>
      <c r="G715" s="152">
        <v>0</v>
      </c>
      <c r="H715" s="152">
        <f>F715*AO715</f>
        <v>0</v>
      </c>
      <c r="I715" s="152">
        <f>F715*AP715</f>
        <v>0</v>
      </c>
      <c r="J715" s="152">
        <f>F715*G715</f>
        <v>0</v>
      </c>
      <c r="K715" s="153" t="s">
        <v>70</v>
      </c>
      <c r="Z715" s="5">
        <f>IF(AQ715="5",BJ715,0)</f>
        <v>0</v>
      </c>
      <c r="AB715" s="5">
        <f>IF(AQ715="1",BH715,0)</f>
        <v>0</v>
      </c>
      <c r="AC715" s="5">
        <f>IF(AQ715="1",BI715,0)</f>
        <v>0</v>
      </c>
      <c r="AD715" s="5">
        <f>IF(AQ715="7",BH715,0)</f>
        <v>0</v>
      </c>
      <c r="AE715" s="5">
        <f>IF(AQ715="7",BI715,0)</f>
        <v>0</v>
      </c>
      <c r="AF715" s="5">
        <f>IF(AQ715="2",BH715,0)</f>
        <v>0</v>
      </c>
      <c r="AG715" s="5">
        <f>IF(AQ715="2",BI715,0)</f>
        <v>0</v>
      </c>
      <c r="AH715" s="5">
        <f>IF(AQ715="0",BJ715,0)</f>
        <v>0</v>
      </c>
      <c r="AI715" s="3" t="s">
        <v>1074</v>
      </c>
      <c r="AJ715" s="5">
        <f>IF(AN715=0,J715,0)</f>
        <v>0</v>
      </c>
      <c r="AK715" s="5">
        <f>IF(AN715=12,J715,0)</f>
        <v>0</v>
      </c>
      <c r="AL715" s="5">
        <f>IF(AN715=21,J715,0)</f>
        <v>0</v>
      </c>
      <c r="AN715" s="5">
        <v>21</v>
      </c>
      <c r="AO715" s="5">
        <f>G715*0</f>
        <v>0</v>
      </c>
      <c r="AP715" s="5">
        <f>G715*(1-0)</f>
        <v>0</v>
      </c>
      <c r="AQ715" s="6" t="s">
        <v>57</v>
      </c>
      <c r="AV715" s="5">
        <f>AW715+AX715</f>
        <v>0</v>
      </c>
      <c r="AW715" s="5">
        <f>F715*AO715</f>
        <v>0</v>
      </c>
      <c r="AX715" s="5">
        <f>F715*AP715</f>
        <v>0</v>
      </c>
      <c r="AY715" s="6" t="s">
        <v>1108</v>
      </c>
      <c r="AZ715" s="6" t="s">
        <v>1109</v>
      </c>
      <c r="BA715" s="3" t="s">
        <v>1081</v>
      </c>
      <c r="BC715" s="5">
        <f>AW715+AX715</f>
        <v>0</v>
      </c>
      <c r="BD715" s="5">
        <f>G715/(100-BE715)*100</f>
        <v>0</v>
      </c>
      <c r="BE715" s="5">
        <v>0</v>
      </c>
      <c r="BF715" s="5">
        <f>715</f>
        <v>715</v>
      </c>
      <c r="BH715" s="5">
        <f>F715*AO715</f>
        <v>0</v>
      </c>
      <c r="BI715" s="5">
        <f>F715*AP715</f>
        <v>0</v>
      </c>
      <c r="BJ715" s="5">
        <f>F715*G715</f>
        <v>0</v>
      </c>
      <c r="BK715" s="5"/>
      <c r="BL715" s="5">
        <v>45</v>
      </c>
      <c r="BW715" s="5">
        <v>21</v>
      </c>
      <c r="BX715" s="2" t="s">
        <v>1107</v>
      </c>
    </row>
    <row r="716" spans="1:76" x14ac:dyDescent="0.25">
      <c r="A716" s="154"/>
      <c r="B716" s="155"/>
      <c r="C716" s="159" t="s">
        <v>1110</v>
      </c>
      <c r="D716" s="160" t="s">
        <v>1083</v>
      </c>
      <c r="E716" s="155"/>
      <c r="F716" s="161">
        <v>0.64</v>
      </c>
      <c r="G716" s="155"/>
      <c r="H716" s="155"/>
      <c r="I716" s="155"/>
      <c r="J716" s="155"/>
      <c r="K716" s="162"/>
    </row>
    <row r="717" spans="1:76" x14ac:dyDescent="0.25">
      <c r="A717" s="154"/>
      <c r="B717" s="155"/>
      <c r="C717" s="159" t="s">
        <v>1111</v>
      </c>
      <c r="D717" s="160" t="s">
        <v>1085</v>
      </c>
      <c r="E717" s="155"/>
      <c r="F717" s="161">
        <v>6.4000000000000001E-2</v>
      </c>
      <c r="G717" s="155"/>
      <c r="H717" s="155"/>
      <c r="I717" s="155"/>
      <c r="J717" s="155"/>
      <c r="K717" s="162"/>
    </row>
    <row r="718" spans="1:76" ht="51" x14ac:dyDescent="0.25">
      <c r="A718" s="154"/>
      <c r="B718" s="163" t="s">
        <v>85</v>
      </c>
      <c r="C718" s="156" t="s">
        <v>1112</v>
      </c>
      <c r="D718" s="157"/>
      <c r="E718" s="157"/>
      <c r="F718" s="157"/>
      <c r="G718" s="157"/>
      <c r="H718" s="157"/>
      <c r="I718" s="157"/>
      <c r="J718" s="157"/>
      <c r="K718" s="158"/>
      <c r="BX718" s="7" t="s">
        <v>1112</v>
      </c>
    </row>
    <row r="719" spans="1:76" x14ac:dyDescent="0.25">
      <c r="A719" s="146" t="s">
        <v>1113</v>
      </c>
      <c r="B719" s="149" t="s">
        <v>1114</v>
      </c>
      <c r="C719" s="116" t="s">
        <v>1115</v>
      </c>
      <c r="D719" s="112"/>
      <c r="E719" s="149" t="s">
        <v>128</v>
      </c>
      <c r="F719" s="152">
        <v>2.1760000000000002</v>
      </c>
      <c r="G719" s="152">
        <v>0</v>
      </c>
      <c r="H719" s="152">
        <f>F719*AO719</f>
        <v>0</v>
      </c>
      <c r="I719" s="152">
        <f>F719*AP719</f>
        <v>0</v>
      </c>
      <c r="J719" s="152">
        <f>F719*G719</f>
        <v>0</v>
      </c>
      <c r="K719" s="153" t="s">
        <v>70</v>
      </c>
      <c r="Z719" s="5">
        <f>IF(AQ719="5",BJ719,0)</f>
        <v>0</v>
      </c>
      <c r="AB719" s="5">
        <f>IF(AQ719="1",BH719,0)</f>
        <v>0</v>
      </c>
      <c r="AC719" s="5">
        <f>IF(AQ719="1",BI719,0)</f>
        <v>0</v>
      </c>
      <c r="AD719" s="5">
        <f>IF(AQ719="7",BH719,0)</f>
        <v>0</v>
      </c>
      <c r="AE719" s="5">
        <f>IF(AQ719="7",BI719,0)</f>
        <v>0</v>
      </c>
      <c r="AF719" s="5">
        <f>IF(AQ719="2",BH719,0)</f>
        <v>0</v>
      </c>
      <c r="AG719" s="5">
        <f>IF(AQ719="2",BI719,0)</f>
        <v>0</v>
      </c>
      <c r="AH719" s="5">
        <f>IF(AQ719="0",BJ719,0)</f>
        <v>0</v>
      </c>
      <c r="AI719" s="3" t="s">
        <v>1074</v>
      </c>
      <c r="AJ719" s="5">
        <f>IF(AN719=0,J719,0)</f>
        <v>0</v>
      </c>
      <c r="AK719" s="5">
        <f>IF(AN719=12,J719,0)</f>
        <v>0</v>
      </c>
      <c r="AL719" s="5">
        <f>IF(AN719=21,J719,0)</f>
        <v>0</v>
      </c>
      <c r="AN719" s="5">
        <v>21</v>
      </c>
      <c r="AO719" s="5">
        <f>G719*0</f>
        <v>0</v>
      </c>
      <c r="AP719" s="5">
        <f>G719*(1-0)</f>
        <v>0</v>
      </c>
      <c r="AQ719" s="6" t="s">
        <v>96</v>
      </c>
      <c r="AV719" s="5">
        <f>AW719+AX719</f>
        <v>0</v>
      </c>
      <c r="AW719" s="5">
        <f>F719*AO719</f>
        <v>0</v>
      </c>
      <c r="AX719" s="5">
        <f>F719*AP719</f>
        <v>0</v>
      </c>
      <c r="AY719" s="6" t="s">
        <v>1108</v>
      </c>
      <c r="AZ719" s="6" t="s">
        <v>1109</v>
      </c>
      <c r="BA719" s="3" t="s">
        <v>1081</v>
      </c>
      <c r="BC719" s="5">
        <f>AW719+AX719</f>
        <v>0</v>
      </c>
      <c r="BD719" s="5">
        <f>G719/(100-BE719)*100</f>
        <v>0</v>
      </c>
      <c r="BE719" s="5">
        <v>0</v>
      </c>
      <c r="BF719" s="5">
        <f>719</f>
        <v>719</v>
      </c>
      <c r="BH719" s="5">
        <f>F719*AO719</f>
        <v>0</v>
      </c>
      <c r="BI719" s="5">
        <f>F719*AP719</f>
        <v>0</v>
      </c>
      <c r="BJ719" s="5">
        <f>F719*G719</f>
        <v>0</v>
      </c>
      <c r="BK719" s="5"/>
      <c r="BL719" s="5">
        <v>45</v>
      </c>
      <c r="BW719" s="5">
        <v>21</v>
      </c>
      <c r="BX719" s="2" t="s">
        <v>1115</v>
      </c>
    </row>
    <row r="720" spans="1:76" x14ac:dyDescent="0.25">
      <c r="A720" s="146" t="s">
        <v>52</v>
      </c>
      <c r="B720" s="147" t="s">
        <v>1116</v>
      </c>
      <c r="C720" s="148" t="s">
        <v>1117</v>
      </c>
      <c r="D720" s="113"/>
      <c r="E720" s="149" t="s">
        <v>33</v>
      </c>
      <c r="F720" s="149" t="s">
        <v>33</v>
      </c>
      <c r="G720" s="149" t="s">
        <v>33</v>
      </c>
      <c r="H720" s="150">
        <f>SUM(H721:H731)</f>
        <v>0</v>
      </c>
      <c r="I720" s="150">
        <f>SUM(I721:I731)</f>
        <v>0</v>
      </c>
      <c r="J720" s="150">
        <f>SUM(J721:J731)</f>
        <v>0</v>
      </c>
      <c r="K720" s="151" t="s">
        <v>52</v>
      </c>
      <c r="AI720" s="3" t="s">
        <v>1074</v>
      </c>
      <c r="AS720" s="1">
        <f>SUM(AJ721:AJ731)</f>
        <v>0</v>
      </c>
      <c r="AT720" s="1">
        <f>SUM(AK721:AK731)</f>
        <v>0</v>
      </c>
      <c r="AU720" s="1">
        <f>SUM(AL721:AL731)</f>
        <v>0</v>
      </c>
    </row>
    <row r="721" spans="1:76" x14ac:dyDescent="0.25">
      <c r="A721" s="146" t="s">
        <v>1118</v>
      </c>
      <c r="B721" s="149" t="s">
        <v>1119</v>
      </c>
      <c r="C721" s="116" t="s">
        <v>1120</v>
      </c>
      <c r="D721" s="112"/>
      <c r="E721" s="149" t="s">
        <v>197</v>
      </c>
      <c r="F721" s="152">
        <v>17.600000000000001</v>
      </c>
      <c r="G721" s="152">
        <v>0</v>
      </c>
      <c r="H721" s="152">
        <f>F721*AO721</f>
        <v>0</v>
      </c>
      <c r="I721" s="152">
        <f>F721*AP721</f>
        <v>0</v>
      </c>
      <c r="J721" s="152">
        <f>F721*G721</f>
        <v>0</v>
      </c>
      <c r="K721" s="153" t="s">
        <v>70</v>
      </c>
      <c r="Z721" s="5">
        <f>IF(AQ721="5",BJ721,0)</f>
        <v>0</v>
      </c>
      <c r="AB721" s="5">
        <f>IF(AQ721="1",BH721,0)</f>
        <v>0</v>
      </c>
      <c r="AC721" s="5">
        <f>IF(AQ721="1",BI721,0)</f>
        <v>0</v>
      </c>
      <c r="AD721" s="5">
        <f>IF(AQ721="7",BH721,0)</f>
        <v>0</v>
      </c>
      <c r="AE721" s="5">
        <f>IF(AQ721="7",BI721,0)</f>
        <v>0</v>
      </c>
      <c r="AF721" s="5">
        <f>IF(AQ721="2",BH721,0)</f>
        <v>0</v>
      </c>
      <c r="AG721" s="5">
        <f>IF(AQ721="2",BI721,0)</f>
        <v>0</v>
      </c>
      <c r="AH721" s="5">
        <f>IF(AQ721="0",BJ721,0)</f>
        <v>0</v>
      </c>
      <c r="AI721" s="3" t="s">
        <v>1074</v>
      </c>
      <c r="AJ721" s="5">
        <f>IF(AN721=0,J721,0)</f>
        <v>0</v>
      </c>
      <c r="AK721" s="5">
        <f>IF(AN721=12,J721,0)</f>
        <v>0</v>
      </c>
      <c r="AL721" s="5">
        <f>IF(AN721=21,J721,0)</f>
        <v>0</v>
      </c>
      <c r="AN721" s="5">
        <v>21</v>
      </c>
      <c r="AO721" s="5">
        <f>G721*0.598073429</f>
        <v>0</v>
      </c>
      <c r="AP721" s="5">
        <f>G721*(1-0.598073429)</f>
        <v>0</v>
      </c>
      <c r="AQ721" s="6" t="s">
        <v>105</v>
      </c>
      <c r="AV721" s="5">
        <f>AW721+AX721</f>
        <v>0</v>
      </c>
      <c r="AW721" s="5">
        <f>F721*AO721</f>
        <v>0</v>
      </c>
      <c r="AX721" s="5">
        <f>F721*AP721</f>
        <v>0</v>
      </c>
      <c r="AY721" s="6" t="s">
        <v>1121</v>
      </c>
      <c r="AZ721" s="6" t="s">
        <v>1122</v>
      </c>
      <c r="BA721" s="3" t="s">
        <v>1081</v>
      </c>
      <c r="BC721" s="5">
        <f>AW721+AX721</f>
        <v>0</v>
      </c>
      <c r="BD721" s="5">
        <f>G721/(100-BE721)*100</f>
        <v>0</v>
      </c>
      <c r="BE721" s="5">
        <v>0</v>
      </c>
      <c r="BF721" s="5">
        <f>721</f>
        <v>721</v>
      </c>
      <c r="BH721" s="5">
        <f>F721*AO721</f>
        <v>0</v>
      </c>
      <c r="BI721" s="5">
        <f>F721*AP721</f>
        <v>0</v>
      </c>
      <c r="BJ721" s="5">
        <f>F721*G721</f>
        <v>0</v>
      </c>
      <c r="BK721" s="5"/>
      <c r="BL721" s="5">
        <v>721</v>
      </c>
      <c r="BW721" s="5">
        <v>21</v>
      </c>
      <c r="BX721" s="2" t="s">
        <v>1120</v>
      </c>
    </row>
    <row r="722" spans="1:76" x14ac:dyDescent="0.25">
      <c r="A722" s="154"/>
      <c r="B722" s="155"/>
      <c r="C722" s="159" t="s">
        <v>1123</v>
      </c>
      <c r="D722" s="160" t="s">
        <v>1083</v>
      </c>
      <c r="E722" s="155"/>
      <c r="F722" s="161">
        <v>17.600000000000001</v>
      </c>
      <c r="G722" s="155"/>
      <c r="H722" s="155"/>
      <c r="I722" s="155"/>
      <c r="J722" s="155"/>
      <c r="K722" s="162"/>
    </row>
    <row r="723" spans="1:76" x14ac:dyDescent="0.25">
      <c r="A723" s="164" t="s">
        <v>1124</v>
      </c>
      <c r="B723" s="165" t="s">
        <v>1125</v>
      </c>
      <c r="C723" s="166" t="s">
        <v>1126</v>
      </c>
      <c r="D723" s="167"/>
      <c r="E723" s="165" t="s">
        <v>300</v>
      </c>
      <c r="F723" s="168">
        <v>4</v>
      </c>
      <c r="G723" s="168">
        <v>0</v>
      </c>
      <c r="H723" s="168">
        <f>F723*AO723</f>
        <v>0</v>
      </c>
      <c r="I723" s="168">
        <f>F723*AP723</f>
        <v>0</v>
      </c>
      <c r="J723" s="168">
        <f>F723*G723</f>
        <v>0</v>
      </c>
      <c r="K723" s="169" t="s">
        <v>70</v>
      </c>
      <c r="Z723" s="5">
        <f>IF(AQ723="5",BJ723,0)</f>
        <v>0</v>
      </c>
      <c r="AB723" s="5">
        <f>IF(AQ723="1",BH723,0)</f>
        <v>0</v>
      </c>
      <c r="AC723" s="5">
        <f>IF(AQ723="1",BI723,0)</f>
        <v>0</v>
      </c>
      <c r="AD723" s="5">
        <f>IF(AQ723="7",BH723,0)</f>
        <v>0</v>
      </c>
      <c r="AE723" s="5">
        <f>IF(AQ723="7",BI723,0)</f>
        <v>0</v>
      </c>
      <c r="AF723" s="5">
        <f>IF(AQ723="2",BH723,0)</f>
        <v>0</v>
      </c>
      <c r="AG723" s="5">
        <f>IF(AQ723="2",BI723,0)</f>
        <v>0</v>
      </c>
      <c r="AH723" s="5">
        <f>IF(AQ723="0",BJ723,0)</f>
        <v>0</v>
      </c>
      <c r="AI723" s="3" t="s">
        <v>1074</v>
      </c>
      <c r="AJ723" s="9">
        <f>IF(AN723=0,J723,0)</f>
        <v>0</v>
      </c>
      <c r="AK723" s="9">
        <f>IF(AN723=12,J723,0)</f>
        <v>0</v>
      </c>
      <c r="AL723" s="9">
        <f>IF(AN723=21,J723,0)</f>
        <v>0</v>
      </c>
      <c r="AN723" s="5">
        <v>21</v>
      </c>
      <c r="AO723" s="5">
        <f>G723*1</f>
        <v>0</v>
      </c>
      <c r="AP723" s="5">
        <f>G723*(1-1)</f>
        <v>0</v>
      </c>
      <c r="AQ723" s="10" t="s">
        <v>105</v>
      </c>
      <c r="AV723" s="5">
        <f>AW723+AX723</f>
        <v>0</v>
      </c>
      <c r="AW723" s="5">
        <f>F723*AO723</f>
        <v>0</v>
      </c>
      <c r="AX723" s="5">
        <f>F723*AP723</f>
        <v>0</v>
      </c>
      <c r="AY723" s="6" t="s">
        <v>1121</v>
      </c>
      <c r="AZ723" s="6" t="s">
        <v>1122</v>
      </c>
      <c r="BA723" s="3" t="s">
        <v>1081</v>
      </c>
      <c r="BC723" s="5">
        <f>AW723+AX723</f>
        <v>0</v>
      </c>
      <c r="BD723" s="5">
        <f>G723/(100-BE723)*100</f>
        <v>0</v>
      </c>
      <c r="BE723" s="5">
        <v>0</v>
      </c>
      <c r="BF723" s="5">
        <f>723</f>
        <v>723</v>
      </c>
      <c r="BH723" s="9">
        <f>F723*AO723</f>
        <v>0</v>
      </c>
      <c r="BI723" s="9">
        <f>F723*AP723</f>
        <v>0</v>
      </c>
      <c r="BJ723" s="9">
        <f>F723*G723</f>
        <v>0</v>
      </c>
      <c r="BK723" s="9"/>
      <c r="BL723" s="5">
        <v>721</v>
      </c>
      <c r="BW723" s="5">
        <v>21</v>
      </c>
      <c r="BX723" s="8" t="s">
        <v>1126</v>
      </c>
    </row>
    <row r="724" spans="1:76" x14ac:dyDescent="0.25">
      <c r="A724" s="154"/>
      <c r="B724" s="155"/>
      <c r="C724" s="159" t="s">
        <v>1127</v>
      </c>
      <c r="D724" s="160" t="s">
        <v>52</v>
      </c>
      <c r="E724" s="155"/>
      <c r="F724" s="161">
        <v>4</v>
      </c>
      <c r="G724" s="155"/>
      <c r="H724" s="155"/>
      <c r="I724" s="155"/>
      <c r="J724" s="155"/>
      <c r="K724" s="162"/>
    </row>
    <row r="725" spans="1:76" ht="140.25" x14ac:dyDescent="0.25">
      <c r="A725" s="154"/>
      <c r="B725" s="163" t="s">
        <v>85</v>
      </c>
      <c r="C725" s="156" t="s">
        <v>1128</v>
      </c>
      <c r="D725" s="157"/>
      <c r="E725" s="157"/>
      <c r="F725" s="157"/>
      <c r="G725" s="157"/>
      <c r="H725" s="157"/>
      <c r="I725" s="157"/>
      <c r="J725" s="157"/>
      <c r="K725" s="158"/>
      <c r="BX725" s="11" t="s">
        <v>1128</v>
      </c>
    </row>
    <row r="726" spans="1:76" x14ac:dyDescent="0.25">
      <c r="A726" s="164" t="s">
        <v>1129</v>
      </c>
      <c r="B726" s="165" t="s">
        <v>1130</v>
      </c>
      <c r="C726" s="166" t="s">
        <v>1131</v>
      </c>
      <c r="D726" s="167"/>
      <c r="E726" s="165" t="s">
        <v>300</v>
      </c>
      <c r="F726" s="168">
        <v>2</v>
      </c>
      <c r="G726" s="168">
        <v>0</v>
      </c>
      <c r="H726" s="168">
        <f>F726*AO726</f>
        <v>0</v>
      </c>
      <c r="I726" s="168">
        <f>F726*AP726</f>
        <v>0</v>
      </c>
      <c r="J726" s="168">
        <f>F726*G726</f>
        <v>0</v>
      </c>
      <c r="K726" s="169" t="s">
        <v>70</v>
      </c>
      <c r="Z726" s="5">
        <f>IF(AQ726="5",BJ726,0)</f>
        <v>0</v>
      </c>
      <c r="AB726" s="5">
        <f>IF(AQ726="1",BH726,0)</f>
        <v>0</v>
      </c>
      <c r="AC726" s="5">
        <f>IF(AQ726="1",BI726,0)</f>
        <v>0</v>
      </c>
      <c r="AD726" s="5">
        <f>IF(AQ726="7",BH726,0)</f>
        <v>0</v>
      </c>
      <c r="AE726" s="5">
        <f>IF(AQ726="7",BI726,0)</f>
        <v>0</v>
      </c>
      <c r="AF726" s="5">
        <f>IF(AQ726="2",BH726,0)</f>
        <v>0</v>
      </c>
      <c r="AG726" s="5">
        <f>IF(AQ726="2",BI726,0)</f>
        <v>0</v>
      </c>
      <c r="AH726" s="5">
        <f>IF(AQ726="0",BJ726,0)</f>
        <v>0</v>
      </c>
      <c r="AI726" s="3" t="s">
        <v>1074</v>
      </c>
      <c r="AJ726" s="9">
        <f>IF(AN726=0,J726,0)</f>
        <v>0</v>
      </c>
      <c r="AK726" s="9">
        <f>IF(AN726=12,J726,0)</f>
        <v>0</v>
      </c>
      <c r="AL726" s="9">
        <f>IF(AN726=21,J726,0)</f>
        <v>0</v>
      </c>
      <c r="AN726" s="5">
        <v>21</v>
      </c>
      <c r="AO726" s="5">
        <f>G726*1</f>
        <v>0</v>
      </c>
      <c r="AP726" s="5">
        <f>G726*(1-1)</f>
        <v>0</v>
      </c>
      <c r="AQ726" s="10" t="s">
        <v>105</v>
      </c>
      <c r="AV726" s="5">
        <f>AW726+AX726</f>
        <v>0</v>
      </c>
      <c r="AW726" s="5">
        <f>F726*AO726</f>
        <v>0</v>
      </c>
      <c r="AX726" s="5">
        <f>F726*AP726</f>
        <v>0</v>
      </c>
      <c r="AY726" s="6" t="s">
        <v>1121</v>
      </c>
      <c r="AZ726" s="6" t="s">
        <v>1122</v>
      </c>
      <c r="BA726" s="3" t="s">
        <v>1081</v>
      </c>
      <c r="BC726" s="5">
        <f>AW726+AX726</f>
        <v>0</v>
      </c>
      <c r="BD726" s="5">
        <f>G726/(100-BE726)*100</f>
        <v>0</v>
      </c>
      <c r="BE726" s="5">
        <v>0</v>
      </c>
      <c r="BF726" s="5">
        <f>726</f>
        <v>726</v>
      </c>
      <c r="BH726" s="9">
        <f>F726*AO726</f>
        <v>0</v>
      </c>
      <c r="BI726" s="9">
        <f>F726*AP726</f>
        <v>0</v>
      </c>
      <c r="BJ726" s="9">
        <f>F726*G726</f>
        <v>0</v>
      </c>
      <c r="BK726" s="9"/>
      <c r="BL726" s="5">
        <v>721</v>
      </c>
      <c r="BW726" s="5">
        <v>21</v>
      </c>
      <c r="BX726" s="8" t="s">
        <v>1131</v>
      </c>
    </row>
    <row r="727" spans="1:76" x14ac:dyDescent="0.25">
      <c r="A727" s="154"/>
      <c r="B727" s="155"/>
      <c r="C727" s="159" t="s">
        <v>60</v>
      </c>
      <c r="D727" s="160" t="s">
        <v>52</v>
      </c>
      <c r="E727" s="155"/>
      <c r="F727" s="161">
        <v>2</v>
      </c>
      <c r="G727" s="155"/>
      <c r="H727" s="155"/>
      <c r="I727" s="155"/>
      <c r="J727" s="155"/>
      <c r="K727" s="162"/>
    </row>
    <row r="728" spans="1:76" ht="140.25" x14ac:dyDescent="0.25">
      <c r="A728" s="154"/>
      <c r="B728" s="163" t="s">
        <v>85</v>
      </c>
      <c r="C728" s="156" t="s">
        <v>1128</v>
      </c>
      <c r="D728" s="157"/>
      <c r="E728" s="157"/>
      <c r="F728" s="157"/>
      <c r="G728" s="157"/>
      <c r="H728" s="157"/>
      <c r="I728" s="157"/>
      <c r="J728" s="157"/>
      <c r="K728" s="158"/>
      <c r="BX728" s="11" t="s">
        <v>1128</v>
      </c>
    </row>
    <row r="729" spans="1:76" x14ac:dyDescent="0.25">
      <c r="A729" s="146" t="s">
        <v>1132</v>
      </c>
      <c r="B729" s="149" t="s">
        <v>1133</v>
      </c>
      <c r="C729" s="116" t="s">
        <v>1134</v>
      </c>
      <c r="D729" s="112"/>
      <c r="E729" s="149" t="s">
        <v>300</v>
      </c>
      <c r="F729" s="152">
        <v>2</v>
      </c>
      <c r="G729" s="152">
        <v>0</v>
      </c>
      <c r="H729" s="152">
        <f>F729*AO729</f>
        <v>0</v>
      </c>
      <c r="I729" s="152">
        <f>F729*AP729</f>
        <v>0</v>
      </c>
      <c r="J729" s="152">
        <f>F729*G729</f>
        <v>0</v>
      </c>
      <c r="K729" s="153" t="s">
        <v>70</v>
      </c>
      <c r="Z729" s="5">
        <f>IF(AQ729="5",BJ729,0)</f>
        <v>0</v>
      </c>
      <c r="AB729" s="5">
        <f>IF(AQ729="1",BH729,0)</f>
        <v>0</v>
      </c>
      <c r="AC729" s="5">
        <f>IF(AQ729="1",BI729,0)</f>
        <v>0</v>
      </c>
      <c r="AD729" s="5">
        <f>IF(AQ729="7",BH729,0)</f>
        <v>0</v>
      </c>
      <c r="AE729" s="5">
        <f>IF(AQ729="7",BI729,0)</f>
        <v>0</v>
      </c>
      <c r="AF729" s="5">
        <f>IF(AQ729="2",BH729,0)</f>
        <v>0</v>
      </c>
      <c r="AG729" s="5">
        <f>IF(AQ729="2",BI729,0)</f>
        <v>0</v>
      </c>
      <c r="AH729" s="5">
        <f>IF(AQ729="0",BJ729,0)</f>
        <v>0</v>
      </c>
      <c r="AI729" s="3" t="s">
        <v>1074</v>
      </c>
      <c r="AJ729" s="5">
        <f>IF(AN729=0,J729,0)</f>
        <v>0</v>
      </c>
      <c r="AK729" s="5">
        <f>IF(AN729=12,J729,0)</f>
        <v>0</v>
      </c>
      <c r="AL729" s="5">
        <f>IF(AN729=21,J729,0)</f>
        <v>0</v>
      </c>
      <c r="AN729" s="5">
        <v>21</v>
      </c>
      <c r="AO729" s="5">
        <f>G729*0.887655192</f>
        <v>0</v>
      </c>
      <c r="AP729" s="5">
        <f>G729*(1-0.887655192)</f>
        <v>0</v>
      </c>
      <c r="AQ729" s="6" t="s">
        <v>105</v>
      </c>
      <c r="AV729" s="5">
        <f>AW729+AX729</f>
        <v>0</v>
      </c>
      <c r="AW729" s="5">
        <f>F729*AO729</f>
        <v>0</v>
      </c>
      <c r="AX729" s="5">
        <f>F729*AP729</f>
        <v>0</v>
      </c>
      <c r="AY729" s="6" t="s">
        <v>1121</v>
      </c>
      <c r="AZ729" s="6" t="s">
        <v>1122</v>
      </c>
      <c r="BA729" s="3" t="s">
        <v>1081</v>
      </c>
      <c r="BC729" s="5">
        <f>AW729+AX729</f>
        <v>0</v>
      </c>
      <c r="BD729" s="5">
        <f>G729/(100-BE729)*100</f>
        <v>0</v>
      </c>
      <c r="BE729" s="5">
        <v>0</v>
      </c>
      <c r="BF729" s="5">
        <f>729</f>
        <v>729</v>
      </c>
      <c r="BH729" s="5">
        <f>F729*AO729</f>
        <v>0</v>
      </c>
      <c r="BI729" s="5">
        <f>F729*AP729</f>
        <v>0</v>
      </c>
      <c r="BJ729" s="5">
        <f>F729*G729</f>
        <v>0</v>
      </c>
      <c r="BK729" s="5"/>
      <c r="BL729" s="5">
        <v>721</v>
      </c>
      <c r="BW729" s="5">
        <v>21</v>
      </c>
      <c r="BX729" s="2" t="s">
        <v>1134</v>
      </c>
    </row>
    <row r="730" spans="1:76" x14ac:dyDescent="0.25">
      <c r="A730" s="154"/>
      <c r="B730" s="155"/>
      <c r="C730" s="159" t="s">
        <v>60</v>
      </c>
      <c r="D730" s="160" t="s">
        <v>52</v>
      </c>
      <c r="E730" s="155"/>
      <c r="F730" s="161">
        <v>2</v>
      </c>
      <c r="G730" s="155"/>
      <c r="H730" s="155"/>
      <c r="I730" s="155"/>
      <c r="J730" s="155"/>
      <c r="K730" s="162"/>
    </row>
    <row r="731" spans="1:76" x14ac:dyDescent="0.25">
      <c r="A731" s="146" t="s">
        <v>1135</v>
      </c>
      <c r="B731" s="149" t="s">
        <v>1136</v>
      </c>
      <c r="C731" s="116" t="s">
        <v>1137</v>
      </c>
      <c r="D731" s="112"/>
      <c r="E731" s="149" t="s">
        <v>372</v>
      </c>
      <c r="F731" s="152">
        <v>291.33999999999997</v>
      </c>
      <c r="G731" s="152">
        <v>0</v>
      </c>
      <c r="H731" s="152">
        <f>F731*AO731</f>
        <v>0</v>
      </c>
      <c r="I731" s="152">
        <f>F731*AP731</f>
        <v>0</v>
      </c>
      <c r="J731" s="152">
        <f>F731*G731</f>
        <v>0</v>
      </c>
      <c r="K731" s="153" t="s">
        <v>70</v>
      </c>
      <c r="Z731" s="5">
        <f>IF(AQ731="5",BJ731,0)</f>
        <v>0</v>
      </c>
      <c r="AB731" s="5">
        <f>IF(AQ731="1",BH731,0)</f>
        <v>0</v>
      </c>
      <c r="AC731" s="5">
        <f>IF(AQ731="1",BI731,0)</f>
        <v>0</v>
      </c>
      <c r="AD731" s="5">
        <f>IF(AQ731="7",BH731,0)</f>
        <v>0</v>
      </c>
      <c r="AE731" s="5">
        <f>IF(AQ731="7",BI731,0)</f>
        <v>0</v>
      </c>
      <c r="AF731" s="5">
        <f>IF(AQ731="2",BH731,0)</f>
        <v>0</v>
      </c>
      <c r="AG731" s="5">
        <f>IF(AQ731="2",BI731,0)</f>
        <v>0</v>
      </c>
      <c r="AH731" s="5">
        <f>IF(AQ731="0",BJ731,0)</f>
        <v>0</v>
      </c>
      <c r="AI731" s="3" t="s">
        <v>1074</v>
      </c>
      <c r="AJ731" s="5">
        <f>IF(AN731=0,J731,0)</f>
        <v>0</v>
      </c>
      <c r="AK731" s="5">
        <f>IF(AN731=12,J731,0)</f>
        <v>0</v>
      </c>
      <c r="AL731" s="5">
        <f>IF(AN731=21,J731,0)</f>
        <v>0</v>
      </c>
      <c r="AN731" s="5">
        <v>21</v>
      </c>
      <c r="AO731" s="5">
        <f>G731*0</f>
        <v>0</v>
      </c>
      <c r="AP731" s="5">
        <f>G731*(1-0)</f>
        <v>0</v>
      </c>
      <c r="AQ731" s="6" t="s">
        <v>96</v>
      </c>
      <c r="AV731" s="5">
        <f>AW731+AX731</f>
        <v>0</v>
      </c>
      <c r="AW731" s="5">
        <f>F731*AO731</f>
        <v>0</v>
      </c>
      <c r="AX731" s="5">
        <f>F731*AP731</f>
        <v>0</v>
      </c>
      <c r="AY731" s="6" t="s">
        <v>1121</v>
      </c>
      <c r="AZ731" s="6" t="s">
        <v>1122</v>
      </c>
      <c r="BA731" s="3" t="s">
        <v>1081</v>
      </c>
      <c r="BC731" s="5">
        <f>AW731+AX731</f>
        <v>0</v>
      </c>
      <c r="BD731" s="5">
        <f>G731/(100-BE731)*100</f>
        <v>0</v>
      </c>
      <c r="BE731" s="5">
        <v>0</v>
      </c>
      <c r="BF731" s="5">
        <f>731</f>
        <v>731</v>
      </c>
      <c r="BH731" s="5">
        <f>F731*AO731</f>
        <v>0</v>
      </c>
      <c r="BI731" s="5">
        <f>F731*AP731</f>
        <v>0</v>
      </c>
      <c r="BJ731" s="5">
        <f>F731*G731</f>
        <v>0</v>
      </c>
      <c r="BK731" s="5"/>
      <c r="BL731" s="5">
        <v>721</v>
      </c>
      <c r="BW731" s="5">
        <v>21</v>
      </c>
      <c r="BX731" s="2" t="s">
        <v>1137</v>
      </c>
    </row>
    <row r="732" spans="1:76" x14ac:dyDescent="0.25">
      <c r="A732" s="154"/>
      <c r="B732" s="155"/>
      <c r="C732" s="159" t="s">
        <v>1138</v>
      </c>
      <c r="D732" s="160" t="s">
        <v>52</v>
      </c>
      <c r="E732" s="155"/>
      <c r="F732" s="161">
        <v>291.33999999999997</v>
      </c>
      <c r="G732" s="155"/>
      <c r="H732" s="155"/>
      <c r="I732" s="155"/>
      <c r="J732" s="155"/>
      <c r="K732" s="162"/>
    </row>
    <row r="733" spans="1:76" x14ac:dyDescent="0.25">
      <c r="A733" s="146" t="s">
        <v>52</v>
      </c>
      <c r="B733" s="147" t="s">
        <v>550</v>
      </c>
      <c r="C733" s="148" t="s">
        <v>1139</v>
      </c>
      <c r="D733" s="113"/>
      <c r="E733" s="149" t="s">
        <v>33</v>
      </c>
      <c r="F733" s="149" t="s">
        <v>33</v>
      </c>
      <c r="G733" s="149" t="s">
        <v>33</v>
      </c>
      <c r="H733" s="150">
        <f>SUM(H734:H744)</f>
        <v>0</v>
      </c>
      <c r="I733" s="150">
        <f>SUM(I734:I744)</f>
        <v>0</v>
      </c>
      <c r="J733" s="150">
        <f>SUM(J734:J744)</f>
        <v>0</v>
      </c>
      <c r="K733" s="151" t="s">
        <v>52</v>
      </c>
      <c r="AI733" s="3" t="s">
        <v>1074</v>
      </c>
      <c r="AS733" s="1">
        <f>SUM(AJ734:AJ744)</f>
        <v>0</v>
      </c>
      <c r="AT733" s="1">
        <f>SUM(AK734:AK744)</f>
        <v>0</v>
      </c>
      <c r="AU733" s="1">
        <f>SUM(AL734:AL744)</f>
        <v>0</v>
      </c>
    </row>
    <row r="734" spans="1:76" x14ac:dyDescent="0.25">
      <c r="A734" s="146" t="s">
        <v>1140</v>
      </c>
      <c r="B734" s="149" t="s">
        <v>1141</v>
      </c>
      <c r="C734" s="116" t="s">
        <v>1142</v>
      </c>
      <c r="D734" s="112"/>
      <c r="E734" s="149" t="s">
        <v>300</v>
      </c>
      <c r="F734" s="152">
        <v>1</v>
      </c>
      <c r="G734" s="152">
        <v>0</v>
      </c>
      <c r="H734" s="152">
        <f>F734*AO734</f>
        <v>0</v>
      </c>
      <c r="I734" s="152">
        <f>F734*AP734</f>
        <v>0</v>
      </c>
      <c r="J734" s="152">
        <f>F734*G734</f>
        <v>0</v>
      </c>
      <c r="K734" s="153" t="s">
        <v>70</v>
      </c>
      <c r="Z734" s="5">
        <f>IF(AQ734="5",BJ734,0)</f>
        <v>0</v>
      </c>
      <c r="AB734" s="5">
        <f>IF(AQ734="1",BH734,0)</f>
        <v>0</v>
      </c>
      <c r="AC734" s="5">
        <f>IF(AQ734="1",BI734,0)</f>
        <v>0</v>
      </c>
      <c r="AD734" s="5">
        <f>IF(AQ734="7",BH734,0)</f>
        <v>0</v>
      </c>
      <c r="AE734" s="5">
        <f>IF(AQ734="7",BI734,0)</f>
        <v>0</v>
      </c>
      <c r="AF734" s="5">
        <f>IF(AQ734="2",BH734,0)</f>
        <v>0</v>
      </c>
      <c r="AG734" s="5">
        <f>IF(AQ734="2",BI734,0)</f>
        <v>0</v>
      </c>
      <c r="AH734" s="5">
        <f>IF(AQ734="0",BJ734,0)</f>
        <v>0</v>
      </c>
      <c r="AI734" s="3" t="s">
        <v>1074</v>
      </c>
      <c r="AJ734" s="5">
        <f>IF(AN734=0,J734,0)</f>
        <v>0</v>
      </c>
      <c r="AK734" s="5">
        <f>IF(AN734=12,J734,0)</f>
        <v>0</v>
      </c>
      <c r="AL734" s="5">
        <f>IF(AN734=21,J734,0)</f>
        <v>0</v>
      </c>
      <c r="AN734" s="5">
        <v>21</v>
      </c>
      <c r="AO734" s="5">
        <f>G734*0</f>
        <v>0</v>
      </c>
      <c r="AP734" s="5">
        <f>G734*(1-0)</f>
        <v>0</v>
      </c>
      <c r="AQ734" s="6" t="s">
        <v>57</v>
      </c>
      <c r="AV734" s="5">
        <f>AW734+AX734</f>
        <v>0</v>
      </c>
      <c r="AW734" s="5">
        <f>F734*AO734</f>
        <v>0</v>
      </c>
      <c r="AX734" s="5">
        <f>F734*AP734</f>
        <v>0</v>
      </c>
      <c r="AY734" s="6" t="s">
        <v>1143</v>
      </c>
      <c r="AZ734" s="6" t="s">
        <v>1144</v>
      </c>
      <c r="BA734" s="3" t="s">
        <v>1081</v>
      </c>
      <c r="BC734" s="5">
        <f>AW734+AX734</f>
        <v>0</v>
      </c>
      <c r="BD734" s="5">
        <f>G734/(100-BE734)*100</f>
        <v>0</v>
      </c>
      <c r="BE734" s="5">
        <v>0</v>
      </c>
      <c r="BF734" s="5">
        <f>734</f>
        <v>734</v>
      </c>
      <c r="BH734" s="5">
        <f>F734*AO734</f>
        <v>0</v>
      </c>
      <c r="BI734" s="5">
        <f>F734*AP734</f>
        <v>0</v>
      </c>
      <c r="BJ734" s="5">
        <f>F734*G734</f>
        <v>0</v>
      </c>
      <c r="BK734" s="5"/>
      <c r="BL734" s="5">
        <v>89</v>
      </c>
      <c r="BW734" s="5">
        <v>21</v>
      </c>
      <c r="BX734" s="2" t="s">
        <v>1142</v>
      </c>
    </row>
    <row r="735" spans="1:76" ht="27" customHeight="1" x14ac:dyDescent="0.25">
      <c r="A735" s="154"/>
      <c r="B735" s="155"/>
      <c r="C735" s="156" t="s">
        <v>1145</v>
      </c>
      <c r="D735" s="157"/>
      <c r="E735" s="157"/>
      <c r="F735" s="157"/>
      <c r="G735" s="157"/>
      <c r="H735" s="157"/>
      <c r="I735" s="157"/>
      <c r="J735" s="157"/>
      <c r="K735" s="158"/>
    </row>
    <row r="736" spans="1:76" x14ac:dyDescent="0.25">
      <c r="A736" s="154"/>
      <c r="B736" s="155"/>
      <c r="C736" s="159" t="s">
        <v>57</v>
      </c>
      <c r="D736" s="160" t="s">
        <v>52</v>
      </c>
      <c r="E736" s="155"/>
      <c r="F736" s="161">
        <v>1</v>
      </c>
      <c r="G736" s="155"/>
      <c r="H736" s="155"/>
      <c r="I736" s="155"/>
      <c r="J736" s="155"/>
      <c r="K736" s="162"/>
    </row>
    <row r="737" spans="1:76" ht="89.25" x14ac:dyDescent="0.25">
      <c r="A737" s="154"/>
      <c r="B737" s="163" t="s">
        <v>85</v>
      </c>
      <c r="C737" s="156" t="s">
        <v>1146</v>
      </c>
      <c r="D737" s="157"/>
      <c r="E737" s="157"/>
      <c r="F737" s="157"/>
      <c r="G737" s="157"/>
      <c r="H737" s="157"/>
      <c r="I737" s="157"/>
      <c r="J737" s="157"/>
      <c r="K737" s="158"/>
      <c r="BX737" s="7" t="s">
        <v>1146</v>
      </c>
    </row>
    <row r="738" spans="1:76" x14ac:dyDescent="0.25">
      <c r="A738" s="164" t="s">
        <v>1147</v>
      </c>
      <c r="B738" s="165" t="s">
        <v>1148</v>
      </c>
      <c r="C738" s="166" t="s">
        <v>1149</v>
      </c>
      <c r="D738" s="167"/>
      <c r="E738" s="165" t="s">
        <v>300</v>
      </c>
      <c r="F738" s="168">
        <v>1</v>
      </c>
      <c r="G738" s="168">
        <v>0</v>
      </c>
      <c r="H738" s="168">
        <f>F738*AO738</f>
        <v>0</v>
      </c>
      <c r="I738" s="168">
        <f>F738*AP738</f>
        <v>0</v>
      </c>
      <c r="J738" s="168">
        <f>F738*G738</f>
        <v>0</v>
      </c>
      <c r="K738" s="169" t="s">
        <v>70</v>
      </c>
      <c r="Z738" s="5">
        <f>IF(AQ738="5",BJ738,0)</f>
        <v>0</v>
      </c>
      <c r="AB738" s="5">
        <f>IF(AQ738="1",BH738,0)</f>
        <v>0</v>
      </c>
      <c r="AC738" s="5">
        <f>IF(AQ738="1",BI738,0)</f>
        <v>0</v>
      </c>
      <c r="AD738" s="5">
        <f>IF(AQ738="7",BH738,0)</f>
        <v>0</v>
      </c>
      <c r="AE738" s="5">
        <f>IF(AQ738="7",BI738,0)</f>
        <v>0</v>
      </c>
      <c r="AF738" s="5">
        <f>IF(AQ738="2",BH738,0)</f>
        <v>0</v>
      </c>
      <c r="AG738" s="5">
        <f>IF(AQ738="2",BI738,0)</f>
        <v>0</v>
      </c>
      <c r="AH738" s="5">
        <f>IF(AQ738="0",BJ738,0)</f>
        <v>0</v>
      </c>
      <c r="AI738" s="3" t="s">
        <v>1074</v>
      </c>
      <c r="AJ738" s="9">
        <f>IF(AN738=0,J738,0)</f>
        <v>0</v>
      </c>
      <c r="AK738" s="9">
        <f>IF(AN738=12,J738,0)</f>
        <v>0</v>
      </c>
      <c r="AL738" s="9">
        <f>IF(AN738=21,J738,0)</f>
        <v>0</v>
      </c>
      <c r="AN738" s="5">
        <v>21</v>
      </c>
      <c r="AO738" s="5">
        <f>G738*1</f>
        <v>0</v>
      </c>
      <c r="AP738" s="5">
        <f>G738*(1-1)</f>
        <v>0</v>
      </c>
      <c r="AQ738" s="10" t="s">
        <v>57</v>
      </c>
      <c r="AV738" s="5">
        <f>AW738+AX738</f>
        <v>0</v>
      </c>
      <c r="AW738" s="5">
        <f>F738*AO738</f>
        <v>0</v>
      </c>
      <c r="AX738" s="5">
        <f>F738*AP738</f>
        <v>0</v>
      </c>
      <c r="AY738" s="6" t="s">
        <v>1143</v>
      </c>
      <c r="AZ738" s="6" t="s">
        <v>1144</v>
      </c>
      <c r="BA738" s="3" t="s">
        <v>1081</v>
      </c>
      <c r="BC738" s="5">
        <f>AW738+AX738</f>
        <v>0</v>
      </c>
      <c r="BD738" s="5">
        <f>G738/(100-BE738)*100</f>
        <v>0</v>
      </c>
      <c r="BE738" s="5">
        <v>0</v>
      </c>
      <c r="BF738" s="5">
        <f>738</f>
        <v>738</v>
      </c>
      <c r="BH738" s="9">
        <f>F738*AO738</f>
        <v>0</v>
      </c>
      <c r="BI738" s="9">
        <f>F738*AP738</f>
        <v>0</v>
      </c>
      <c r="BJ738" s="9">
        <f>F738*G738</f>
        <v>0</v>
      </c>
      <c r="BK738" s="9"/>
      <c r="BL738" s="5">
        <v>89</v>
      </c>
      <c r="BW738" s="5">
        <v>21</v>
      </c>
      <c r="BX738" s="8" t="s">
        <v>1149</v>
      </c>
    </row>
    <row r="739" spans="1:76" x14ac:dyDescent="0.25">
      <c r="A739" s="154"/>
      <c r="B739" s="155"/>
      <c r="C739" s="159" t="s">
        <v>57</v>
      </c>
      <c r="D739" s="160" t="s">
        <v>52</v>
      </c>
      <c r="E739" s="155"/>
      <c r="F739" s="161">
        <v>1</v>
      </c>
      <c r="G739" s="155"/>
      <c r="H739" s="155"/>
      <c r="I739" s="155"/>
      <c r="J739" s="155"/>
      <c r="K739" s="162"/>
    </row>
    <row r="740" spans="1:76" ht="102" x14ac:dyDescent="0.25">
      <c r="A740" s="154"/>
      <c r="B740" s="163" t="s">
        <v>85</v>
      </c>
      <c r="C740" s="156" t="s">
        <v>1150</v>
      </c>
      <c r="D740" s="157"/>
      <c r="E740" s="157"/>
      <c r="F740" s="157"/>
      <c r="G740" s="157"/>
      <c r="H740" s="157"/>
      <c r="I740" s="157"/>
      <c r="J740" s="157"/>
      <c r="K740" s="158"/>
      <c r="BX740" s="11" t="s">
        <v>1150</v>
      </c>
    </row>
    <row r="741" spans="1:76" x14ac:dyDescent="0.25">
      <c r="A741" s="164" t="s">
        <v>1151</v>
      </c>
      <c r="B741" s="165" t="s">
        <v>1152</v>
      </c>
      <c r="C741" s="166" t="s">
        <v>1153</v>
      </c>
      <c r="D741" s="167"/>
      <c r="E741" s="165" t="s">
        <v>300</v>
      </c>
      <c r="F741" s="168">
        <v>1</v>
      </c>
      <c r="G741" s="168">
        <v>0</v>
      </c>
      <c r="H741" s="168">
        <f>F741*AO741</f>
        <v>0</v>
      </c>
      <c r="I741" s="168">
        <f>F741*AP741</f>
        <v>0</v>
      </c>
      <c r="J741" s="168">
        <f>F741*G741</f>
        <v>0</v>
      </c>
      <c r="K741" s="169" t="s">
        <v>70</v>
      </c>
      <c r="Z741" s="5">
        <f>IF(AQ741="5",BJ741,0)</f>
        <v>0</v>
      </c>
      <c r="AB741" s="5">
        <f>IF(AQ741="1",BH741,0)</f>
        <v>0</v>
      </c>
      <c r="AC741" s="5">
        <f>IF(AQ741="1",BI741,0)</f>
        <v>0</v>
      </c>
      <c r="AD741" s="5">
        <f>IF(AQ741="7",BH741,0)</f>
        <v>0</v>
      </c>
      <c r="AE741" s="5">
        <f>IF(AQ741="7",BI741,0)</f>
        <v>0</v>
      </c>
      <c r="AF741" s="5">
        <f>IF(AQ741="2",BH741,0)</f>
        <v>0</v>
      </c>
      <c r="AG741" s="5">
        <f>IF(AQ741="2",BI741,0)</f>
        <v>0</v>
      </c>
      <c r="AH741" s="5">
        <f>IF(AQ741="0",BJ741,0)</f>
        <v>0</v>
      </c>
      <c r="AI741" s="3" t="s">
        <v>1074</v>
      </c>
      <c r="AJ741" s="9">
        <f>IF(AN741=0,J741,0)</f>
        <v>0</v>
      </c>
      <c r="AK741" s="9">
        <f>IF(AN741=12,J741,0)</f>
        <v>0</v>
      </c>
      <c r="AL741" s="9">
        <f>IF(AN741=21,J741,0)</f>
        <v>0</v>
      </c>
      <c r="AN741" s="5">
        <v>21</v>
      </c>
      <c r="AO741" s="5">
        <f>G741*1</f>
        <v>0</v>
      </c>
      <c r="AP741" s="5">
        <f>G741*(1-1)</f>
        <v>0</v>
      </c>
      <c r="AQ741" s="10" t="s">
        <v>57</v>
      </c>
      <c r="AV741" s="5">
        <f>AW741+AX741</f>
        <v>0</v>
      </c>
      <c r="AW741" s="5">
        <f>F741*AO741</f>
        <v>0</v>
      </c>
      <c r="AX741" s="5">
        <f>F741*AP741</f>
        <v>0</v>
      </c>
      <c r="AY741" s="6" t="s">
        <v>1143</v>
      </c>
      <c r="AZ741" s="6" t="s">
        <v>1144</v>
      </c>
      <c r="BA741" s="3" t="s">
        <v>1081</v>
      </c>
      <c r="BC741" s="5">
        <f>AW741+AX741</f>
        <v>0</v>
      </c>
      <c r="BD741" s="5">
        <f>G741/(100-BE741)*100</f>
        <v>0</v>
      </c>
      <c r="BE741" s="5">
        <v>0</v>
      </c>
      <c r="BF741" s="5">
        <f>741</f>
        <v>741</v>
      </c>
      <c r="BH741" s="9">
        <f>F741*AO741</f>
        <v>0</v>
      </c>
      <c r="BI741" s="9">
        <f>F741*AP741</f>
        <v>0</v>
      </c>
      <c r="BJ741" s="9">
        <f>F741*G741</f>
        <v>0</v>
      </c>
      <c r="BK741" s="9"/>
      <c r="BL741" s="5">
        <v>89</v>
      </c>
      <c r="BW741" s="5">
        <v>21</v>
      </c>
      <c r="BX741" s="8" t="s">
        <v>1153</v>
      </c>
    </row>
    <row r="742" spans="1:76" x14ac:dyDescent="0.25">
      <c r="A742" s="154"/>
      <c r="B742" s="155"/>
      <c r="C742" s="159" t="s">
        <v>57</v>
      </c>
      <c r="D742" s="160" t="s">
        <v>52</v>
      </c>
      <c r="E742" s="155"/>
      <c r="F742" s="161">
        <v>1</v>
      </c>
      <c r="G742" s="155"/>
      <c r="H742" s="155"/>
      <c r="I742" s="155"/>
      <c r="J742" s="155"/>
      <c r="K742" s="162"/>
    </row>
    <row r="743" spans="1:76" ht="89.25" x14ac:dyDescent="0.25">
      <c r="A743" s="154"/>
      <c r="B743" s="163" t="s">
        <v>85</v>
      </c>
      <c r="C743" s="156" t="s">
        <v>1154</v>
      </c>
      <c r="D743" s="157"/>
      <c r="E743" s="157"/>
      <c r="F743" s="157"/>
      <c r="G743" s="157"/>
      <c r="H743" s="157"/>
      <c r="I743" s="157"/>
      <c r="J743" s="157"/>
      <c r="K743" s="158"/>
      <c r="BX743" s="11" t="s">
        <v>1154</v>
      </c>
    </row>
    <row r="744" spans="1:76" x14ac:dyDescent="0.25">
      <c r="A744" s="243" t="s">
        <v>1155</v>
      </c>
      <c r="B744" s="244" t="s">
        <v>1156</v>
      </c>
      <c r="C744" s="245" t="s">
        <v>1157</v>
      </c>
      <c r="D744" s="246"/>
      <c r="E744" s="244" t="s">
        <v>300</v>
      </c>
      <c r="F744" s="247">
        <v>0</v>
      </c>
      <c r="G744" s="247">
        <v>0</v>
      </c>
      <c r="H744" s="247">
        <f>F744*AO744</f>
        <v>0</v>
      </c>
      <c r="I744" s="247">
        <f>F744*AP744</f>
        <v>0</v>
      </c>
      <c r="J744" s="247">
        <f>F744*G744</f>
        <v>0</v>
      </c>
      <c r="K744" s="248" t="s">
        <v>70</v>
      </c>
      <c r="Z744" s="5">
        <f>IF(AQ744="5",BJ744,0)</f>
        <v>0</v>
      </c>
      <c r="AB744" s="5">
        <f>IF(AQ744="1",BH744,0)</f>
        <v>0</v>
      </c>
      <c r="AC744" s="5">
        <f>IF(AQ744="1",BI744,0)</f>
        <v>0</v>
      </c>
      <c r="AD744" s="5">
        <f>IF(AQ744="7",BH744,0)</f>
        <v>0</v>
      </c>
      <c r="AE744" s="5">
        <f>IF(AQ744="7",BI744,0)</f>
        <v>0</v>
      </c>
      <c r="AF744" s="5">
        <f>IF(AQ744="2",BH744,0)</f>
        <v>0</v>
      </c>
      <c r="AG744" s="5">
        <f>IF(AQ744="2",BI744,0)</f>
        <v>0</v>
      </c>
      <c r="AH744" s="5">
        <f>IF(AQ744="0",BJ744,0)</f>
        <v>0</v>
      </c>
      <c r="AI744" s="3" t="s">
        <v>1074</v>
      </c>
      <c r="AJ744" s="9">
        <f>IF(AN744=0,J744,0)</f>
        <v>0</v>
      </c>
      <c r="AK744" s="9">
        <f>IF(AN744=12,J744,0)</f>
        <v>0</v>
      </c>
      <c r="AL744" s="9">
        <f>IF(AN744=21,J744,0)</f>
        <v>0</v>
      </c>
      <c r="AN744" s="5">
        <v>21</v>
      </c>
      <c r="AO744" s="5">
        <f>G744*1</f>
        <v>0</v>
      </c>
      <c r="AP744" s="5">
        <f>G744*(1-1)</f>
        <v>0</v>
      </c>
      <c r="AQ744" s="10" t="s">
        <v>57</v>
      </c>
      <c r="AV744" s="5">
        <f>AW744+AX744</f>
        <v>0</v>
      </c>
      <c r="AW744" s="5">
        <f>F744*AO744</f>
        <v>0</v>
      </c>
      <c r="AX744" s="5">
        <f>F744*AP744</f>
        <v>0</v>
      </c>
      <c r="AY744" s="6" t="s">
        <v>1143</v>
      </c>
      <c r="AZ744" s="6" t="s">
        <v>1144</v>
      </c>
      <c r="BA744" s="3" t="s">
        <v>1081</v>
      </c>
      <c r="BC744" s="5">
        <f>AW744+AX744</f>
        <v>0</v>
      </c>
      <c r="BD744" s="5">
        <f>G744/(100-BE744)*100</f>
        <v>0</v>
      </c>
      <c r="BE744" s="5">
        <v>0</v>
      </c>
      <c r="BF744" s="5">
        <f>744</f>
        <v>744</v>
      </c>
      <c r="BH744" s="9">
        <f>F744*AO744</f>
        <v>0</v>
      </c>
      <c r="BI744" s="9">
        <f>F744*AP744</f>
        <v>0</v>
      </c>
      <c r="BJ744" s="9">
        <f>F744*G744</f>
        <v>0</v>
      </c>
      <c r="BK744" s="9"/>
      <c r="BL744" s="5">
        <v>89</v>
      </c>
      <c r="BW744" s="5">
        <v>21</v>
      </c>
      <c r="BX744" s="8" t="s">
        <v>1157</v>
      </c>
    </row>
    <row r="745" spans="1:76" x14ac:dyDescent="0.25">
      <c r="A745" s="155"/>
      <c r="B745" s="155"/>
      <c r="C745" s="155"/>
      <c r="D745" s="155"/>
      <c r="E745" s="155"/>
      <c r="F745" s="155"/>
      <c r="G745" s="155"/>
      <c r="H745" s="249" t="s">
        <v>1158</v>
      </c>
      <c r="I745" s="249"/>
      <c r="J745" s="250">
        <f>J13+J16+J35+J44+J75+J110+J189+J205+J229+J301+J390+J418+J422+J435+J438+J443+J451+J470+J503+J507+J522+J533+J543+J550+J555+J595+J697+J702+J710+J714+J720+J733</f>
        <v>0</v>
      </c>
      <c r="K745" s="155"/>
    </row>
    <row r="746" spans="1:76" x14ac:dyDescent="0.25">
      <c r="A746" s="251" t="s">
        <v>140</v>
      </c>
      <c r="B746" s="155"/>
      <c r="C746" s="155"/>
      <c r="D746" s="155"/>
      <c r="E746" s="155"/>
      <c r="F746" s="155"/>
      <c r="G746" s="155"/>
      <c r="H746" s="155"/>
      <c r="I746" s="155"/>
      <c r="J746" s="155"/>
      <c r="K746" s="155"/>
    </row>
    <row r="747" spans="1:76" ht="12.75" customHeight="1" x14ac:dyDescent="0.25">
      <c r="A747" s="116" t="s">
        <v>52</v>
      </c>
      <c r="B747" s="112"/>
      <c r="C747" s="112"/>
      <c r="D747" s="112"/>
      <c r="E747" s="112"/>
      <c r="F747" s="112"/>
      <c r="G747" s="112"/>
      <c r="H747" s="112"/>
      <c r="I747" s="112"/>
      <c r="J747" s="112"/>
      <c r="K747" s="112"/>
    </row>
  </sheetData>
  <mergeCells count="444">
    <mergeCell ref="C744:D744"/>
    <mergeCell ref="H745:I745"/>
    <mergeCell ref="A747:K747"/>
    <mergeCell ref="C737:K737"/>
    <mergeCell ref="C738:D738"/>
    <mergeCell ref="C740:K740"/>
    <mergeCell ref="C741:D741"/>
    <mergeCell ref="C743:K743"/>
    <mergeCell ref="C729:D729"/>
    <mergeCell ref="C731:D731"/>
    <mergeCell ref="C733:D733"/>
    <mergeCell ref="C734:D734"/>
    <mergeCell ref="C735:K735"/>
    <mergeCell ref="C721:D721"/>
    <mergeCell ref="C723:D723"/>
    <mergeCell ref="C725:K725"/>
    <mergeCell ref="C726:D726"/>
    <mergeCell ref="C728:K728"/>
    <mergeCell ref="C714:D714"/>
    <mergeCell ref="C715:D715"/>
    <mergeCell ref="C718:K718"/>
    <mergeCell ref="C719:D719"/>
    <mergeCell ref="C720:D720"/>
    <mergeCell ref="C706:D706"/>
    <mergeCell ref="C707:K707"/>
    <mergeCell ref="C709:K709"/>
    <mergeCell ref="C710:D710"/>
    <mergeCell ref="C711:D711"/>
    <mergeCell ref="C697:D697"/>
    <mergeCell ref="C698:D698"/>
    <mergeCell ref="C701:K701"/>
    <mergeCell ref="C702:D702"/>
    <mergeCell ref="C703:D703"/>
    <mergeCell ref="C689:D689"/>
    <mergeCell ref="C690:K690"/>
    <mergeCell ref="C692:D692"/>
    <mergeCell ref="C694:D694"/>
    <mergeCell ref="C696:D696"/>
    <mergeCell ref="C681:K681"/>
    <mergeCell ref="C683:D683"/>
    <mergeCell ref="C684:K684"/>
    <mergeCell ref="C686:D686"/>
    <mergeCell ref="C687:K687"/>
    <mergeCell ref="C674:D674"/>
    <mergeCell ref="C675:K675"/>
    <mergeCell ref="C677:D677"/>
    <mergeCell ref="C678:K678"/>
    <mergeCell ref="C680:D680"/>
    <mergeCell ref="C666:K666"/>
    <mergeCell ref="C668:D668"/>
    <mergeCell ref="C669:K669"/>
    <mergeCell ref="C671:D671"/>
    <mergeCell ref="C672:K672"/>
    <mergeCell ref="C659:D659"/>
    <mergeCell ref="C660:K660"/>
    <mergeCell ref="C662:D662"/>
    <mergeCell ref="C663:K663"/>
    <mergeCell ref="C665:D665"/>
    <mergeCell ref="C651:K651"/>
    <mergeCell ref="C653:D653"/>
    <mergeCell ref="C654:K654"/>
    <mergeCell ref="C656:D656"/>
    <mergeCell ref="C657:K657"/>
    <mergeCell ref="C644:D644"/>
    <mergeCell ref="C645:K645"/>
    <mergeCell ref="C647:D647"/>
    <mergeCell ref="C648:K648"/>
    <mergeCell ref="C650:D650"/>
    <mergeCell ref="C636:K636"/>
    <mergeCell ref="C638:D638"/>
    <mergeCell ref="C639:K639"/>
    <mergeCell ref="C641:D641"/>
    <mergeCell ref="C642:K642"/>
    <mergeCell ref="C629:D629"/>
    <mergeCell ref="C630:K630"/>
    <mergeCell ref="C632:D632"/>
    <mergeCell ref="C633:K633"/>
    <mergeCell ref="C635:D635"/>
    <mergeCell ref="C621:K621"/>
    <mergeCell ref="C623:D623"/>
    <mergeCell ref="C624:K624"/>
    <mergeCell ref="C626:D626"/>
    <mergeCell ref="C627:K627"/>
    <mergeCell ref="C614:D614"/>
    <mergeCell ref="C615:K615"/>
    <mergeCell ref="C617:D617"/>
    <mergeCell ref="C618:K618"/>
    <mergeCell ref="C620:D620"/>
    <mergeCell ref="C607:K607"/>
    <mergeCell ref="C609:K609"/>
    <mergeCell ref="C610:D610"/>
    <mergeCell ref="C611:K611"/>
    <mergeCell ref="C613:K613"/>
    <mergeCell ref="C600:D600"/>
    <mergeCell ref="C601:K601"/>
    <mergeCell ref="C603:D603"/>
    <mergeCell ref="C604:K604"/>
    <mergeCell ref="C606:D606"/>
    <mergeCell ref="C593:K593"/>
    <mergeCell ref="C595:D595"/>
    <mergeCell ref="C596:D596"/>
    <mergeCell ref="C597:K597"/>
    <mergeCell ref="C599:K599"/>
    <mergeCell ref="C586:D586"/>
    <mergeCell ref="C587:K587"/>
    <mergeCell ref="C589:D589"/>
    <mergeCell ref="C590:K590"/>
    <mergeCell ref="C592:D592"/>
    <mergeCell ref="C578:K578"/>
    <mergeCell ref="C580:D580"/>
    <mergeCell ref="C581:K581"/>
    <mergeCell ref="C583:D583"/>
    <mergeCell ref="C584:K584"/>
    <mergeCell ref="C571:D571"/>
    <mergeCell ref="C572:K572"/>
    <mergeCell ref="C574:D574"/>
    <mergeCell ref="C575:K575"/>
    <mergeCell ref="C577:D577"/>
    <mergeCell ref="C563:K563"/>
    <mergeCell ref="C565:D565"/>
    <mergeCell ref="C566:K566"/>
    <mergeCell ref="C568:D568"/>
    <mergeCell ref="C569:K569"/>
    <mergeCell ref="C556:D556"/>
    <mergeCell ref="C557:K557"/>
    <mergeCell ref="C559:D559"/>
    <mergeCell ref="C560:K560"/>
    <mergeCell ref="C562:D562"/>
    <mergeCell ref="C550:D550"/>
    <mergeCell ref="C551:D551"/>
    <mergeCell ref="C552:K552"/>
    <mergeCell ref="C554:K554"/>
    <mergeCell ref="C555:D555"/>
    <mergeCell ref="C543:D543"/>
    <mergeCell ref="C544:D544"/>
    <mergeCell ref="C546:D546"/>
    <mergeCell ref="C548:K548"/>
    <mergeCell ref="C549:D549"/>
    <mergeCell ref="C533:D533"/>
    <mergeCell ref="C534:D534"/>
    <mergeCell ref="C537:D537"/>
    <mergeCell ref="C540:K540"/>
    <mergeCell ref="C541:D541"/>
    <mergeCell ref="C526:K526"/>
    <mergeCell ref="C527:D527"/>
    <mergeCell ref="C528:K528"/>
    <mergeCell ref="C530:K530"/>
    <mergeCell ref="C531:D531"/>
    <mergeCell ref="C517:D517"/>
    <mergeCell ref="C520:D520"/>
    <mergeCell ref="C522:D522"/>
    <mergeCell ref="C523:D523"/>
    <mergeCell ref="C524:K524"/>
    <mergeCell ref="C508:D508"/>
    <mergeCell ref="C509:K509"/>
    <mergeCell ref="C512:K512"/>
    <mergeCell ref="C513:D513"/>
    <mergeCell ref="C516:K516"/>
    <mergeCell ref="C501:D501"/>
    <mergeCell ref="C503:D503"/>
    <mergeCell ref="C504:D504"/>
    <mergeCell ref="C506:D506"/>
    <mergeCell ref="C507:D507"/>
    <mergeCell ref="C491:D491"/>
    <mergeCell ref="C493:D493"/>
    <mergeCell ref="C495:D495"/>
    <mergeCell ref="C497:D497"/>
    <mergeCell ref="C499:D499"/>
    <mergeCell ref="C483:K483"/>
    <mergeCell ref="C484:D484"/>
    <mergeCell ref="C486:K486"/>
    <mergeCell ref="C487:D487"/>
    <mergeCell ref="C489:D489"/>
    <mergeCell ref="C475:D475"/>
    <mergeCell ref="C477:K477"/>
    <mergeCell ref="C478:D478"/>
    <mergeCell ref="C480:K480"/>
    <mergeCell ref="C481:D481"/>
    <mergeCell ref="C468:D468"/>
    <mergeCell ref="C470:D470"/>
    <mergeCell ref="C471:D471"/>
    <mergeCell ref="C472:K472"/>
    <mergeCell ref="C474:K474"/>
    <mergeCell ref="C453:K453"/>
    <mergeCell ref="C457:D457"/>
    <mergeCell ref="C461:K461"/>
    <mergeCell ref="C462:D462"/>
    <mergeCell ref="C467:K467"/>
    <mergeCell ref="C445:K445"/>
    <mergeCell ref="C449:K449"/>
    <mergeCell ref="C450:D450"/>
    <mergeCell ref="C451:D451"/>
    <mergeCell ref="C452:D452"/>
    <mergeCell ref="C439:D439"/>
    <mergeCell ref="C440:K440"/>
    <mergeCell ref="C442:D442"/>
    <mergeCell ref="C443:D443"/>
    <mergeCell ref="C444:D444"/>
    <mergeCell ref="C434:K434"/>
    <mergeCell ref="C435:D435"/>
    <mergeCell ref="C436:D436"/>
    <mergeCell ref="C437:K437"/>
    <mergeCell ref="C438:D438"/>
    <mergeCell ref="C418:D418"/>
    <mergeCell ref="C419:D419"/>
    <mergeCell ref="C421:K421"/>
    <mergeCell ref="C422:D422"/>
    <mergeCell ref="C423:D423"/>
    <mergeCell ref="C409:D409"/>
    <mergeCell ref="C412:K412"/>
    <mergeCell ref="C413:D413"/>
    <mergeCell ref="C415:K415"/>
    <mergeCell ref="C416:D416"/>
    <mergeCell ref="C401:D401"/>
    <mergeCell ref="C402:K402"/>
    <mergeCell ref="C404:K404"/>
    <mergeCell ref="C405:D405"/>
    <mergeCell ref="C408:K408"/>
    <mergeCell ref="C390:D390"/>
    <mergeCell ref="C391:D391"/>
    <mergeCell ref="C392:K392"/>
    <mergeCell ref="C394:D394"/>
    <mergeCell ref="C397:D397"/>
    <mergeCell ref="C382:D382"/>
    <mergeCell ref="C384:D384"/>
    <mergeCell ref="C385:K385"/>
    <mergeCell ref="C387:K387"/>
    <mergeCell ref="C388:D388"/>
    <mergeCell ref="C375:K375"/>
    <mergeCell ref="C376:D376"/>
    <mergeCell ref="C377:K377"/>
    <mergeCell ref="C379:D379"/>
    <mergeCell ref="C380:K380"/>
    <mergeCell ref="C368:D368"/>
    <mergeCell ref="C369:K369"/>
    <mergeCell ref="C371:K371"/>
    <mergeCell ref="C372:D372"/>
    <mergeCell ref="C373:K373"/>
    <mergeCell ref="C360:D360"/>
    <mergeCell ref="C362:K362"/>
    <mergeCell ref="C363:D363"/>
    <mergeCell ref="C365:K365"/>
    <mergeCell ref="C366:D366"/>
    <mergeCell ref="C351:D351"/>
    <mergeCell ref="C353:D353"/>
    <mergeCell ref="C355:D355"/>
    <mergeCell ref="C357:D357"/>
    <mergeCell ref="C359:K359"/>
    <mergeCell ref="C341:D341"/>
    <mergeCell ref="C343:D343"/>
    <mergeCell ref="C345:D345"/>
    <mergeCell ref="C347:D347"/>
    <mergeCell ref="C349:D349"/>
    <mergeCell ref="C332:D332"/>
    <mergeCell ref="C335:D335"/>
    <mergeCell ref="C336:K336"/>
    <mergeCell ref="C338:D338"/>
    <mergeCell ref="C339:K339"/>
    <mergeCell ref="C323:D323"/>
    <mergeCell ref="C324:K324"/>
    <mergeCell ref="C327:D327"/>
    <mergeCell ref="C328:K328"/>
    <mergeCell ref="C330:D330"/>
    <mergeCell ref="C313:K313"/>
    <mergeCell ref="C315:D315"/>
    <mergeCell ref="C318:D318"/>
    <mergeCell ref="C320:D320"/>
    <mergeCell ref="C321:K321"/>
    <mergeCell ref="C303:K303"/>
    <mergeCell ref="C305:D305"/>
    <mergeCell ref="C307:D307"/>
    <mergeCell ref="C308:K308"/>
    <mergeCell ref="C312:D312"/>
    <mergeCell ref="C285:D285"/>
    <mergeCell ref="C298:K298"/>
    <mergeCell ref="C299:D299"/>
    <mergeCell ref="C301:D301"/>
    <mergeCell ref="C302:D302"/>
    <mergeCell ref="C268:K268"/>
    <mergeCell ref="C269:D269"/>
    <mergeCell ref="C275:K275"/>
    <mergeCell ref="C276:D276"/>
    <mergeCell ref="C284:K284"/>
    <mergeCell ref="C258:K258"/>
    <mergeCell ref="C259:D259"/>
    <mergeCell ref="C260:K260"/>
    <mergeCell ref="C262:K262"/>
    <mergeCell ref="C263:D263"/>
    <mergeCell ref="C248:D248"/>
    <mergeCell ref="C251:D251"/>
    <mergeCell ref="C252:K252"/>
    <mergeCell ref="C254:K254"/>
    <mergeCell ref="C255:D255"/>
    <mergeCell ref="C236:D236"/>
    <mergeCell ref="C241:D241"/>
    <mergeCell ref="C242:K242"/>
    <mergeCell ref="C244:D244"/>
    <mergeCell ref="C245:K245"/>
    <mergeCell ref="C226:K226"/>
    <mergeCell ref="C227:D227"/>
    <mergeCell ref="C229:D229"/>
    <mergeCell ref="C230:D230"/>
    <mergeCell ref="C232:D232"/>
    <mergeCell ref="C216:K216"/>
    <mergeCell ref="C218:K218"/>
    <mergeCell ref="C219:D219"/>
    <mergeCell ref="C222:K222"/>
    <mergeCell ref="C223:D223"/>
    <mergeCell ref="C206:D206"/>
    <mergeCell ref="C209:D209"/>
    <mergeCell ref="C211:D211"/>
    <mergeCell ref="C214:K214"/>
    <mergeCell ref="C215:D215"/>
    <mergeCell ref="C193:D193"/>
    <mergeCell ref="C197:D197"/>
    <mergeCell ref="C202:D202"/>
    <mergeCell ref="C204:D204"/>
    <mergeCell ref="C205:D205"/>
    <mergeCell ref="C185:D185"/>
    <mergeCell ref="C187:D187"/>
    <mergeCell ref="C189:D189"/>
    <mergeCell ref="C190:D190"/>
    <mergeCell ref="C191:K191"/>
    <mergeCell ref="C174:D174"/>
    <mergeCell ref="C175:K175"/>
    <mergeCell ref="C178:D178"/>
    <mergeCell ref="C179:K179"/>
    <mergeCell ref="C183:D183"/>
    <mergeCell ref="C159:K159"/>
    <mergeCell ref="C162:D162"/>
    <mergeCell ref="C163:K163"/>
    <mergeCell ref="C167:D167"/>
    <mergeCell ref="C170:D170"/>
    <mergeCell ref="C151:D151"/>
    <mergeCell ref="C154:D154"/>
    <mergeCell ref="C155:K155"/>
    <mergeCell ref="C157:K157"/>
    <mergeCell ref="C158:D158"/>
    <mergeCell ref="C138:K138"/>
    <mergeCell ref="C140:D140"/>
    <mergeCell ref="C142:D142"/>
    <mergeCell ref="C145:D145"/>
    <mergeCell ref="C148:D148"/>
    <mergeCell ref="C129:D129"/>
    <mergeCell ref="C130:K130"/>
    <mergeCell ref="C132:D132"/>
    <mergeCell ref="C135:D135"/>
    <mergeCell ref="C137:D137"/>
    <mergeCell ref="C122:K122"/>
    <mergeCell ref="C124:K124"/>
    <mergeCell ref="C125:D125"/>
    <mergeCell ref="C126:K126"/>
    <mergeCell ref="C128:K128"/>
    <mergeCell ref="C114:K114"/>
    <mergeCell ref="C115:D115"/>
    <mergeCell ref="C117:D117"/>
    <mergeCell ref="C119:D119"/>
    <mergeCell ref="C121:D121"/>
    <mergeCell ref="C108:K108"/>
    <mergeCell ref="C109:D109"/>
    <mergeCell ref="C110:D110"/>
    <mergeCell ref="C111:D111"/>
    <mergeCell ref="C112:K112"/>
    <mergeCell ref="C93:D93"/>
    <mergeCell ref="C94:K94"/>
    <mergeCell ref="C96:D96"/>
    <mergeCell ref="C102:K102"/>
    <mergeCell ref="C103:D103"/>
    <mergeCell ref="C81:K81"/>
    <mergeCell ref="C84:D84"/>
    <mergeCell ref="C87:K87"/>
    <mergeCell ref="C88:D88"/>
    <mergeCell ref="C92:K92"/>
    <mergeCell ref="C74:D74"/>
    <mergeCell ref="C75:D75"/>
    <mergeCell ref="C76:D76"/>
    <mergeCell ref="C77:K77"/>
    <mergeCell ref="C80:D80"/>
    <mergeCell ref="C67:K67"/>
    <mergeCell ref="C68:D68"/>
    <mergeCell ref="C70:K70"/>
    <mergeCell ref="C71:D71"/>
    <mergeCell ref="C73:K73"/>
    <mergeCell ref="C57:K57"/>
    <mergeCell ref="C58:D58"/>
    <mergeCell ref="C59:K59"/>
    <mergeCell ref="C61:K61"/>
    <mergeCell ref="C62:D62"/>
    <mergeCell ref="C49:D49"/>
    <mergeCell ref="C51:K51"/>
    <mergeCell ref="C52:D52"/>
    <mergeCell ref="C54:K54"/>
    <mergeCell ref="C55:D55"/>
    <mergeCell ref="C43:D43"/>
    <mergeCell ref="C44:D44"/>
    <mergeCell ref="C45:D45"/>
    <mergeCell ref="C46:K46"/>
    <mergeCell ref="C47:D47"/>
    <mergeCell ref="C38:D38"/>
    <mergeCell ref="C39:D39"/>
    <mergeCell ref="C40:D40"/>
    <mergeCell ref="C41:D41"/>
    <mergeCell ref="C42:D42"/>
    <mergeCell ref="C26:D26"/>
    <mergeCell ref="C28:D28"/>
    <mergeCell ref="C35:D35"/>
    <mergeCell ref="C36:D36"/>
    <mergeCell ref="C37:D37"/>
    <mergeCell ref="C15:K15"/>
    <mergeCell ref="C16:D16"/>
    <mergeCell ref="C17:D17"/>
    <mergeCell ref="C18:K18"/>
    <mergeCell ref="C25:K25"/>
    <mergeCell ref="C11:D11"/>
    <mergeCell ref="H10:J10"/>
    <mergeCell ref="C12:D12"/>
    <mergeCell ref="C13:D13"/>
    <mergeCell ref="C14:D14"/>
    <mergeCell ref="I2:K3"/>
    <mergeCell ref="I4:K5"/>
    <mergeCell ref="I6:K7"/>
    <mergeCell ref="I8:K9"/>
    <mergeCell ref="C10:D10"/>
    <mergeCell ref="C8:D9"/>
    <mergeCell ref="G2:G3"/>
    <mergeCell ref="G4:G5"/>
    <mergeCell ref="G6:G7"/>
    <mergeCell ref="G8:G9"/>
    <mergeCell ref="A1:K1"/>
    <mergeCell ref="A2:B3"/>
    <mergeCell ref="A4:B5"/>
    <mergeCell ref="A6:B7"/>
    <mergeCell ref="A8:B9"/>
    <mergeCell ref="E2:F3"/>
    <mergeCell ref="E4:F5"/>
    <mergeCell ref="E6:F7"/>
    <mergeCell ref="E8:F9"/>
    <mergeCell ref="H2:H3"/>
    <mergeCell ref="H4:H5"/>
    <mergeCell ref="H6:H7"/>
    <mergeCell ref="H8:H9"/>
    <mergeCell ref="C2:D3"/>
    <mergeCell ref="C4:D5"/>
    <mergeCell ref="C6:D7"/>
  </mergeCells>
  <pageMargins left="0.393999993801117" right="0.393999993801117" top="0.59100002050399802" bottom="0.59100002050399802" header="0" footer="0"/>
  <pageSetup fitToHeight="0" orientation="landscape"/>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46" t="s">
        <v>1229</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15</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3" spans="1:9" ht="15.75" x14ac:dyDescent="0.25">
      <c r="A13" s="85" t="s">
        <v>1206</v>
      </c>
      <c r="B13" s="85"/>
      <c r="C13" s="85"/>
      <c r="D13" s="85"/>
      <c r="E13" s="85"/>
    </row>
    <row r="14" spans="1:9" x14ac:dyDescent="0.25">
      <c r="A14" s="86" t="s">
        <v>1207</v>
      </c>
      <c r="B14" s="87"/>
      <c r="C14" s="87"/>
      <c r="D14" s="87"/>
      <c r="E14" s="88"/>
      <c r="F14" s="25" t="s">
        <v>1208</v>
      </c>
      <c r="G14" s="25" t="s">
        <v>372</v>
      </c>
      <c r="H14" s="25" t="s">
        <v>1209</v>
      </c>
      <c r="I14" s="25" t="s">
        <v>1208</v>
      </c>
    </row>
    <row r="15" spans="1:9" x14ac:dyDescent="0.25">
      <c r="A15" s="89" t="s">
        <v>1174</v>
      </c>
      <c r="B15" s="90"/>
      <c r="C15" s="90"/>
      <c r="D15" s="90"/>
      <c r="E15" s="91"/>
      <c r="F15" s="26">
        <v>0</v>
      </c>
      <c r="G15" s="27" t="s">
        <v>52</v>
      </c>
      <c r="H15" s="27" t="s">
        <v>52</v>
      </c>
      <c r="I15" s="26">
        <f>F15</f>
        <v>0</v>
      </c>
    </row>
    <row r="16" spans="1:9" x14ac:dyDescent="0.25">
      <c r="A16" s="89" t="s">
        <v>1176</v>
      </c>
      <c r="B16" s="90"/>
      <c r="C16" s="90"/>
      <c r="D16" s="90"/>
      <c r="E16" s="91"/>
      <c r="F16" s="26">
        <v>0</v>
      </c>
      <c r="G16" s="27" t="s">
        <v>52</v>
      </c>
      <c r="H16" s="27" t="s">
        <v>52</v>
      </c>
      <c r="I16" s="26">
        <f>F16</f>
        <v>0</v>
      </c>
    </row>
    <row r="17" spans="1:9" x14ac:dyDescent="0.25">
      <c r="A17" s="92" t="s">
        <v>1179</v>
      </c>
      <c r="B17" s="93"/>
      <c r="C17" s="93"/>
      <c r="D17" s="93"/>
      <c r="E17" s="94"/>
      <c r="F17" s="28">
        <v>0</v>
      </c>
      <c r="G17" s="29" t="s">
        <v>52</v>
      </c>
      <c r="H17" s="29" t="s">
        <v>52</v>
      </c>
      <c r="I17" s="28">
        <f>F17</f>
        <v>0</v>
      </c>
    </row>
    <row r="18" spans="1:9" x14ac:dyDescent="0.25">
      <c r="A18" s="95" t="s">
        <v>1210</v>
      </c>
      <c r="B18" s="96"/>
      <c r="C18" s="96"/>
      <c r="D18" s="96"/>
      <c r="E18" s="97"/>
      <c r="F18" s="30" t="s">
        <v>52</v>
      </c>
      <c r="G18" s="31" t="s">
        <v>52</v>
      </c>
      <c r="H18" s="31" t="s">
        <v>52</v>
      </c>
      <c r="I18" s="32">
        <f>SUM(I15:I17)</f>
        <v>0</v>
      </c>
    </row>
    <row r="20" spans="1:9" x14ac:dyDescent="0.25">
      <c r="A20" s="86" t="s">
        <v>1171</v>
      </c>
      <c r="B20" s="87"/>
      <c r="C20" s="87"/>
      <c r="D20" s="87"/>
      <c r="E20" s="88"/>
      <c r="F20" s="25" t="s">
        <v>1208</v>
      </c>
      <c r="G20" s="25" t="s">
        <v>372</v>
      </c>
      <c r="H20" s="25" t="s">
        <v>1209</v>
      </c>
      <c r="I20" s="25" t="s">
        <v>1208</v>
      </c>
    </row>
    <row r="21" spans="1:9" x14ac:dyDescent="0.25">
      <c r="A21" s="89" t="s">
        <v>1175</v>
      </c>
      <c r="B21" s="90"/>
      <c r="C21" s="90"/>
      <c r="D21" s="90"/>
      <c r="E21" s="91"/>
      <c r="F21" s="26">
        <v>0</v>
      </c>
      <c r="G21" s="27" t="s">
        <v>52</v>
      </c>
      <c r="H21" s="27" t="s">
        <v>52</v>
      </c>
      <c r="I21" s="26">
        <f t="shared" ref="I21:I26" si="0">F21</f>
        <v>0</v>
      </c>
    </row>
    <row r="22" spans="1:9" x14ac:dyDescent="0.25">
      <c r="A22" s="89" t="s">
        <v>1177</v>
      </c>
      <c r="B22" s="90"/>
      <c r="C22" s="90"/>
      <c r="D22" s="90"/>
      <c r="E22" s="91"/>
      <c r="F22" s="26">
        <v>0</v>
      </c>
      <c r="G22" s="27" t="s">
        <v>52</v>
      </c>
      <c r="H22" s="27" t="s">
        <v>52</v>
      </c>
      <c r="I22" s="26">
        <f t="shared" si="0"/>
        <v>0</v>
      </c>
    </row>
    <row r="23" spans="1:9" x14ac:dyDescent="0.25">
      <c r="A23" s="89" t="s">
        <v>1180</v>
      </c>
      <c r="B23" s="90"/>
      <c r="C23" s="90"/>
      <c r="D23" s="90"/>
      <c r="E23" s="91"/>
      <c r="F23" s="26">
        <v>0</v>
      </c>
      <c r="G23" s="27" t="s">
        <v>52</v>
      </c>
      <c r="H23" s="27" t="s">
        <v>52</v>
      </c>
      <c r="I23" s="26">
        <f t="shared" si="0"/>
        <v>0</v>
      </c>
    </row>
    <row r="24" spans="1:9" x14ac:dyDescent="0.25">
      <c r="A24" s="89" t="s">
        <v>1181</v>
      </c>
      <c r="B24" s="90"/>
      <c r="C24" s="90"/>
      <c r="D24" s="90"/>
      <c r="E24" s="91"/>
      <c r="F24" s="26">
        <v>0</v>
      </c>
      <c r="G24" s="27" t="s">
        <v>52</v>
      </c>
      <c r="H24" s="27" t="s">
        <v>52</v>
      </c>
      <c r="I24" s="26">
        <f t="shared" si="0"/>
        <v>0</v>
      </c>
    </row>
    <row r="25" spans="1:9" x14ac:dyDescent="0.25">
      <c r="A25" s="89" t="s">
        <v>1183</v>
      </c>
      <c r="B25" s="90"/>
      <c r="C25" s="90"/>
      <c r="D25" s="90"/>
      <c r="E25" s="91"/>
      <c r="F25" s="26">
        <v>0</v>
      </c>
      <c r="G25" s="27" t="s">
        <v>52</v>
      </c>
      <c r="H25" s="27" t="s">
        <v>52</v>
      </c>
      <c r="I25" s="26">
        <f t="shared" si="0"/>
        <v>0</v>
      </c>
    </row>
    <row r="26" spans="1:9" x14ac:dyDescent="0.25">
      <c r="A26" s="92" t="s">
        <v>1184</v>
      </c>
      <c r="B26" s="93"/>
      <c r="C26" s="93"/>
      <c r="D26" s="93"/>
      <c r="E26" s="94"/>
      <c r="F26" s="28">
        <v>0</v>
      </c>
      <c r="G26" s="29" t="s">
        <v>52</v>
      </c>
      <c r="H26" s="29" t="s">
        <v>52</v>
      </c>
      <c r="I26" s="28">
        <f t="shared" si="0"/>
        <v>0</v>
      </c>
    </row>
    <row r="27" spans="1:9" x14ac:dyDescent="0.25">
      <c r="A27" s="95" t="s">
        <v>1211</v>
      </c>
      <c r="B27" s="96"/>
      <c r="C27" s="96"/>
      <c r="D27" s="96"/>
      <c r="E27" s="97"/>
      <c r="F27" s="30" t="s">
        <v>52</v>
      </c>
      <c r="G27" s="31" t="s">
        <v>52</v>
      </c>
      <c r="H27" s="31" t="s">
        <v>52</v>
      </c>
      <c r="I27" s="32">
        <f>SUM(I21:I26)</f>
        <v>0</v>
      </c>
    </row>
    <row r="29" spans="1:9" ht="15.75" x14ac:dyDescent="0.25">
      <c r="A29" s="98" t="s">
        <v>1212</v>
      </c>
      <c r="B29" s="99"/>
      <c r="C29" s="99"/>
      <c r="D29" s="99"/>
      <c r="E29" s="100"/>
      <c r="F29" s="101">
        <f>I18+I27</f>
        <v>0</v>
      </c>
      <c r="G29" s="102"/>
      <c r="H29" s="102"/>
      <c r="I29" s="103"/>
    </row>
    <row r="33" spans="1:9" ht="15.75" x14ac:dyDescent="0.25">
      <c r="A33" s="85" t="s">
        <v>1213</v>
      </c>
      <c r="B33" s="85"/>
      <c r="C33" s="85"/>
      <c r="D33" s="85"/>
      <c r="E33" s="85"/>
    </row>
    <row r="34" spans="1:9" x14ac:dyDescent="0.25">
      <c r="A34" s="86" t="s">
        <v>1214</v>
      </c>
      <c r="B34" s="87"/>
      <c r="C34" s="87"/>
      <c r="D34" s="87"/>
      <c r="E34" s="88"/>
      <c r="F34" s="25" t="s">
        <v>1208</v>
      </c>
      <c r="G34" s="25" t="s">
        <v>372</v>
      </c>
      <c r="H34" s="25" t="s">
        <v>1209</v>
      </c>
      <c r="I34" s="25" t="s">
        <v>1208</v>
      </c>
    </row>
    <row r="35" spans="1:9" x14ac:dyDescent="0.25">
      <c r="A35" s="92" t="s">
        <v>52</v>
      </c>
      <c r="B35" s="93"/>
      <c r="C35" s="93"/>
      <c r="D35" s="93"/>
      <c r="E35" s="94"/>
      <c r="F35" s="28">
        <v>0</v>
      </c>
      <c r="G35" s="29" t="s">
        <v>52</v>
      </c>
      <c r="H35" s="29" t="s">
        <v>52</v>
      </c>
      <c r="I35" s="28">
        <f>F35</f>
        <v>0</v>
      </c>
    </row>
    <row r="36" spans="1:9" x14ac:dyDescent="0.25">
      <c r="A36" s="95" t="s">
        <v>1215</v>
      </c>
      <c r="B36" s="96"/>
      <c r="C36" s="96"/>
      <c r="D36" s="96"/>
      <c r="E36" s="97"/>
      <c r="F36" s="30" t="s">
        <v>52</v>
      </c>
      <c r="G36" s="31" t="s">
        <v>52</v>
      </c>
      <c r="H36" s="31" t="s">
        <v>52</v>
      </c>
      <c r="I36" s="32">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46" t="s">
        <v>1205</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217</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3" spans="1:9" ht="15.75" x14ac:dyDescent="0.25">
      <c r="A13" s="85" t="s">
        <v>1206</v>
      </c>
      <c r="B13" s="85"/>
      <c r="C13" s="85"/>
      <c r="D13" s="85"/>
      <c r="E13" s="85"/>
    </row>
    <row r="14" spans="1:9" x14ac:dyDescent="0.25">
      <c r="A14" s="86" t="s">
        <v>1207</v>
      </c>
      <c r="B14" s="87"/>
      <c r="C14" s="87"/>
      <c r="D14" s="87"/>
      <c r="E14" s="88"/>
      <c r="F14" s="25" t="s">
        <v>1208</v>
      </c>
      <c r="G14" s="25" t="s">
        <v>372</v>
      </c>
      <c r="H14" s="25" t="s">
        <v>1209</v>
      </c>
      <c r="I14" s="25" t="s">
        <v>1208</v>
      </c>
    </row>
    <row r="15" spans="1:9" x14ac:dyDescent="0.25">
      <c r="A15" s="89" t="s">
        <v>1174</v>
      </c>
      <c r="B15" s="90"/>
      <c r="C15" s="90"/>
      <c r="D15" s="90"/>
      <c r="E15" s="91"/>
      <c r="F15" s="26">
        <v>0</v>
      </c>
      <c r="G15" s="27" t="s">
        <v>52</v>
      </c>
      <c r="H15" s="27" t="s">
        <v>52</v>
      </c>
      <c r="I15" s="26">
        <f>F15</f>
        <v>0</v>
      </c>
    </row>
    <row r="16" spans="1:9" x14ac:dyDescent="0.25">
      <c r="A16" s="89" t="s">
        <v>1176</v>
      </c>
      <c r="B16" s="90"/>
      <c r="C16" s="90"/>
      <c r="D16" s="90"/>
      <c r="E16" s="91"/>
      <c r="F16" s="26">
        <v>0</v>
      </c>
      <c r="G16" s="27" t="s">
        <v>52</v>
      </c>
      <c r="H16" s="27" t="s">
        <v>52</v>
      </c>
      <c r="I16" s="26">
        <f>F16</f>
        <v>0</v>
      </c>
    </row>
    <row r="17" spans="1:9" x14ac:dyDescent="0.25">
      <c r="A17" s="92" t="s">
        <v>1179</v>
      </c>
      <c r="B17" s="93"/>
      <c r="C17" s="93"/>
      <c r="D17" s="93"/>
      <c r="E17" s="94"/>
      <c r="F17" s="28">
        <v>0</v>
      </c>
      <c r="G17" s="29" t="s">
        <v>52</v>
      </c>
      <c r="H17" s="29" t="s">
        <v>52</v>
      </c>
      <c r="I17" s="28">
        <f>F17</f>
        <v>0</v>
      </c>
    </row>
    <row r="18" spans="1:9" x14ac:dyDescent="0.25">
      <c r="A18" s="95" t="s">
        <v>1210</v>
      </c>
      <c r="B18" s="96"/>
      <c r="C18" s="96"/>
      <c r="D18" s="96"/>
      <c r="E18" s="97"/>
      <c r="F18" s="30" t="s">
        <v>52</v>
      </c>
      <c r="G18" s="31" t="s">
        <v>52</v>
      </c>
      <c r="H18" s="31" t="s">
        <v>52</v>
      </c>
      <c r="I18" s="32">
        <f>SUM(I15:I17)</f>
        <v>0</v>
      </c>
    </row>
    <row r="20" spans="1:9" x14ac:dyDescent="0.25">
      <c r="A20" s="86" t="s">
        <v>1171</v>
      </c>
      <c r="B20" s="87"/>
      <c r="C20" s="87"/>
      <c r="D20" s="87"/>
      <c r="E20" s="88"/>
      <c r="F20" s="25" t="s">
        <v>1208</v>
      </c>
      <c r="G20" s="25" t="s">
        <v>372</v>
      </c>
      <c r="H20" s="25" t="s">
        <v>1209</v>
      </c>
      <c r="I20" s="25" t="s">
        <v>1208</v>
      </c>
    </row>
    <row r="21" spans="1:9" x14ac:dyDescent="0.25">
      <c r="A21" s="89" t="s">
        <v>1175</v>
      </c>
      <c r="B21" s="90"/>
      <c r="C21" s="90"/>
      <c r="D21" s="90"/>
      <c r="E21" s="91"/>
      <c r="F21" s="26">
        <v>0</v>
      </c>
      <c r="G21" s="27" t="s">
        <v>52</v>
      </c>
      <c r="H21" s="27" t="s">
        <v>52</v>
      </c>
      <c r="I21" s="26">
        <f t="shared" ref="I21:I26" si="0">F21</f>
        <v>0</v>
      </c>
    </row>
    <row r="22" spans="1:9" x14ac:dyDescent="0.25">
      <c r="A22" s="89" t="s">
        <v>1177</v>
      </c>
      <c r="B22" s="90"/>
      <c r="C22" s="90"/>
      <c r="D22" s="90"/>
      <c r="E22" s="91"/>
      <c r="F22" s="26">
        <v>0</v>
      </c>
      <c r="G22" s="27" t="s">
        <v>52</v>
      </c>
      <c r="H22" s="27" t="s">
        <v>52</v>
      </c>
      <c r="I22" s="26">
        <f t="shared" si="0"/>
        <v>0</v>
      </c>
    </row>
    <row r="23" spans="1:9" x14ac:dyDescent="0.25">
      <c r="A23" s="89" t="s">
        <v>1180</v>
      </c>
      <c r="B23" s="90"/>
      <c r="C23" s="90"/>
      <c r="D23" s="90"/>
      <c r="E23" s="91"/>
      <c r="F23" s="26">
        <v>0</v>
      </c>
      <c r="G23" s="27" t="s">
        <v>52</v>
      </c>
      <c r="H23" s="27" t="s">
        <v>52</v>
      </c>
      <c r="I23" s="26">
        <f t="shared" si="0"/>
        <v>0</v>
      </c>
    </row>
    <row r="24" spans="1:9" x14ac:dyDescent="0.25">
      <c r="A24" s="89" t="s">
        <v>1181</v>
      </c>
      <c r="B24" s="90"/>
      <c r="C24" s="90"/>
      <c r="D24" s="90"/>
      <c r="E24" s="91"/>
      <c r="F24" s="26">
        <v>0</v>
      </c>
      <c r="G24" s="27" t="s">
        <v>52</v>
      </c>
      <c r="H24" s="27" t="s">
        <v>52</v>
      </c>
      <c r="I24" s="26">
        <f t="shared" si="0"/>
        <v>0</v>
      </c>
    </row>
    <row r="25" spans="1:9" x14ac:dyDescent="0.25">
      <c r="A25" s="89" t="s">
        <v>1183</v>
      </c>
      <c r="B25" s="90"/>
      <c r="C25" s="90"/>
      <c r="D25" s="90"/>
      <c r="E25" s="91"/>
      <c r="F25" s="26">
        <v>0</v>
      </c>
      <c r="G25" s="27" t="s">
        <v>52</v>
      </c>
      <c r="H25" s="27" t="s">
        <v>52</v>
      </c>
      <c r="I25" s="26">
        <f t="shared" si="0"/>
        <v>0</v>
      </c>
    </row>
    <row r="26" spans="1:9" x14ac:dyDescent="0.25">
      <c r="A26" s="92" t="s">
        <v>1184</v>
      </c>
      <c r="B26" s="93"/>
      <c r="C26" s="93"/>
      <c r="D26" s="93"/>
      <c r="E26" s="94"/>
      <c r="F26" s="28">
        <v>0</v>
      </c>
      <c r="G26" s="29" t="s">
        <v>52</v>
      </c>
      <c r="H26" s="29" t="s">
        <v>52</v>
      </c>
      <c r="I26" s="28">
        <f t="shared" si="0"/>
        <v>0</v>
      </c>
    </row>
    <row r="27" spans="1:9" x14ac:dyDescent="0.25">
      <c r="A27" s="95" t="s">
        <v>1211</v>
      </c>
      <c r="B27" s="96"/>
      <c r="C27" s="96"/>
      <c r="D27" s="96"/>
      <c r="E27" s="97"/>
      <c r="F27" s="30" t="s">
        <v>52</v>
      </c>
      <c r="G27" s="31" t="s">
        <v>52</v>
      </c>
      <c r="H27" s="31" t="s">
        <v>52</v>
      </c>
      <c r="I27" s="32">
        <f>SUM(I21:I26)</f>
        <v>0</v>
      </c>
    </row>
    <row r="29" spans="1:9" ht="15.75" x14ac:dyDescent="0.25">
      <c r="A29" s="98" t="s">
        <v>1212</v>
      </c>
      <c r="B29" s="99"/>
      <c r="C29" s="99"/>
      <c r="D29" s="99"/>
      <c r="E29" s="100"/>
      <c r="F29" s="101">
        <f>I18+I27</f>
        <v>0</v>
      </c>
      <c r="G29" s="102"/>
      <c r="H29" s="102"/>
      <c r="I29" s="103"/>
    </row>
    <row r="33" spans="1:9" ht="15.75" x14ac:dyDescent="0.25">
      <c r="A33" s="85" t="s">
        <v>1213</v>
      </c>
      <c r="B33" s="85"/>
      <c r="C33" s="85"/>
      <c r="D33" s="85"/>
      <c r="E33" s="85"/>
    </row>
    <row r="34" spans="1:9" x14ac:dyDescent="0.25">
      <c r="A34" s="86" t="s">
        <v>1214</v>
      </c>
      <c r="B34" s="87"/>
      <c r="C34" s="87"/>
      <c r="D34" s="87"/>
      <c r="E34" s="88"/>
      <c r="F34" s="25" t="s">
        <v>1208</v>
      </c>
      <c r="G34" s="25" t="s">
        <v>372</v>
      </c>
      <c r="H34" s="25" t="s">
        <v>1209</v>
      </c>
      <c r="I34" s="25" t="s">
        <v>1208</v>
      </c>
    </row>
    <row r="35" spans="1:9" x14ac:dyDescent="0.25">
      <c r="A35" s="92" t="s">
        <v>52</v>
      </c>
      <c r="B35" s="93"/>
      <c r="C35" s="93"/>
      <c r="D35" s="93"/>
      <c r="E35" s="94"/>
      <c r="F35" s="28">
        <v>0</v>
      </c>
      <c r="G35" s="29" t="s">
        <v>52</v>
      </c>
      <c r="H35" s="29" t="s">
        <v>52</v>
      </c>
      <c r="I35" s="28">
        <f>F35</f>
        <v>0</v>
      </c>
    </row>
    <row r="36" spans="1:9" x14ac:dyDescent="0.25">
      <c r="A36" s="95" t="s">
        <v>1215</v>
      </c>
      <c r="B36" s="96"/>
      <c r="C36" s="96"/>
      <c r="D36" s="96"/>
      <c r="E36" s="97"/>
      <c r="F36" s="30" t="s">
        <v>52</v>
      </c>
      <c r="G36" s="31" t="s">
        <v>52</v>
      </c>
      <c r="H36" s="31" t="s">
        <v>52</v>
      </c>
      <c r="I36" s="32">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46" t="s">
        <v>1216</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21</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2" spans="1:9" ht="23.25" x14ac:dyDescent="0.25">
      <c r="A12" s="52" t="s">
        <v>1165</v>
      </c>
      <c r="B12" s="52"/>
      <c r="C12" s="52"/>
      <c r="D12" s="52"/>
      <c r="E12" s="52"/>
      <c r="F12" s="52"/>
      <c r="G12" s="52"/>
      <c r="H12" s="52"/>
      <c r="I12" s="52"/>
    </row>
    <row r="13" spans="1:9" ht="26.25" customHeight="1" x14ac:dyDescent="0.25">
      <c r="A13" s="12" t="s">
        <v>1166</v>
      </c>
      <c r="B13" s="53" t="s">
        <v>1167</v>
      </c>
      <c r="C13" s="54"/>
      <c r="D13" s="13" t="s">
        <v>1168</v>
      </c>
      <c r="E13" s="53" t="s">
        <v>1169</v>
      </c>
      <c r="F13" s="54"/>
      <c r="G13" s="13" t="s">
        <v>1170</v>
      </c>
      <c r="H13" s="53" t="s">
        <v>1171</v>
      </c>
      <c r="I13" s="54"/>
    </row>
    <row r="14" spans="1:9" ht="15.75" x14ac:dyDescent="0.25">
      <c r="A14" s="14" t="s">
        <v>1172</v>
      </c>
      <c r="B14" s="15" t="s">
        <v>1173</v>
      </c>
      <c r="C14" s="16">
        <f>SUMIF('Stavební rozpočet'!AI12:AI744,"00",'Stavební rozpočet'!AB12:AB744)</f>
        <v>0</v>
      </c>
      <c r="D14" s="61" t="s">
        <v>1174</v>
      </c>
      <c r="E14" s="62"/>
      <c r="F14" s="16">
        <f>'VORN objektu (00)'!I15</f>
        <v>0</v>
      </c>
      <c r="G14" s="61" t="s">
        <v>1175</v>
      </c>
      <c r="H14" s="62"/>
      <c r="I14" s="17">
        <f>'VORN objektu (00)'!I21</f>
        <v>0</v>
      </c>
    </row>
    <row r="15" spans="1:9" ht="15.75" x14ac:dyDescent="0.25">
      <c r="A15" s="18" t="s">
        <v>52</v>
      </c>
      <c r="B15" s="15" t="s">
        <v>37</v>
      </c>
      <c r="C15" s="16">
        <f>SUMIF('Stavební rozpočet'!AI12:AI744,"00",'Stavební rozpočet'!AC12:AC744)</f>
        <v>0</v>
      </c>
      <c r="D15" s="61" t="s">
        <v>1176</v>
      </c>
      <c r="E15" s="62"/>
      <c r="F15" s="16">
        <f>'VORN objektu (00)'!I16</f>
        <v>0</v>
      </c>
      <c r="G15" s="61" t="s">
        <v>1177</v>
      </c>
      <c r="H15" s="62"/>
      <c r="I15" s="17">
        <f>'VORN objektu (00)'!I22</f>
        <v>0</v>
      </c>
    </row>
    <row r="16" spans="1:9" ht="15.75" x14ac:dyDescent="0.25">
      <c r="A16" s="14" t="s">
        <v>1178</v>
      </c>
      <c r="B16" s="15" t="s">
        <v>1173</v>
      </c>
      <c r="C16" s="16">
        <f>SUMIF('Stavební rozpočet'!AI12:AI744,"00",'Stavební rozpočet'!AD12:AD744)</f>
        <v>0</v>
      </c>
      <c r="D16" s="61" t="s">
        <v>1179</v>
      </c>
      <c r="E16" s="62"/>
      <c r="F16" s="16">
        <f>'VORN objektu (00)'!I17</f>
        <v>0</v>
      </c>
      <c r="G16" s="61" t="s">
        <v>1180</v>
      </c>
      <c r="H16" s="62"/>
      <c r="I16" s="17">
        <f>'VORN objektu (00)'!I23</f>
        <v>0</v>
      </c>
    </row>
    <row r="17" spans="1:9" ht="15.75" x14ac:dyDescent="0.25">
      <c r="A17" s="18" t="s">
        <v>52</v>
      </c>
      <c r="B17" s="15" t="s">
        <v>37</v>
      </c>
      <c r="C17" s="16">
        <f>SUMIF('Stavební rozpočet'!AI12:AI744,"00",'Stavební rozpočet'!AE12:AE744)</f>
        <v>0</v>
      </c>
      <c r="D17" s="61" t="s">
        <v>52</v>
      </c>
      <c r="E17" s="62"/>
      <c r="F17" s="17" t="s">
        <v>52</v>
      </c>
      <c r="G17" s="61" t="s">
        <v>1181</v>
      </c>
      <c r="H17" s="62"/>
      <c r="I17" s="17">
        <f>'VORN objektu (00)'!I24</f>
        <v>0</v>
      </c>
    </row>
    <row r="18" spans="1:9" ht="15.75" x14ac:dyDescent="0.25">
      <c r="A18" s="14" t="s">
        <v>1182</v>
      </c>
      <c r="B18" s="15" t="s">
        <v>1173</v>
      </c>
      <c r="C18" s="16">
        <f>SUMIF('Stavební rozpočet'!AI12:AI744,"00",'Stavební rozpočet'!AF12:AF744)</f>
        <v>0</v>
      </c>
      <c r="D18" s="61" t="s">
        <v>52</v>
      </c>
      <c r="E18" s="62"/>
      <c r="F18" s="17" t="s">
        <v>52</v>
      </c>
      <c r="G18" s="61" t="s">
        <v>1183</v>
      </c>
      <c r="H18" s="62"/>
      <c r="I18" s="17">
        <f>'VORN objektu (00)'!I25</f>
        <v>0</v>
      </c>
    </row>
    <row r="19" spans="1:9" ht="15.75" x14ac:dyDescent="0.25">
      <c r="A19" s="18" t="s">
        <v>52</v>
      </c>
      <c r="B19" s="15" t="s">
        <v>37</v>
      </c>
      <c r="C19" s="16">
        <f>SUMIF('Stavební rozpočet'!AI12:AI744,"00",'Stavební rozpočet'!AG12:AG744)</f>
        <v>0</v>
      </c>
      <c r="D19" s="61" t="s">
        <v>52</v>
      </c>
      <c r="E19" s="62"/>
      <c r="F19" s="17" t="s">
        <v>52</v>
      </c>
      <c r="G19" s="61" t="s">
        <v>1184</v>
      </c>
      <c r="H19" s="62"/>
      <c r="I19" s="17">
        <f>'VORN objektu (00)'!I26</f>
        <v>0</v>
      </c>
    </row>
    <row r="20" spans="1:9" ht="15.75" x14ac:dyDescent="0.25">
      <c r="A20" s="55" t="s">
        <v>1185</v>
      </c>
      <c r="B20" s="56"/>
      <c r="C20" s="16">
        <f>SUMIF('Stavební rozpočet'!AI12:AI744,"00",'Stavební rozpočet'!AH12:AH744)</f>
        <v>0</v>
      </c>
      <c r="D20" s="61" t="s">
        <v>52</v>
      </c>
      <c r="E20" s="62"/>
      <c r="F20" s="17" t="s">
        <v>52</v>
      </c>
      <c r="G20" s="61" t="s">
        <v>52</v>
      </c>
      <c r="H20" s="62"/>
      <c r="I20" s="17" t="s">
        <v>52</v>
      </c>
    </row>
    <row r="21" spans="1:9" ht="15.75" x14ac:dyDescent="0.25">
      <c r="A21" s="57" t="s">
        <v>1186</v>
      </c>
      <c r="B21" s="58"/>
      <c r="C21" s="16">
        <f>SUMIF('Stavební rozpočet'!AI12:AI744,"00",'Stavební rozpočet'!Z12:Z744)</f>
        <v>0</v>
      </c>
      <c r="D21" s="63" t="s">
        <v>52</v>
      </c>
      <c r="E21" s="64"/>
      <c r="F21" s="20" t="s">
        <v>52</v>
      </c>
      <c r="G21" s="63" t="s">
        <v>52</v>
      </c>
      <c r="H21" s="64"/>
      <c r="I21" s="20" t="s">
        <v>52</v>
      </c>
    </row>
    <row r="22" spans="1:9" ht="16.5" customHeight="1" x14ac:dyDescent="0.25">
      <c r="A22" s="59" t="s">
        <v>1187</v>
      </c>
      <c r="B22" s="60"/>
      <c r="C22" s="16">
        <f>SUM(C14:C21)</f>
        <v>0</v>
      </c>
      <c r="D22" s="65" t="s">
        <v>1188</v>
      </c>
      <c r="E22" s="60"/>
      <c r="F22" s="21">
        <f>SUM(F14:F21)</f>
        <v>0</v>
      </c>
      <c r="G22" s="65" t="s">
        <v>1189</v>
      </c>
      <c r="H22" s="60"/>
      <c r="I22" s="21">
        <f>SUM(I14:I21)</f>
        <v>0</v>
      </c>
    </row>
    <row r="23" spans="1:9" ht="15.75" x14ac:dyDescent="0.25">
      <c r="G23" s="55" t="s">
        <v>1192</v>
      </c>
      <c r="H23" s="56"/>
      <c r="I23" s="16">
        <f>'VORN objektu (00)'!I36</f>
        <v>0</v>
      </c>
    </row>
    <row r="25" spans="1:9" ht="15.75" x14ac:dyDescent="0.25">
      <c r="A25" s="67" t="s">
        <v>1194</v>
      </c>
      <c r="B25" s="68"/>
      <c r="C25" s="22">
        <f>('Stavební rozpočet'!AS13+'Stavební rozpočet'!AS16+'Stavební rozpočet'!AS35+'Stavební rozpočet'!AS44)</f>
        <v>0</v>
      </c>
    </row>
    <row r="26" spans="1:9" ht="15.75" x14ac:dyDescent="0.25">
      <c r="A26" s="69" t="s">
        <v>1195</v>
      </c>
      <c r="B26" s="70"/>
      <c r="C26" s="23">
        <f>('Stavební rozpočet'!AT13+'Stavební rozpočet'!AT16+'Stavební rozpočet'!AT35+'Stavební rozpočet'!AT44)</f>
        <v>0</v>
      </c>
      <c r="D26" s="71" t="s">
        <v>1196</v>
      </c>
      <c r="E26" s="68"/>
      <c r="F26" s="22">
        <f>ROUND(C26*(12/100),2)</f>
        <v>0</v>
      </c>
      <c r="G26" s="71" t="s">
        <v>1197</v>
      </c>
      <c r="H26" s="68"/>
      <c r="I26" s="22">
        <f>SUM(C25:C27)</f>
        <v>0</v>
      </c>
    </row>
    <row r="27" spans="1:9" ht="15.75" x14ac:dyDescent="0.25">
      <c r="A27" s="69" t="s">
        <v>1198</v>
      </c>
      <c r="B27" s="70"/>
      <c r="C27" s="23">
        <f>('Stavební rozpočet'!AU13+'Stavební rozpočet'!AU16+'Stavební rozpočet'!AU35+'Stavební rozpočet'!AU44)+(F22+I22+F23+I23+I24)</f>
        <v>0</v>
      </c>
      <c r="D27" s="72" t="s">
        <v>1199</v>
      </c>
      <c r="E27" s="70"/>
      <c r="F27" s="23">
        <f>ROUND(C27*(21/100),2)</f>
        <v>0</v>
      </c>
      <c r="G27" s="72" t="s">
        <v>1200</v>
      </c>
      <c r="H27" s="70"/>
      <c r="I27" s="23">
        <f>SUM(F26:F27)+I26</f>
        <v>0</v>
      </c>
    </row>
    <row r="29" spans="1:9" x14ac:dyDescent="0.25">
      <c r="A29" s="73" t="s">
        <v>1201</v>
      </c>
      <c r="B29" s="74"/>
      <c r="C29" s="75"/>
      <c r="D29" s="82" t="s">
        <v>1202</v>
      </c>
      <c r="E29" s="74"/>
      <c r="F29" s="75"/>
      <c r="G29" s="82" t="s">
        <v>1203</v>
      </c>
      <c r="H29" s="74"/>
      <c r="I29" s="75"/>
    </row>
    <row r="30" spans="1:9" x14ac:dyDescent="0.25">
      <c r="A30" s="76" t="s">
        <v>52</v>
      </c>
      <c r="B30" s="77"/>
      <c r="C30" s="78"/>
      <c r="D30" s="83" t="s">
        <v>52</v>
      </c>
      <c r="E30" s="77"/>
      <c r="F30" s="78"/>
      <c r="G30" s="83" t="s">
        <v>52</v>
      </c>
      <c r="H30" s="77"/>
      <c r="I30" s="78"/>
    </row>
    <row r="31" spans="1:9" x14ac:dyDescent="0.25">
      <c r="A31" s="76" t="s">
        <v>52</v>
      </c>
      <c r="B31" s="77"/>
      <c r="C31" s="78"/>
      <c r="D31" s="83" t="s">
        <v>52</v>
      </c>
      <c r="E31" s="77"/>
      <c r="F31" s="78"/>
      <c r="G31" s="83" t="s">
        <v>52</v>
      </c>
      <c r="H31" s="77"/>
      <c r="I31" s="78"/>
    </row>
    <row r="32" spans="1:9" x14ac:dyDescent="0.25">
      <c r="A32" s="76" t="s">
        <v>52</v>
      </c>
      <c r="B32" s="77"/>
      <c r="C32" s="78"/>
      <c r="D32" s="83" t="s">
        <v>52</v>
      </c>
      <c r="E32" s="77"/>
      <c r="F32" s="78"/>
      <c r="G32" s="83" t="s">
        <v>52</v>
      </c>
      <c r="H32" s="77"/>
      <c r="I32" s="78"/>
    </row>
    <row r="33" spans="1:9" x14ac:dyDescent="0.25">
      <c r="A33" s="79" t="s">
        <v>1204</v>
      </c>
      <c r="B33" s="80"/>
      <c r="C33" s="81"/>
      <c r="D33" s="84" t="s">
        <v>1204</v>
      </c>
      <c r="E33" s="80"/>
      <c r="F33" s="81"/>
      <c r="G33" s="84" t="s">
        <v>1204</v>
      </c>
      <c r="H33" s="80"/>
      <c r="I33" s="81"/>
    </row>
    <row r="34" spans="1:9" x14ac:dyDescent="0.25">
      <c r="A34" s="24" t="s">
        <v>140</v>
      </c>
    </row>
    <row r="35" spans="1:9" ht="12.75" customHeight="1" x14ac:dyDescent="0.25">
      <c r="A35" s="40" t="s">
        <v>52</v>
      </c>
      <c r="B35" s="37"/>
      <c r="C35" s="37"/>
      <c r="D35" s="37"/>
      <c r="E35" s="37"/>
      <c r="F35" s="37"/>
      <c r="G35" s="37"/>
      <c r="H35" s="37"/>
      <c r="I35" s="37"/>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46" t="s">
        <v>1217</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21</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3" spans="1:9" ht="15.75" x14ac:dyDescent="0.25">
      <c r="A13" s="85" t="s">
        <v>1206</v>
      </c>
      <c r="B13" s="85"/>
      <c r="C13" s="85"/>
      <c r="D13" s="85"/>
      <c r="E13" s="85"/>
    </row>
    <row r="14" spans="1:9" x14ac:dyDescent="0.25">
      <c r="A14" s="86" t="s">
        <v>1207</v>
      </c>
      <c r="B14" s="87"/>
      <c r="C14" s="87"/>
      <c r="D14" s="87"/>
      <c r="E14" s="88"/>
      <c r="F14" s="25" t="s">
        <v>1208</v>
      </c>
      <c r="G14" s="25" t="s">
        <v>372</v>
      </c>
      <c r="H14" s="25" t="s">
        <v>1209</v>
      </c>
      <c r="I14" s="25" t="s">
        <v>1208</v>
      </c>
    </row>
    <row r="15" spans="1:9" x14ac:dyDescent="0.25">
      <c r="A15" s="89" t="s">
        <v>1174</v>
      </c>
      <c r="B15" s="90"/>
      <c r="C15" s="90"/>
      <c r="D15" s="90"/>
      <c r="E15" s="91"/>
      <c r="F15" s="26">
        <v>0</v>
      </c>
      <c r="G15" s="27" t="s">
        <v>52</v>
      </c>
      <c r="H15" s="27" t="s">
        <v>52</v>
      </c>
      <c r="I15" s="26">
        <f>F15</f>
        <v>0</v>
      </c>
    </row>
    <row r="16" spans="1:9" x14ac:dyDescent="0.25">
      <c r="A16" s="89" t="s">
        <v>1176</v>
      </c>
      <c r="B16" s="90"/>
      <c r="C16" s="90"/>
      <c r="D16" s="90"/>
      <c r="E16" s="91"/>
      <c r="F16" s="26">
        <v>0</v>
      </c>
      <c r="G16" s="27" t="s">
        <v>52</v>
      </c>
      <c r="H16" s="27" t="s">
        <v>52</v>
      </c>
      <c r="I16" s="26">
        <f>F16</f>
        <v>0</v>
      </c>
    </row>
    <row r="17" spans="1:9" x14ac:dyDescent="0.25">
      <c r="A17" s="92" t="s">
        <v>1179</v>
      </c>
      <c r="B17" s="93"/>
      <c r="C17" s="93"/>
      <c r="D17" s="93"/>
      <c r="E17" s="94"/>
      <c r="F17" s="28">
        <v>0</v>
      </c>
      <c r="G17" s="29" t="s">
        <v>52</v>
      </c>
      <c r="H17" s="29" t="s">
        <v>52</v>
      </c>
      <c r="I17" s="28">
        <f>F17</f>
        <v>0</v>
      </c>
    </row>
    <row r="18" spans="1:9" x14ac:dyDescent="0.25">
      <c r="A18" s="95" t="s">
        <v>1210</v>
      </c>
      <c r="B18" s="96"/>
      <c r="C18" s="96"/>
      <c r="D18" s="96"/>
      <c r="E18" s="97"/>
      <c r="F18" s="30" t="s">
        <v>52</v>
      </c>
      <c r="G18" s="31" t="s">
        <v>52</v>
      </c>
      <c r="H18" s="31" t="s">
        <v>52</v>
      </c>
      <c r="I18" s="32">
        <f>SUM(I15:I17)</f>
        <v>0</v>
      </c>
    </row>
    <row r="20" spans="1:9" x14ac:dyDescent="0.25">
      <c r="A20" s="86" t="s">
        <v>1171</v>
      </c>
      <c r="B20" s="87"/>
      <c r="C20" s="87"/>
      <c r="D20" s="87"/>
      <c r="E20" s="88"/>
      <c r="F20" s="25" t="s">
        <v>1208</v>
      </c>
      <c r="G20" s="25" t="s">
        <v>372</v>
      </c>
      <c r="H20" s="25" t="s">
        <v>1209</v>
      </c>
      <c r="I20" s="25" t="s">
        <v>1208</v>
      </c>
    </row>
    <row r="21" spans="1:9" x14ac:dyDescent="0.25">
      <c r="A21" s="89" t="s">
        <v>1175</v>
      </c>
      <c r="B21" s="90"/>
      <c r="C21" s="90"/>
      <c r="D21" s="90"/>
      <c r="E21" s="91"/>
      <c r="F21" s="26">
        <v>0</v>
      </c>
      <c r="G21" s="27" t="s">
        <v>52</v>
      </c>
      <c r="H21" s="27" t="s">
        <v>52</v>
      </c>
      <c r="I21" s="26">
        <f t="shared" ref="I21:I26" si="0">F21</f>
        <v>0</v>
      </c>
    </row>
    <row r="22" spans="1:9" x14ac:dyDescent="0.25">
      <c r="A22" s="89" t="s">
        <v>1177</v>
      </c>
      <c r="B22" s="90"/>
      <c r="C22" s="90"/>
      <c r="D22" s="90"/>
      <c r="E22" s="91"/>
      <c r="F22" s="26">
        <v>0</v>
      </c>
      <c r="G22" s="27" t="s">
        <v>52</v>
      </c>
      <c r="H22" s="27" t="s">
        <v>52</v>
      </c>
      <c r="I22" s="26">
        <f t="shared" si="0"/>
        <v>0</v>
      </c>
    </row>
    <row r="23" spans="1:9" x14ac:dyDescent="0.25">
      <c r="A23" s="89" t="s">
        <v>1180</v>
      </c>
      <c r="B23" s="90"/>
      <c r="C23" s="90"/>
      <c r="D23" s="90"/>
      <c r="E23" s="91"/>
      <c r="F23" s="26">
        <v>0</v>
      </c>
      <c r="G23" s="27" t="s">
        <v>52</v>
      </c>
      <c r="H23" s="27" t="s">
        <v>52</v>
      </c>
      <c r="I23" s="26">
        <f t="shared" si="0"/>
        <v>0</v>
      </c>
    </row>
    <row r="24" spans="1:9" x14ac:dyDescent="0.25">
      <c r="A24" s="89" t="s">
        <v>1181</v>
      </c>
      <c r="B24" s="90"/>
      <c r="C24" s="90"/>
      <c r="D24" s="90"/>
      <c r="E24" s="91"/>
      <c r="F24" s="26">
        <v>0</v>
      </c>
      <c r="G24" s="27" t="s">
        <v>52</v>
      </c>
      <c r="H24" s="27" t="s">
        <v>52</v>
      </c>
      <c r="I24" s="26">
        <f t="shared" si="0"/>
        <v>0</v>
      </c>
    </row>
    <row r="25" spans="1:9" x14ac:dyDescent="0.25">
      <c r="A25" s="89" t="s">
        <v>1183</v>
      </c>
      <c r="B25" s="90"/>
      <c r="C25" s="90"/>
      <c r="D25" s="90"/>
      <c r="E25" s="91"/>
      <c r="F25" s="26">
        <v>0</v>
      </c>
      <c r="G25" s="27" t="s">
        <v>52</v>
      </c>
      <c r="H25" s="27" t="s">
        <v>52</v>
      </c>
      <c r="I25" s="26">
        <f t="shared" si="0"/>
        <v>0</v>
      </c>
    </row>
    <row r="26" spans="1:9" x14ac:dyDescent="0.25">
      <c r="A26" s="92" t="s">
        <v>1184</v>
      </c>
      <c r="B26" s="93"/>
      <c r="C26" s="93"/>
      <c r="D26" s="93"/>
      <c r="E26" s="94"/>
      <c r="F26" s="28">
        <v>0</v>
      </c>
      <c r="G26" s="29" t="s">
        <v>52</v>
      </c>
      <c r="H26" s="29" t="s">
        <v>52</v>
      </c>
      <c r="I26" s="28">
        <f t="shared" si="0"/>
        <v>0</v>
      </c>
    </row>
    <row r="27" spans="1:9" x14ac:dyDescent="0.25">
      <c r="A27" s="95" t="s">
        <v>1211</v>
      </c>
      <c r="B27" s="96"/>
      <c r="C27" s="96"/>
      <c r="D27" s="96"/>
      <c r="E27" s="97"/>
      <c r="F27" s="30" t="s">
        <v>52</v>
      </c>
      <c r="G27" s="31" t="s">
        <v>52</v>
      </c>
      <c r="H27" s="31" t="s">
        <v>52</v>
      </c>
      <c r="I27" s="32">
        <f>SUM(I21:I26)</f>
        <v>0</v>
      </c>
    </row>
    <row r="29" spans="1:9" ht="15.75" x14ac:dyDescent="0.25">
      <c r="A29" s="98" t="s">
        <v>1212</v>
      </c>
      <c r="B29" s="99"/>
      <c r="C29" s="99"/>
      <c r="D29" s="99"/>
      <c r="E29" s="100"/>
      <c r="F29" s="101">
        <f>I18+I27</f>
        <v>0</v>
      </c>
      <c r="G29" s="102"/>
      <c r="H29" s="102"/>
      <c r="I29" s="103"/>
    </row>
    <row r="33" spans="1:9" ht="15.75" x14ac:dyDescent="0.25">
      <c r="A33" s="85" t="s">
        <v>1213</v>
      </c>
      <c r="B33" s="85"/>
      <c r="C33" s="85"/>
      <c r="D33" s="85"/>
      <c r="E33" s="85"/>
    </row>
    <row r="34" spans="1:9" x14ac:dyDescent="0.25">
      <c r="A34" s="86" t="s">
        <v>1214</v>
      </c>
      <c r="B34" s="87"/>
      <c r="C34" s="87"/>
      <c r="D34" s="87"/>
      <c r="E34" s="88"/>
      <c r="F34" s="25" t="s">
        <v>1208</v>
      </c>
      <c r="G34" s="25" t="s">
        <v>372</v>
      </c>
      <c r="H34" s="25" t="s">
        <v>1209</v>
      </c>
      <c r="I34" s="25" t="s">
        <v>1208</v>
      </c>
    </row>
    <row r="35" spans="1:9" x14ac:dyDescent="0.25">
      <c r="A35" s="92" t="s">
        <v>52</v>
      </c>
      <c r="B35" s="93"/>
      <c r="C35" s="93"/>
      <c r="D35" s="93"/>
      <c r="E35" s="94"/>
      <c r="F35" s="28">
        <v>0</v>
      </c>
      <c r="G35" s="29" t="s">
        <v>52</v>
      </c>
      <c r="H35" s="29" t="s">
        <v>52</v>
      </c>
      <c r="I35" s="28">
        <f>F35</f>
        <v>0</v>
      </c>
    </row>
    <row r="36" spans="1:9" x14ac:dyDescent="0.25">
      <c r="A36" s="95" t="s">
        <v>1215</v>
      </c>
      <c r="B36" s="96"/>
      <c r="C36" s="96"/>
      <c r="D36" s="96"/>
      <c r="E36" s="97"/>
      <c r="F36" s="30" t="s">
        <v>52</v>
      </c>
      <c r="G36" s="31" t="s">
        <v>52</v>
      </c>
      <c r="H36" s="31" t="s">
        <v>52</v>
      </c>
      <c r="I36" s="32">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46" t="s">
        <v>1218</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37</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2" spans="1:9" ht="23.25" x14ac:dyDescent="0.25">
      <c r="A12" s="52" t="s">
        <v>1165</v>
      </c>
      <c r="B12" s="52"/>
      <c r="C12" s="52"/>
      <c r="D12" s="52"/>
      <c r="E12" s="52"/>
      <c r="F12" s="52"/>
      <c r="G12" s="52"/>
      <c r="H12" s="52"/>
      <c r="I12" s="52"/>
    </row>
    <row r="13" spans="1:9" ht="26.25" customHeight="1" x14ac:dyDescent="0.25">
      <c r="A13" s="12" t="s">
        <v>1166</v>
      </c>
      <c r="B13" s="53" t="s">
        <v>1167</v>
      </c>
      <c r="C13" s="54"/>
      <c r="D13" s="13" t="s">
        <v>1168</v>
      </c>
      <c r="E13" s="53" t="s">
        <v>1169</v>
      </c>
      <c r="F13" s="54"/>
      <c r="G13" s="13" t="s">
        <v>1170</v>
      </c>
      <c r="H13" s="53" t="s">
        <v>1171</v>
      </c>
      <c r="I13" s="54"/>
    </row>
    <row r="14" spans="1:9" ht="15.75" x14ac:dyDescent="0.25">
      <c r="A14" s="14" t="s">
        <v>1172</v>
      </c>
      <c r="B14" s="15" t="s">
        <v>1173</v>
      </c>
      <c r="C14" s="16">
        <f>SUMIF('Stavební rozpočet'!AI12:AI744,"01",'Stavební rozpočet'!AB12:AB744)</f>
        <v>0</v>
      </c>
      <c r="D14" s="61" t="s">
        <v>1174</v>
      </c>
      <c r="E14" s="62"/>
      <c r="F14" s="16">
        <f>'VORN objektu (01)'!I15</f>
        <v>0</v>
      </c>
      <c r="G14" s="61" t="s">
        <v>1175</v>
      </c>
      <c r="H14" s="62"/>
      <c r="I14" s="17">
        <f>'VORN objektu (01)'!I21</f>
        <v>0</v>
      </c>
    </row>
    <row r="15" spans="1:9" ht="15.75" x14ac:dyDescent="0.25">
      <c r="A15" s="18" t="s">
        <v>52</v>
      </c>
      <c r="B15" s="15" t="s">
        <v>37</v>
      </c>
      <c r="C15" s="16">
        <f>SUMIF('Stavební rozpočet'!AI12:AI744,"01",'Stavební rozpočet'!AC12:AC744)</f>
        <v>0</v>
      </c>
      <c r="D15" s="61" t="s">
        <v>1176</v>
      </c>
      <c r="E15" s="62"/>
      <c r="F15" s="16">
        <f>'VORN objektu (01)'!I16</f>
        <v>0</v>
      </c>
      <c r="G15" s="61" t="s">
        <v>1177</v>
      </c>
      <c r="H15" s="62"/>
      <c r="I15" s="17">
        <f>'VORN objektu (01)'!I22</f>
        <v>0</v>
      </c>
    </row>
    <row r="16" spans="1:9" ht="15.75" x14ac:dyDescent="0.25">
      <c r="A16" s="14" t="s">
        <v>1178</v>
      </c>
      <c r="B16" s="15" t="s">
        <v>1173</v>
      </c>
      <c r="C16" s="16">
        <f>SUMIF('Stavební rozpočet'!AI12:AI744,"01",'Stavební rozpočet'!AD12:AD744)</f>
        <v>0</v>
      </c>
      <c r="D16" s="61" t="s">
        <v>1179</v>
      </c>
      <c r="E16" s="62"/>
      <c r="F16" s="16">
        <f>'VORN objektu (01)'!I17</f>
        <v>0</v>
      </c>
      <c r="G16" s="61" t="s">
        <v>1180</v>
      </c>
      <c r="H16" s="62"/>
      <c r="I16" s="17">
        <f>'VORN objektu (01)'!I23</f>
        <v>0</v>
      </c>
    </row>
    <row r="17" spans="1:9" ht="15.75" x14ac:dyDescent="0.25">
      <c r="A17" s="18" t="s">
        <v>52</v>
      </c>
      <c r="B17" s="15" t="s">
        <v>37</v>
      </c>
      <c r="C17" s="16">
        <f>SUMIF('Stavební rozpočet'!AI12:AI744,"01",'Stavební rozpočet'!AE12:AE744)</f>
        <v>0</v>
      </c>
      <c r="D17" s="61" t="s">
        <v>52</v>
      </c>
      <c r="E17" s="62"/>
      <c r="F17" s="17" t="s">
        <v>52</v>
      </c>
      <c r="G17" s="61" t="s">
        <v>1181</v>
      </c>
      <c r="H17" s="62"/>
      <c r="I17" s="17">
        <f>'VORN objektu (01)'!I24</f>
        <v>0</v>
      </c>
    </row>
    <row r="18" spans="1:9" ht="15.75" x14ac:dyDescent="0.25">
      <c r="A18" s="14" t="s">
        <v>1182</v>
      </c>
      <c r="B18" s="15" t="s">
        <v>1173</v>
      </c>
      <c r="C18" s="16">
        <f>SUMIF('Stavební rozpočet'!AI12:AI744,"01",'Stavební rozpočet'!AF12:AF744)</f>
        <v>0</v>
      </c>
      <c r="D18" s="61" t="s">
        <v>52</v>
      </c>
      <c r="E18" s="62"/>
      <c r="F18" s="17" t="s">
        <v>52</v>
      </c>
      <c r="G18" s="61" t="s">
        <v>1183</v>
      </c>
      <c r="H18" s="62"/>
      <c r="I18" s="17">
        <f>'VORN objektu (01)'!I25</f>
        <v>0</v>
      </c>
    </row>
    <row r="19" spans="1:9" ht="15.75" x14ac:dyDescent="0.25">
      <c r="A19" s="18" t="s">
        <v>52</v>
      </c>
      <c r="B19" s="15" t="s">
        <v>37</v>
      </c>
      <c r="C19" s="16">
        <f>SUMIF('Stavební rozpočet'!AI12:AI744,"01",'Stavební rozpočet'!AG12:AG744)</f>
        <v>0</v>
      </c>
      <c r="D19" s="61" t="s">
        <v>52</v>
      </c>
      <c r="E19" s="62"/>
      <c r="F19" s="17" t="s">
        <v>52</v>
      </c>
      <c r="G19" s="61" t="s">
        <v>1184</v>
      </c>
      <c r="H19" s="62"/>
      <c r="I19" s="17">
        <f>'VORN objektu (01)'!I26</f>
        <v>0</v>
      </c>
    </row>
    <row r="20" spans="1:9" ht="15.75" x14ac:dyDescent="0.25">
      <c r="A20" s="55" t="s">
        <v>1185</v>
      </c>
      <c r="B20" s="56"/>
      <c r="C20" s="16">
        <f>SUMIF('Stavební rozpočet'!AI12:AI744,"01",'Stavební rozpočet'!AH12:AH744)</f>
        <v>0</v>
      </c>
      <c r="D20" s="61" t="s">
        <v>52</v>
      </c>
      <c r="E20" s="62"/>
      <c r="F20" s="17" t="s">
        <v>52</v>
      </c>
      <c r="G20" s="61" t="s">
        <v>52</v>
      </c>
      <c r="H20" s="62"/>
      <c r="I20" s="17" t="s">
        <v>52</v>
      </c>
    </row>
    <row r="21" spans="1:9" ht="15.75" x14ac:dyDescent="0.25">
      <c r="A21" s="57" t="s">
        <v>1186</v>
      </c>
      <c r="B21" s="58"/>
      <c r="C21" s="16">
        <f>SUMIF('Stavební rozpočet'!AI12:AI744,"01",'Stavební rozpočet'!Z12:Z744)</f>
        <v>0</v>
      </c>
      <c r="D21" s="63" t="s">
        <v>52</v>
      </c>
      <c r="E21" s="64"/>
      <c r="F21" s="20" t="s">
        <v>52</v>
      </c>
      <c r="G21" s="63" t="s">
        <v>52</v>
      </c>
      <c r="H21" s="64"/>
      <c r="I21" s="20" t="s">
        <v>52</v>
      </c>
    </row>
    <row r="22" spans="1:9" ht="16.5" customHeight="1" x14ac:dyDescent="0.25">
      <c r="A22" s="59" t="s">
        <v>1187</v>
      </c>
      <c r="B22" s="60"/>
      <c r="C22" s="16">
        <f>SUM(C14:C21)</f>
        <v>0</v>
      </c>
      <c r="D22" s="65" t="s">
        <v>1188</v>
      </c>
      <c r="E22" s="60"/>
      <c r="F22" s="21">
        <f>SUM(F14:F21)</f>
        <v>0</v>
      </c>
      <c r="G22" s="65" t="s">
        <v>1189</v>
      </c>
      <c r="H22" s="60"/>
      <c r="I22" s="21">
        <f>SUM(I14:I21)</f>
        <v>0</v>
      </c>
    </row>
    <row r="23" spans="1:9" ht="15.75" x14ac:dyDescent="0.25">
      <c r="G23" s="55" t="s">
        <v>1192</v>
      </c>
      <c r="H23" s="56"/>
      <c r="I23" s="16">
        <f>'VORN objektu (01)'!I36</f>
        <v>0</v>
      </c>
    </row>
    <row r="25" spans="1:9" ht="15.75" x14ac:dyDescent="0.25">
      <c r="A25" s="67" t="s">
        <v>1194</v>
      </c>
      <c r="B25" s="68"/>
      <c r="C25" s="22">
        <f>('Stavební rozpočet'!AS75+'Stavební rozpočet'!AS110+'Stavební rozpočet'!AS189)</f>
        <v>0</v>
      </c>
    </row>
    <row r="26" spans="1:9" ht="15.75" x14ac:dyDescent="0.25">
      <c r="A26" s="69" t="s">
        <v>1195</v>
      </c>
      <c r="B26" s="70"/>
      <c r="C26" s="23">
        <f>('Stavební rozpočet'!AT75+'Stavební rozpočet'!AT110+'Stavební rozpočet'!AT189)</f>
        <v>0</v>
      </c>
      <c r="D26" s="71" t="s">
        <v>1196</v>
      </c>
      <c r="E26" s="68"/>
      <c r="F26" s="22">
        <f>ROUND(C26*(12/100),2)</f>
        <v>0</v>
      </c>
      <c r="G26" s="71" t="s">
        <v>1197</v>
      </c>
      <c r="H26" s="68"/>
      <c r="I26" s="22">
        <f>SUM(C25:C27)</f>
        <v>0</v>
      </c>
    </row>
    <row r="27" spans="1:9" ht="15.75" x14ac:dyDescent="0.25">
      <c r="A27" s="69" t="s">
        <v>1198</v>
      </c>
      <c r="B27" s="70"/>
      <c r="C27" s="23">
        <f>('Stavební rozpočet'!AU75+'Stavební rozpočet'!AU110+'Stavební rozpočet'!AU189)+(F22+I22+F23+I23+I24)</f>
        <v>0</v>
      </c>
      <c r="D27" s="72" t="s">
        <v>1199</v>
      </c>
      <c r="E27" s="70"/>
      <c r="F27" s="23">
        <f>ROUND(C27*(21/100),2)</f>
        <v>0</v>
      </c>
      <c r="G27" s="72" t="s">
        <v>1200</v>
      </c>
      <c r="H27" s="70"/>
      <c r="I27" s="23">
        <f>SUM(F26:F27)+I26</f>
        <v>0</v>
      </c>
    </row>
    <row r="29" spans="1:9" x14ac:dyDescent="0.25">
      <c r="A29" s="73" t="s">
        <v>1201</v>
      </c>
      <c r="B29" s="74"/>
      <c r="C29" s="75"/>
      <c r="D29" s="82" t="s">
        <v>1202</v>
      </c>
      <c r="E29" s="74"/>
      <c r="F29" s="75"/>
      <c r="G29" s="82" t="s">
        <v>1203</v>
      </c>
      <c r="H29" s="74"/>
      <c r="I29" s="75"/>
    </row>
    <row r="30" spans="1:9" x14ac:dyDescent="0.25">
      <c r="A30" s="76" t="s">
        <v>52</v>
      </c>
      <c r="B30" s="77"/>
      <c r="C30" s="78"/>
      <c r="D30" s="83" t="s">
        <v>52</v>
      </c>
      <c r="E30" s="77"/>
      <c r="F30" s="78"/>
      <c r="G30" s="83" t="s">
        <v>52</v>
      </c>
      <c r="H30" s="77"/>
      <c r="I30" s="78"/>
    </row>
    <row r="31" spans="1:9" x14ac:dyDescent="0.25">
      <c r="A31" s="76" t="s">
        <v>52</v>
      </c>
      <c r="B31" s="77"/>
      <c r="C31" s="78"/>
      <c r="D31" s="83" t="s">
        <v>52</v>
      </c>
      <c r="E31" s="77"/>
      <c r="F31" s="78"/>
      <c r="G31" s="83" t="s">
        <v>52</v>
      </c>
      <c r="H31" s="77"/>
      <c r="I31" s="78"/>
    </row>
    <row r="32" spans="1:9" x14ac:dyDescent="0.25">
      <c r="A32" s="76" t="s">
        <v>52</v>
      </c>
      <c r="B32" s="77"/>
      <c r="C32" s="78"/>
      <c r="D32" s="83" t="s">
        <v>52</v>
      </c>
      <c r="E32" s="77"/>
      <c r="F32" s="78"/>
      <c r="G32" s="83" t="s">
        <v>52</v>
      </c>
      <c r="H32" s="77"/>
      <c r="I32" s="78"/>
    </row>
    <row r="33" spans="1:9" x14ac:dyDescent="0.25">
      <c r="A33" s="79" t="s">
        <v>1204</v>
      </c>
      <c r="B33" s="80"/>
      <c r="C33" s="81"/>
      <c r="D33" s="84" t="s">
        <v>1204</v>
      </c>
      <c r="E33" s="80"/>
      <c r="F33" s="81"/>
      <c r="G33" s="84" t="s">
        <v>1204</v>
      </c>
      <c r="H33" s="80"/>
      <c r="I33" s="81"/>
    </row>
    <row r="34" spans="1:9" x14ac:dyDescent="0.25">
      <c r="A34" s="24" t="s">
        <v>140</v>
      </c>
    </row>
    <row r="35" spans="1:9" ht="12.75" customHeight="1" x14ac:dyDescent="0.25">
      <c r="A35" s="40" t="s">
        <v>52</v>
      </c>
      <c r="B35" s="37"/>
      <c r="C35" s="37"/>
      <c r="D35" s="37"/>
      <c r="E35" s="37"/>
      <c r="F35" s="37"/>
      <c r="G35" s="37"/>
      <c r="H35" s="37"/>
      <c r="I35" s="37"/>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46" t="s">
        <v>1219</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37</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3" spans="1:9" ht="15.75" x14ac:dyDescent="0.25">
      <c r="A13" s="85" t="s">
        <v>1206</v>
      </c>
      <c r="B13" s="85"/>
      <c r="C13" s="85"/>
      <c r="D13" s="85"/>
      <c r="E13" s="85"/>
    </row>
    <row r="14" spans="1:9" x14ac:dyDescent="0.25">
      <c r="A14" s="86" t="s">
        <v>1207</v>
      </c>
      <c r="B14" s="87"/>
      <c r="C14" s="87"/>
      <c r="D14" s="87"/>
      <c r="E14" s="88"/>
      <c r="F14" s="25" t="s">
        <v>1208</v>
      </c>
      <c r="G14" s="25" t="s">
        <v>372</v>
      </c>
      <c r="H14" s="25" t="s">
        <v>1209</v>
      </c>
      <c r="I14" s="25" t="s">
        <v>1208</v>
      </c>
    </row>
    <row r="15" spans="1:9" x14ac:dyDescent="0.25">
      <c r="A15" s="89" t="s">
        <v>1174</v>
      </c>
      <c r="B15" s="90"/>
      <c r="C15" s="90"/>
      <c r="D15" s="90"/>
      <c r="E15" s="91"/>
      <c r="F15" s="26">
        <v>0</v>
      </c>
      <c r="G15" s="27" t="s">
        <v>52</v>
      </c>
      <c r="H15" s="27" t="s">
        <v>52</v>
      </c>
      <c r="I15" s="26">
        <f>F15</f>
        <v>0</v>
      </c>
    </row>
    <row r="16" spans="1:9" x14ac:dyDescent="0.25">
      <c r="A16" s="89" t="s">
        <v>1176</v>
      </c>
      <c r="B16" s="90"/>
      <c r="C16" s="90"/>
      <c r="D16" s="90"/>
      <c r="E16" s="91"/>
      <c r="F16" s="26">
        <v>0</v>
      </c>
      <c r="G16" s="27" t="s">
        <v>52</v>
      </c>
      <c r="H16" s="27" t="s">
        <v>52</v>
      </c>
      <c r="I16" s="26">
        <f>F16</f>
        <v>0</v>
      </c>
    </row>
    <row r="17" spans="1:9" x14ac:dyDescent="0.25">
      <c r="A17" s="92" t="s">
        <v>1179</v>
      </c>
      <c r="B17" s="93"/>
      <c r="C17" s="93"/>
      <c r="D17" s="93"/>
      <c r="E17" s="94"/>
      <c r="F17" s="28">
        <v>0</v>
      </c>
      <c r="G17" s="29" t="s">
        <v>52</v>
      </c>
      <c r="H17" s="29" t="s">
        <v>52</v>
      </c>
      <c r="I17" s="28">
        <f>F17</f>
        <v>0</v>
      </c>
    </row>
    <row r="18" spans="1:9" x14ac:dyDescent="0.25">
      <c r="A18" s="95" t="s">
        <v>1210</v>
      </c>
      <c r="B18" s="96"/>
      <c r="C18" s="96"/>
      <c r="D18" s="96"/>
      <c r="E18" s="97"/>
      <c r="F18" s="30" t="s">
        <v>52</v>
      </c>
      <c r="G18" s="31" t="s">
        <v>52</v>
      </c>
      <c r="H18" s="31" t="s">
        <v>52</v>
      </c>
      <c r="I18" s="32">
        <f>SUM(I15:I17)</f>
        <v>0</v>
      </c>
    </row>
    <row r="20" spans="1:9" x14ac:dyDescent="0.25">
      <c r="A20" s="86" t="s">
        <v>1171</v>
      </c>
      <c r="B20" s="87"/>
      <c r="C20" s="87"/>
      <c r="D20" s="87"/>
      <c r="E20" s="88"/>
      <c r="F20" s="25" t="s">
        <v>1208</v>
      </c>
      <c r="G20" s="25" t="s">
        <v>372</v>
      </c>
      <c r="H20" s="25" t="s">
        <v>1209</v>
      </c>
      <c r="I20" s="25" t="s">
        <v>1208</v>
      </c>
    </row>
    <row r="21" spans="1:9" x14ac:dyDescent="0.25">
      <c r="A21" s="89" t="s">
        <v>1175</v>
      </c>
      <c r="B21" s="90"/>
      <c r="C21" s="90"/>
      <c r="D21" s="90"/>
      <c r="E21" s="91"/>
      <c r="F21" s="26">
        <v>0</v>
      </c>
      <c r="G21" s="27" t="s">
        <v>52</v>
      </c>
      <c r="H21" s="27" t="s">
        <v>52</v>
      </c>
      <c r="I21" s="26">
        <f t="shared" ref="I21:I26" si="0">F21</f>
        <v>0</v>
      </c>
    </row>
    <row r="22" spans="1:9" x14ac:dyDescent="0.25">
      <c r="A22" s="89" t="s">
        <v>1177</v>
      </c>
      <c r="B22" s="90"/>
      <c r="C22" s="90"/>
      <c r="D22" s="90"/>
      <c r="E22" s="91"/>
      <c r="F22" s="26">
        <v>0</v>
      </c>
      <c r="G22" s="27" t="s">
        <v>52</v>
      </c>
      <c r="H22" s="27" t="s">
        <v>52</v>
      </c>
      <c r="I22" s="26">
        <f t="shared" si="0"/>
        <v>0</v>
      </c>
    </row>
    <row r="23" spans="1:9" x14ac:dyDescent="0.25">
      <c r="A23" s="89" t="s">
        <v>1180</v>
      </c>
      <c r="B23" s="90"/>
      <c r="C23" s="90"/>
      <c r="D23" s="90"/>
      <c r="E23" s="91"/>
      <c r="F23" s="26">
        <v>0</v>
      </c>
      <c r="G23" s="27" t="s">
        <v>52</v>
      </c>
      <c r="H23" s="27" t="s">
        <v>52</v>
      </c>
      <c r="I23" s="26">
        <f t="shared" si="0"/>
        <v>0</v>
      </c>
    </row>
    <row r="24" spans="1:9" x14ac:dyDescent="0.25">
      <c r="A24" s="89" t="s">
        <v>1181</v>
      </c>
      <c r="B24" s="90"/>
      <c r="C24" s="90"/>
      <c r="D24" s="90"/>
      <c r="E24" s="91"/>
      <c r="F24" s="26">
        <v>0</v>
      </c>
      <c r="G24" s="27" t="s">
        <v>52</v>
      </c>
      <c r="H24" s="27" t="s">
        <v>52</v>
      </c>
      <c r="I24" s="26">
        <f t="shared" si="0"/>
        <v>0</v>
      </c>
    </row>
    <row r="25" spans="1:9" x14ac:dyDescent="0.25">
      <c r="A25" s="89" t="s">
        <v>1183</v>
      </c>
      <c r="B25" s="90"/>
      <c r="C25" s="90"/>
      <c r="D25" s="90"/>
      <c r="E25" s="91"/>
      <c r="F25" s="26">
        <v>0</v>
      </c>
      <c r="G25" s="27" t="s">
        <v>52</v>
      </c>
      <c r="H25" s="27" t="s">
        <v>52</v>
      </c>
      <c r="I25" s="26">
        <f t="shared" si="0"/>
        <v>0</v>
      </c>
    </row>
    <row r="26" spans="1:9" x14ac:dyDescent="0.25">
      <c r="A26" s="92" t="s">
        <v>1184</v>
      </c>
      <c r="B26" s="93"/>
      <c r="C26" s="93"/>
      <c r="D26" s="93"/>
      <c r="E26" s="94"/>
      <c r="F26" s="28">
        <v>0</v>
      </c>
      <c r="G26" s="29" t="s">
        <v>52</v>
      </c>
      <c r="H26" s="29" t="s">
        <v>52</v>
      </c>
      <c r="I26" s="28">
        <f t="shared" si="0"/>
        <v>0</v>
      </c>
    </row>
    <row r="27" spans="1:9" x14ac:dyDescent="0.25">
      <c r="A27" s="95" t="s">
        <v>1211</v>
      </c>
      <c r="B27" s="96"/>
      <c r="C27" s="96"/>
      <c r="D27" s="96"/>
      <c r="E27" s="97"/>
      <c r="F27" s="30" t="s">
        <v>52</v>
      </c>
      <c r="G27" s="31" t="s">
        <v>52</v>
      </c>
      <c r="H27" s="31" t="s">
        <v>52</v>
      </c>
      <c r="I27" s="32">
        <f>SUM(I21:I26)</f>
        <v>0</v>
      </c>
    </row>
    <row r="29" spans="1:9" ht="15.75" x14ac:dyDescent="0.25">
      <c r="A29" s="98" t="s">
        <v>1212</v>
      </c>
      <c r="B29" s="99"/>
      <c r="C29" s="99"/>
      <c r="D29" s="99"/>
      <c r="E29" s="100"/>
      <c r="F29" s="101">
        <f>I18+I27</f>
        <v>0</v>
      </c>
      <c r="G29" s="102"/>
      <c r="H29" s="102"/>
      <c r="I29" s="103"/>
    </row>
    <row r="33" spans="1:9" ht="15.75" x14ac:dyDescent="0.25">
      <c r="A33" s="85" t="s">
        <v>1213</v>
      </c>
      <c r="B33" s="85"/>
      <c r="C33" s="85"/>
      <c r="D33" s="85"/>
      <c r="E33" s="85"/>
    </row>
    <row r="34" spans="1:9" x14ac:dyDescent="0.25">
      <c r="A34" s="86" t="s">
        <v>1214</v>
      </c>
      <c r="B34" s="87"/>
      <c r="C34" s="87"/>
      <c r="D34" s="87"/>
      <c r="E34" s="88"/>
      <c r="F34" s="25" t="s">
        <v>1208</v>
      </c>
      <c r="G34" s="25" t="s">
        <v>372</v>
      </c>
      <c r="H34" s="25" t="s">
        <v>1209</v>
      </c>
      <c r="I34" s="25" t="s">
        <v>1208</v>
      </c>
    </row>
    <row r="35" spans="1:9" x14ac:dyDescent="0.25">
      <c r="A35" s="92" t="s">
        <v>52</v>
      </c>
      <c r="B35" s="93"/>
      <c r="C35" s="93"/>
      <c r="D35" s="93"/>
      <c r="E35" s="94"/>
      <c r="F35" s="28">
        <v>0</v>
      </c>
      <c r="G35" s="29" t="s">
        <v>52</v>
      </c>
      <c r="H35" s="29" t="s">
        <v>52</v>
      </c>
      <c r="I35" s="28">
        <f>F35</f>
        <v>0</v>
      </c>
    </row>
    <row r="36" spans="1:9" x14ac:dyDescent="0.25">
      <c r="A36" s="95" t="s">
        <v>1215</v>
      </c>
      <c r="B36" s="96"/>
      <c r="C36" s="96"/>
      <c r="D36" s="96"/>
      <c r="E36" s="97"/>
      <c r="F36" s="30" t="s">
        <v>52</v>
      </c>
      <c r="G36" s="31" t="s">
        <v>52</v>
      </c>
      <c r="H36" s="31" t="s">
        <v>52</v>
      </c>
      <c r="I36" s="32">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46" t="s">
        <v>1220</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65</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2" spans="1:9" ht="23.25" x14ac:dyDescent="0.25">
      <c r="A12" s="52" t="s">
        <v>1165</v>
      </c>
      <c r="B12" s="52"/>
      <c r="C12" s="52"/>
      <c r="D12" s="52"/>
      <c r="E12" s="52"/>
      <c r="F12" s="52"/>
      <c r="G12" s="52"/>
      <c r="H12" s="52"/>
      <c r="I12" s="52"/>
    </row>
    <row r="13" spans="1:9" ht="26.25" customHeight="1" x14ac:dyDescent="0.25">
      <c r="A13" s="12" t="s">
        <v>1166</v>
      </c>
      <c r="B13" s="53" t="s">
        <v>1167</v>
      </c>
      <c r="C13" s="54"/>
      <c r="D13" s="13" t="s">
        <v>1168</v>
      </c>
      <c r="E13" s="53" t="s">
        <v>1169</v>
      </c>
      <c r="F13" s="54"/>
      <c r="G13" s="13" t="s">
        <v>1170</v>
      </c>
      <c r="H13" s="53" t="s">
        <v>1171</v>
      </c>
      <c r="I13" s="54"/>
    </row>
    <row r="14" spans="1:9" ht="15.75" x14ac:dyDescent="0.25">
      <c r="A14" s="14" t="s">
        <v>1172</v>
      </c>
      <c r="B14" s="15" t="s">
        <v>1173</v>
      </c>
      <c r="C14" s="16">
        <f>SUMIF('Stavební rozpočet'!AI12:AI744,"02",'Stavební rozpočet'!AB12:AB744)</f>
        <v>0</v>
      </c>
      <c r="D14" s="61" t="s">
        <v>1174</v>
      </c>
      <c r="E14" s="62"/>
      <c r="F14" s="16">
        <f>'VORN objektu (02)'!I15</f>
        <v>0</v>
      </c>
      <c r="G14" s="61" t="s">
        <v>1175</v>
      </c>
      <c r="H14" s="62"/>
      <c r="I14" s="17">
        <f>'VORN objektu (02)'!I21</f>
        <v>0</v>
      </c>
    </row>
    <row r="15" spans="1:9" ht="15.75" x14ac:dyDescent="0.25">
      <c r="A15" s="18" t="s">
        <v>52</v>
      </c>
      <c r="B15" s="15" t="s">
        <v>37</v>
      </c>
      <c r="C15" s="16">
        <f>SUMIF('Stavební rozpočet'!AI12:AI744,"02",'Stavební rozpočet'!AC12:AC744)</f>
        <v>0</v>
      </c>
      <c r="D15" s="61" t="s">
        <v>1176</v>
      </c>
      <c r="E15" s="62"/>
      <c r="F15" s="16">
        <f>'VORN objektu (02)'!I16</f>
        <v>0</v>
      </c>
      <c r="G15" s="61" t="s">
        <v>1177</v>
      </c>
      <c r="H15" s="62"/>
      <c r="I15" s="17">
        <f>'VORN objektu (02)'!I22</f>
        <v>0</v>
      </c>
    </row>
    <row r="16" spans="1:9" ht="15.75" x14ac:dyDescent="0.25">
      <c r="A16" s="14" t="s">
        <v>1178</v>
      </c>
      <c r="B16" s="15" t="s">
        <v>1173</v>
      </c>
      <c r="C16" s="16">
        <f>SUMIF('Stavební rozpočet'!AI12:AI744,"02",'Stavební rozpočet'!AD12:AD744)</f>
        <v>0</v>
      </c>
      <c r="D16" s="61" t="s">
        <v>1179</v>
      </c>
      <c r="E16" s="62"/>
      <c r="F16" s="16">
        <f>'VORN objektu (02)'!I17</f>
        <v>0</v>
      </c>
      <c r="G16" s="61" t="s">
        <v>1180</v>
      </c>
      <c r="H16" s="62"/>
      <c r="I16" s="17">
        <f>'VORN objektu (02)'!I23</f>
        <v>0</v>
      </c>
    </row>
    <row r="17" spans="1:9" ht="15.75" x14ac:dyDescent="0.25">
      <c r="A17" s="18" t="s">
        <v>52</v>
      </c>
      <c r="B17" s="15" t="s">
        <v>37</v>
      </c>
      <c r="C17" s="16">
        <f>SUMIF('Stavební rozpočet'!AI12:AI744,"02",'Stavební rozpočet'!AE12:AE744)</f>
        <v>0</v>
      </c>
      <c r="D17" s="61" t="s">
        <v>52</v>
      </c>
      <c r="E17" s="62"/>
      <c r="F17" s="17" t="s">
        <v>52</v>
      </c>
      <c r="G17" s="61" t="s">
        <v>1181</v>
      </c>
      <c r="H17" s="62"/>
      <c r="I17" s="17">
        <f>'VORN objektu (02)'!I24</f>
        <v>0</v>
      </c>
    </row>
    <row r="18" spans="1:9" ht="15.75" x14ac:dyDescent="0.25">
      <c r="A18" s="14" t="s">
        <v>1182</v>
      </c>
      <c r="B18" s="15" t="s">
        <v>1173</v>
      </c>
      <c r="C18" s="16">
        <f>SUMIF('Stavební rozpočet'!AI12:AI744,"02",'Stavební rozpočet'!AF12:AF744)</f>
        <v>0</v>
      </c>
      <c r="D18" s="61" t="s">
        <v>52</v>
      </c>
      <c r="E18" s="62"/>
      <c r="F18" s="17" t="s">
        <v>52</v>
      </c>
      <c r="G18" s="61" t="s">
        <v>1183</v>
      </c>
      <c r="H18" s="62"/>
      <c r="I18" s="17">
        <f>'VORN objektu (02)'!I25</f>
        <v>0</v>
      </c>
    </row>
    <row r="19" spans="1:9" ht="15.75" x14ac:dyDescent="0.25">
      <c r="A19" s="18" t="s">
        <v>52</v>
      </c>
      <c r="B19" s="15" t="s">
        <v>37</v>
      </c>
      <c r="C19" s="16">
        <f>SUMIF('Stavební rozpočet'!AI12:AI744,"02",'Stavební rozpočet'!AG12:AG744)</f>
        <v>0</v>
      </c>
      <c r="D19" s="61" t="s">
        <v>52</v>
      </c>
      <c r="E19" s="62"/>
      <c r="F19" s="17" t="s">
        <v>52</v>
      </c>
      <c r="G19" s="61" t="s">
        <v>1184</v>
      </c>
      <c r="H19" s="62"/>
      <c r="I19" s="17">
        <f>'VORN objektu (02)'!I26</f>
        <v>0</v>
      </c>
    </row>
    <row r="20" spans="1:9" ht="15.75" x14ac:dyDescent="0.25">
      <c r="A20" s="55" t="s">
        <v>1185</v>
      </c>
      <c r="B20" s="56"/>
      <c r="C20" s="16">
        <f>SUMIF('Stavební rozpočet'!AI12:AI744,"02",'Stavební rozpočet'!AH12:AH744)</f>
        <v>0</v>
      </c>
      <c r="D20" s="61" t="s">
        <v>52</v>
      </c>
      <c r="E20" s="62"/>
      <c r="F20" s="17" t="s">
        <v>52</v>
      </c>
      <c r="G20" s="61" t="s">
        <v>52</v>
      </c>
      <c r="H20" s="62"/>
      <c r="I20" s="17" t="s">
        <v>52</v>
      </c>
    </row>
    <row r="21" spans="1:9" ht="15.75" x14ac:dyDescent="0.25">
      <c r="A21" s="57" t="s">
        <v>1186</v>
      </c>
      <c r="B21" s="58"/>
      <c r="C21" s="16">
        <f>SUMIF('Stavební rozpočet'!AI12:AI744,"02",'Stavební rozpočet'!Z12:Z744)</f>
        <v>0</v>
      </c>
      <c r="D21" s="63" t="s">
        <v>52</v>
      </c>
      <c r="E21" s="64"/>
      <c r="F21" s="20" t="s">
        <v>52</v>
      </c>
      <c r="G21" s="63" t="s">
        <v>52</v>
      </c>
      <c r="H21" s="64"/>
      <c r="I21" s="20" t="s">
        <v>52</v>
      </c>
    </row>
    <row r="22" spans="1:9" ht="16.5" customHeight="1" x14ac:dyDescent="0.25">
      <c r="A22" s="59" t="s">
        <v>1187</v>
      </c>
      <c r="B22" s="60"/>
      <c r="C22" s="16">
        <f>SUM(C14:C21)</f>
        <v>0</v>
      </c>
      <c r="D22" s="65" t="s">
        <v>1188</v>
      </c>
      <c r="E22" s="60"/>
      <c r="F22" s="21">
        <f>SUM(F14:F21)</f>
        <v>0</v>
      </c>
      <c r="G22" s="65" t="s">
        <v>1189</v>
      </c>
      <c r="H22" s="60"/>
      <c r="I22" s="21">
        <f>SUM(I14:I21)</f>
        <v>0</v>
      </c>
    </row>
    <row r="23" spans="1:9" ht="15.75" x14ac:dyDescent="0.25">
      <c r="G23" s="55" t="s">
        <v>1192</v>
      </c>
      <c r="H23" s="56"/>
      <c r="I23" s="16">
        <f>'VORN objektu (02)'!I36</f>
        <v>0</v>
      </c>
    </row>
    <row r="25" spans="1:9" ht="15.75" x14ac:dyDescent="0.25">
      <c r="A25" s="67" t="s">
        <v>1194</v>
      </c>
      <c r="B25" s="68"/>
      <c r="C25" s="22">
        <f>('Stavební rozpočet'!AS205+'Stavební rozpočet'!AS229+'Stavební rozpočet'!AS301+'Stavební rozpočet'!AS390+'Stavební rozpočet'!AS418+'Stavební rozpočet'!AS422+'Stavební rozpočet'!AS435+'Stavební rozpočet'!AS438)</f>
        <v>0</v>
      </c>
    </row>
    <row r="26" spans="1:9" ht="15.75" x14ac:dyDescent="0.25">
      <c r="A26" s="69" t="s">
        <v>1195</v>
      </c>
      <c r="B26" s="70"/>
      <c r="C26" s="23">
        <f>('Stavební rozpočet'!AT205+'Stavební rozpočet'!AT229+'Stavební rozpočet'!AT301+'Stavební rozpočet'!AT390+'Stavební rozpočet'!AT418+'Stavební rozpočet'!AT422+'Stavební rozpočet'!AT435+'Stavební rozpočet'!AT438)</f>
        <v>0</v>
      </c>
      <c r="D26" s="71" t="s">
        <v>1196</v>
      </c>
      <c r="E26" s="68"/>
      <c r="F26" s="22">
        <f>ROUND(C26*(12/100),2)</f>
        <v>0</v>
      </c>
      <c r="G26" s="71" t="s">
        <v>1197</v>
      </c>
      <c r="H26" s="68"/>
      <c r="I26" s="22">
        <f>SUM(C25:C27)</f>
        <v>0</v>
      </c>
    </row>
    <row r="27" spans="1:9" ht="15.75" x14ac:dyDescent="0.25">
      <c r="A27" s="69" t="s">
        <v>1198</v>
      </c>
      <c r="B27" s="70"/>
      <c r="C27" s="23">
        <f>('Stavební rozpočet'!AU205+'Stavební rozpočet'!AU229+'Stavební rozpočet'!AU301+'Stavební rozpočet'!AU390+'Stavební rozpočet'!AU418+'Stavební rozpočet'!AU422+'Stavební rozpočet'!AU435+'Stavební rozpočet'!AU438)+(F22+I22+F23+I23+I24)</f>
        <v>0</v>
      </c>
      <c r="D27" s="72" t="s">
        <v>1199</v>
      </c>
      <c r="E27" s="70"/>
      <c r="F27" s="23">
        <f>ROUND(C27*(21/100),2)</f>
        <v>0</v>
      </c>
      <c r="G27" s="72" t="s">
        <v>1200</v>
      </c>
      <c r="H27" s="70"/>
      <c r="I27" s="23">
        <f>SUM(F26:F27)+I26</f>
        <v>0</v>
      </c>
    </row>
    <row r="29" spans="1:9" x14ac:dyDescent="0.25">
      <c r="A29" s="73" t="s">
        <v>1201</v>
      </c>
      <c r="B29" s="74"/>
      <c r="C29" s="75"/>
      <c r="D29" s="82" t="s">
        <v>1202</v>
      </c>
      <c r="E29" s="74"/>
      <c r="F29" s="75"/>
      <c r="G29" s="82" t="s">
        <v>1203</v>
      </c>
      <c r="H29" s="74"/>
      <c r="I29" s="75"/>
    </row>
    <row r="30" spans="1:9" x14ac:dyDescent="0.25">
      <c r="A30" s="76" t="s">
        <v>52</v>
      </c>
      <c r="B30" s="77"/>
      <c r="C30" s="78"/>
      <c r="D30" s="83" t="s">
        <v>52</v>
      </c>
      <c r="E30" s="77"/>
      <c r="F30" s="78"/>
      <c r="G30" s="83" t="s">
        <v>52</v>
      </c>
      <c r="H30" s="77"/>
      <c r="I30" s="78"/>
    </row>
    <row r="31" spans="1:9" x14ac:dyDescent="0.25">
      <c r="A31" s="76" t="s">
        <v>52</v>
      </c>
      <c r="B31" s="77"/>
      <c r="C31" s="78"/>
      <c r="D31" s="83" t="s">
        <v>52</v>
      </c>
      <c r="E31" s="77"/>
      <c r="F31" s="78"/>
      <c r="G31" s="83" t="s">
        <v>52</v>
      </c>
      <c r="H31" s="77"/>
      <c r="I31" s="78"/>
    </row>
    <row r="32" spans="1:9" x14ac:dyDescent="0.25">
      <c r="A32" s="76" t="s">
        <v>52</v>
      </c>
      <c r="B32" s="77"/>
      <c r="C32" s="78"/>
      <c r="D32" s="83" t="s">
        <v>52</v>
      </c>
      <c r="E32" s="77"/>
      <c r="F32" s="78"/>
      <c r="G32" s="83" t="s">
        <v>52</v>
      </c>
      <c r="H32" s="77"/>
      <c r="I32" s="78"/>
    </row>
    <row r="33" spans="1:9" x14ac:dyDescent="0.25">
      <c r="A33" s="79" t="s">
        <v>1204</v>
      </c>
      <c r="B33" s="80"/>
      <c r="C33" s="81"/>
      <c r="D33" s="84" t="s">
        <v>1204</v>
      </c>
      <c r="E33" s="80"/>
      <c r="F33" s="81"/>
      <c r="G33" s="84" t="s">
        <v>1204</v>
      </c>
      <c r="H33" s="80"/>
      <c r="I33" s="81"/>
    </row>
    <row r="34" spans="1:9" x14ac:dyDescent="0.25">
      <c r="A34" s="24" t="s">
        <v>140</v>
      </c>
    </row>
    <row r="35" spans="1:9" ht="12.75" customHeight="1" x14ac:dyDescent="0.25">
      <c r="A35" s="40" t="s">
        <v>52</v>
      </c>
      <c r="B35" s="37"/>
      <c r="C35" s="37"/>
      <c r="D35" s="37"/>
      <c r="E35" s="37"/>
      <c r="F35" s="37"/>
      <c r="G35" s="37"/>
      <c r="H35" s="37"/>
      <c r="I35" s="37"/>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46" t="s">
        <v>1221</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65</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3" spans="1:9" ht="15.75" x14ac:dyDescent="0.25">
      <c r="A13" s="85" t="s">
        <v>1206</v>
      </c>
      <c r="B13" s="85"/>
      <c r="C13" s="85"/>
      <c r="D13" s="85"/>
      <c r="E13" s="85"/>
    </row>
    <row r="14" spans="1:9" x14ac:dyDescent="0.25">
      <c r="A14" s="86" t="s">
        <v>1207</v>
      </c>
      <c r="B14" s="87"/>
      <c r="C14" s="87"/>
      <c r="D14" s="87"/>
      <c r="E14" s="88"/>
      <c r="F14" s="25" t="s">
        <v>1208</v>
      </c>
      <c r="G14" s="25" t="s">
        <v>372</v>
      </c>
      <c r="H14" s="25" t="s">
        <v>1209</v>
      </c>
      <c r="I14" s="25" t="s">
        <v>1208</v>
      </c>
    </row>
    <row r="15" spans="1:9" x14ac:dyDescent="0.25">
      <c r="A15" s="89" t="s">
        <v>1174</v>
      </c>
      <c r="B15" s="90"/>
      <c r="C15" s="90"/>
      <c r="D15" s="90"/>
      <c r="E15" s="91"/>
      <c r="F15" s="26">
        <v>0</v>
      </c>
      <c r="G15" s="27" t="s">
        <v>52</v>
      </c>
      <c r="H15" s="27" t="s">
        <v>52</v>
      </c>
      <c r="I15" s="26">
        <f>F15</f>
        <v>0</v>
      </c>
    </row>
    <row r="16" spans="1:9" x14ac:dyDescent="0.25">
      <c r="A16" s="89" t="s">
        <v>1176</v>
      </c>
      <c r="B16" s="90"/>
      <c r="C16" s="90"/>
      <c r="D16" s="90"/>
      <c r="E16" s="91"/>
      <c r="F16" s="26">
        <v>0</v>
      </c>
      <c r="G16" s="27" t="s">
        <v>52</v>
      </c>
      <c r="H16" s="27" t="s">
        <v>52</v>
      </c>
      <c r="I16" s="26">
        <f>F16</f>
        <v>0</v>
      </c>
    </row>
    <row r="17" spans="1:9" x14ac:dyDescent="0.25">
      <c r="A17" s="92" t="s">
        <v>1179</v>
      </c>
      <c r="B17" s="93"/>
      <c r="C17" s="93"/>
      <c r="D17" s="93"/>
      <c r="E17" s="94"/>
      <c r="F17" s="28">
        <v>0</v>
      </c>
      <c r="G17" s="29" t="s">
        <v>52</v>
      </c>
      <c r="H17" s="29" t="s">
        <v>52</v>
      </c>
      <c r="I17" s="28">
        <f>F17</f>
        <v>0</v>
      </c>
    </row>
    <row r="18" spans="1:9" x14ac:dyDescent="0.25">
      <c r="A18" s="95" t="s">
        <v>1210</v>
      </c>
      <c r="B18" s="96"/>
      <c r="C18" s="96"/>
      <c r="D18" s="96"/>
      <c r="E18" s="97"/>
      <c r="F18" s="30" t="s">
        <v>52</v>
      </c>
      <c r="G18" s="31" t="s">
        <v>52</v>
      </c>
      <c r="H18" s="31" t="s">
        <v>52</v>
      </c>
      <c r="I18" s="32">
        <f>SUM(I15:I17)</f>
        <v>0</v>
      </c>
    </row>
    <row r="20" spans="1:9" x14ac:dyDescent="0.25">
      <c r="A20" s="86" t="s">
        <v>1171</v>
      </c>
      <c r="B20" s="87"/>
      <c r="C20" s="87"/>
      <c r="D20" s="87"/>
      <c r="E20" s="88"/>
      <c r="F20" s="25" t="s">
        <v>1208</v>
      </c>
      <c r="G20" s="25" t="s">
        <v>372</v>
      </c>
      <c r="H20" s="25" t="s">
        <v>1209</v>
      </c>
      <c r="I20" s="25" t="s">
        <v>1208</v>
      </c>
    </row>
    <row r="21" spans="1:9" x14ac:dyDescent="0.25">
      <c r="A21" s="89" t="s">
        <v>1175</v>
      </c>
      <c r="B21" s="90"/>
      <c r="C21" s="90"/>
      <c r="D21" s="90"/>
      <c r="E21" s="91"/>
      <c r="F21" s="26">
        <v>0</v>
      </c>
      <c r="G21" s="27" t="s">
        <v>52</v>
      </c>
      <c r="H21" s="27" t="s">
        <v>52</v>
      </c>
      <c r="I21" s="26">
        <f t="shared" ref="I21:I26" si="0">F21</f>
        <v>0</v>
      </c>
    </row>
    <row r="22" spans="1:9" x14ac:dyDescent="0.25">
      <c r="A22" s="89" t="s">
        <v>1177</v>
      </c>
      <c r="B22" s="90"/>
      <c r="C22" s="90"/>
      <c r="D22" s="90"/>
      <c r="E22" s="91"/>
      <c r="F22" s="26">
        <v>0</v>
      </c>
      <c r="G22" s="27" t="s">
        <v>52</v>
      </c>
      <c r="H22" s="27" t="s">
        <v>52</v>
      </c>
      <c r="I22" s="26">
        <f t="shared" si="0"/>
        <v>0</v>
      </c>
    </row>
    <row r="23" spans="1:9" x14ac:dyDescent="0.25">
      <c r="A23" s="89" t="s">
        <v>1180</v>
      </c>
      <c r="B23" s="90"/>
      <c r="C23" s="90"/>
      <c r="D23" s="90"/>
      <c r="E23" s="91"/>
      <c r="F23" s="26">
        <v>0</v>
      </c>
      <c r="G23" s="27" t="s">
        <v>52</v>
      </c>
      <c r="H23" s="27" t="s">
        <v>52</v>
      </c>
      <c r="I23" s="26">
        <f t="shared" si="0"/>
        <v>0</v>
      </c>
    </row>
    <row r="24" spans="1:9" x14ac:dyDescent="0.25">
      <c r="A24" s="89" t="s">
        <v>1181</v>
      </c>
      <c r="B24" s="90"/>
      <c r="C24" s="90"/>
      <c r="D24" s="90"/>
      <c r="E24" s="91"/>
      <c r="F24" s="26">
        <v>0</v>
      </c>
      <c r="G24" s="27" t="s">
        <v>52</v>
      </c>
      <c r="H24" s="27" t="s">
        <v>52</v>
      </c>
      <c r="I24" s="26">
        <f t="shared" si="0"/>
        <v>0</v>
      </c>
    </row>
    <row r="25" spans="1:9" x14ac:dyDescent="0.25">
      <c r="A25" s="89" t="s">
        <v>1183</v>
      </c>
      <c r="B25" s="90"/>
      <c r="C25" s="90"/>
      <c r="D25" s="90"/>
      <c r="E25" s="91"/>
      <c r="F25" s="26">
        <v>0</v>
      </c>
      <c r="G25" s="27" t="s">
        <v>52</v>
      </c>
      <c r="H25" s="27" t="s">
        <v>52</v>
      </c>
      <c r="I25" s="26">
        <f t="shared" si="0"/>
        <v>0</v>
      </c>
    </row>
    <row r="26" spans="1:9" x14ac:dyDescent="0.25">
      <c r="A26" s="92" t="s">
        <v>1184</v>
      </c>
      <c r="B26" s="93"/>
      <c r="C26" s="93"/>
      <c r="D26" s="93"/>
      <c r="E26" s="94"/>
      <c r="F26" s="28">
        <v>0</v>
      </c>
      <c r="G26" s="29" t="s">
        <v>52</v>
      </c>
      <c r="H26" s="29" t="s">
        <v>52</v>
      </c>
      <c r="I26" s="28">
        <f t="shared" si="0"/>
        <v>0</v>
      </c>
    </row>
    <row r="27" spans="1:9" x14ac:dyDescent="0.25">
      <c r="A27" s="95" t="s">
        <v>1211</v>
      </c>
      <c r="B27" s="96"/>
      <c r="C27" s="96"/>
      <c r="D27" s="96"/>
      <c r="E27" s="97"/>
      <c r="F27" s="30" t="s">
        <v>52</v>
      </c>
      <c r="G27" s="31" t="s">
        <v>52</v>
      </c>
      <c r="H27" s="31" t="s">
        <v>52</v>
      </c>
      <c r="I27" s="32">
        <f>SUM(I21:I26)</f>
        <v>0</v>
      </c>
    </row>
    <row r="29" spans="1:9" ht="15.75" x14ac:dyDescent="0.25">
      <c r="A29" s="98" t="s">
        <v>1212</v>
      </c>
      <c r="B29" s="99"/>
      <c r="C29" s="99"/>
      <c r="D29" s="99"/>
      <c r="E29" s="100"/>
      <c r="F29" s="101">
        <f>I18+I27</f>
        <v>0</v>
      </c>
      <c r="G29" s="102"/>
      <c r="H29" s="102"/>
      <c r="I29" s="103"/>
    </row>
    <row r="33" spans="1:9" ht="15.75" x14ac:dyDescent="0.25">
      <c r="A33" s="85" t="s">
        <v>1213</v>
      </c>
      <c r="B33" s="85"/>
      <c r="C33" s="85"/>
      <c r="D33" s="85"/>
      <c r="E33" s="85"/>
    </row>
    <row r="34" spans="1:9" x14ac:dyDescent="0.25">
      <c r="A34" s="86" t="s">
        <v>1214</v>
      </c>
      <c r="B34" s="87"/>
      <c r="C34" s="87"/>
      <c r="D34" s="87"/>
      <c r="E34" s="88"/>
      <c r="F34" s="25" t="s">
        <v>1208</v>
      </c>
      <c r="G34" s="25" t="s">
        <v>372</v>
      </c>
      <c r="H34" s="25" t="s">
        <v>1209</v>
      </c>
      <c r="I34" s="25" t="s">
        <v>1208</v>
      </c>
    </row>
    <row r="35" spans="1:9" x14ac:dyDescent="0.25">
      <c r="A35" s="92" t="s">
        <v>52</v>
      </c>
      <c r="B35" s="93"/>
      <c r="C35" s="93"/>
      <c r="D35" s="93"/>
      <c r="E35" s="94"/>
      <c r="F35" s="28">
        <v>0</v>
      </c>
      <c r="G35" s="29" t="s">
        <v>52</v>
      </c>
      <c r="H35" s="29" t="s">
        <v>52</v>
      </c>
      <c r="I35" s="28">
        <f>F35</f>
        <v>0</v>
      </c>
    </row>
    <row r="36" spans="1:9" x14ac:dyDescent="0.25">
      <c r="A36" s="95" t="s">
        <v>1215</v>
      </c>
      <c r="B36" s="96"/>
      <c r="C36" s="96"/>
      <c r="D36" s="96"/>
      <c r="E36" s="97"/>
      <c r="F36" s="30" t="s">
        <v>52</v>
      </c>
      <c r="G36" s="31" t="s">
        <v>52</v>
      </c>
      <c r="H36" s="31" t="s">
        <v>52</v>
      </c>
      <c r="I36" s="32">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46" t="s">
        <v>1222</v>
      </c>
      <c r="B1" s="33"/>
      <c r="C1" s="33"/>
      <c r="D1" s="33"/>
      <c r="E1" s="33"/>
      <c r="F1" s="33"/>
      <c r="G1" s="33"/>
      <c r="H1" s="33"/>
      <c r="I1" s="33"/>
    </row>
    <row r="2" spans="1:9" x14ac:dyDescent="0.25">
      <c r="A2" s="34" t="s">
        <v>1</v>
      </c>
      <c r="B2" s="35"/>
      <c r="C2" s="41" t="str">
        <f>'Stavební rozpočet'!C2</f>
        <v>REKONSTRUKCE STŘECHY ZŠ T.G.MASARYKA V IVANČICÍCH</v>
      </c>
      <c r="D2" s="42"/>
      <c r="E2" s="39" t="s">
        <v>5</v>
      </c>
      <c r="F2" s="39" t="str">
        <f>'Stavební rozpočet'!I2</f>
        <v>Město Ivančice</v>
      </c>
      <c r="G2" s="35"/>
      <c r="H2" s="39" t="s">
        <v>1160</v>
      </c>
      <c r="I2" s="44" t="s">
        <v>1161</v>
      </c>
    </row>
    <row r="3" spans="1:9" ht="15" customHeight="1" x14ac:dyDescent="0.25">
      <c r="A3" s="36"/>
      <c r="B3" s="37"/>
      <c r="C3" s="43"/>
      <c r="D3" s="43"/>
      <c r="E3" s="37"/>
      <c r="F3" s="37"/>
      <c r="G3" s="37"/>
      <c r="H3" s="37"/>
      <c r="I3" s="45"/>
    </row>
    <row r="4" spans="1:9" x14ac:dyDescent="0.25">
      <c r="A4" s="38" t="s">
        <v>7</v>
      </c>
      <c r="B4" s="37"/>
      <c r="C4" s="40" t="str">
        <f>'Stavební rozpočet'!C4</f>
        <v>oprava střešní konstrukce</v>
      </c>
      <c r="D4" s="37"/>
      <c r="E4" s="40" t="s">
        <v>11</v>
      </c>
      <c r="F4" s="40" t="str">
        <f>'Stavební rozpočet'!I4</f>
        <v>Tomáš Sýkora</v>
      </c>
      <c r="G4" s="37"/>
      <c r="H4" s="40" t="s">
        <v>1160</v>
      </c>
      <c r="I4" s="45" t="s">
        <v>1162</v>
      </c>
    </row>
    <row r="5" spans="1:9" ht="15" customHeight="1" x14ac:dyDescent="0.25">
      <c r="A5" s="36"/>
      <c r="B5" s="37"/>
      <c r="C5" s="37"/>
      <c r="D5" s="37"/>
      <c r="E5" s="37"/>
      <c r="F5" s="37"/>
      <c r="G5" s="37"/>
      <c r="H5" s="37"/>
      <c r="I5" s="45"/>
    </row>
    <row r="6" spans="1:9" x14ac:dyDescent="0.25">
      <c r="A6" s="38" t="s">
        <v>13</v>
      </c>
      <c r="B6" s="37"/>
      <c r="C6" s="40" t="str">
        <f>'Stavební rozpočet'!C6</f>
        <v>ZŠ TGM Ivančice, Na Brněnce 1, 664 91 Ivančice</v>
      </c>
      <c r="D6" s="37"/>
      <c r="E6" s="40" t="s">
        <v>16</v>
      </c>
      <c r="F6" s="40" t="str">
        <f>'Stavební rozpočet'!I6</f>
        <v> </v>
      </c>
      <c r="G6" s="37"/>
      <c r="H6" s="40" t="s">
        <v>1160</v>
      </c>
      <c r="I6" s="45" t="s">
        <v>52</v>
      </c>
    </row>
    <row r="7" spans="1:9" ht="15" customHeight="1" x14ac:dyDescent="0.25">
      <c r="A7" s="36"/>
      <c r="B7" s="37"/>
      <c r="C7" s="37"/>
      <c r="D7" s="37"/>
      <c r="E7" s="37"/>
      <c r="F7" s="37"/>
      <c r="G7" s="37"/>
      <c r="H7" s="37"/>
      <c r="I7" s="45"/>
    </row>
    <row r="8" spans="1:9" x14ac:dyDescent="0.25">
      <c r="A8" s="38" t="s">
        <v>9</v>
      </c>
      <c r="B8" s="37"/>
      <c r="C8" s="40" t="str">
        <f>'Stavební rozpočet'!G4</f>
        <v>13.01.2025</v>
      </c>
      <c r="D8" s="37"/>
      <c r="E8" s="40" t="s">
        <v>15</v>
      </c>
      <c r="F8" s="40" t="str">
        <f>'Stavební rozpočet'!G6</f>
        <v>13.01.2025</v>
      </c>
      <c r="G8" s="37"/>
      <c r="H8" s="37" t="s">
        <v>1163</v>
      </c>
      <c r="I8" s="49">
        <v>20</v>
      </c>
    </row>
    <row r="9" spans="1:9" x14ac:dyDescent="0.25">
      <c r="A9" s="36"/>
      <c r="B9" s="37"/>
      <c r="C9" s="37"/>
      <c r="D9" s="37"/>
      <c r="E9" s="37"/>
      <c r="F9" s="37"/>
      <c r="G9" s="37"/>
      <c r="H9" s="37"/>
      <c r="I9" s="45"/>
    </row>
    <row r="10" spans="1:9" x14ac:dyDescent="0.25">
      <c r="A10" s="38" t="s">
        <v>18</v>
      </c>
      <c r="B10" s="37"/>
      <c r="C10" s="40" t="str">
        <f>'Stavební rozpočet'!C8</f>
        <v>8013212</v>
      </c>
      <c r="D10" s="37"/>
      <c r="E10" s="40" t="s">
        <v>21</v>
      </c>
      <c r="F10" s="40" t="str">
        <f>'Stavební rozpočet'!I8</f>
        <v>Tomáš Sýkora</v>
      </c>
      <c r="G10" s="37"/>
      <c r="H10" s="37" t="s">
        <v>1164</v>
      </c>
      <c r="I10" s="50" t="str">
        <f>'Stavební rozpočet'!G8</f>
        <v>13.01.2025</v>
      </c>
    </row>
    <row r="11" spans="1:9" x14ac:dyDescent="0.25">
      <c r="A11" s="47"/>
      <c r="B11" s="48"/>
      <c r="C11" s="48"/>
      <c r="D11" s="48"/>
      <c r="E11" s="48"/>
      <c r="F11" s="48"/>
      <c r="G11" s="48"/>
      <c r="H11" s="48"/>
      <c r="I11" s="51"/>
    </row>
    <row r="12" spans="1:9" ht="23.25" x14ac:dyDescent="0.25">
      <c r="A12" s="52" t="s">
        <v>1165</v>
      </c>
      <c r="B12" s="52"/>
      <c r="C12" s="52"/>
      <c r="D12" s="52"/>
      <c r="E12" s="52"/>
      <c r="F12" s="52"/>
      <c r="G12" s="52"/>
      <c r="H12" s="52"/>
      <c r="I12" s="52"/>
    </row>
    <row r="13" spans="1:9" ht="26.25" customHeight="1" x14ac:dyDescent="0.25">
      <c r="A13" s="12" t="s">
        <v>1166</v>
      </c>
      <c r="B13" s="53" t="s">
        <v>1167</v>
      </c>
      <c r="C13" s="54"/>
      <c r="D13" s="13" t="s">
        <v>1168</v>
      </c>
      <c r="E13" s="53" t="s">
        <v>1169</v>
      </c>
      <c r="F13" s="54"/>
      <c r="G13" s="13" t="s">
        <v>1170</v>
      </c>
      <c r="H13" s="53" t="s">
        <v>1171</v>
      </c>
      <c r="I13" s="54"/>
    </row>
    <row r="14" spans="1:9" ht="15.75" x14ac:dyDescent="0.25">
      <c r="A14" s="14" t="s">
        <v>1172</v>
      </c>
      <c r="B14" s="15" t="s">
        <v>1173</v>
      </c>
      <c r="C14" s="16">
        <f>SUMIF('Stavební rozpočet'!AI12:AI744,"03",'Stavební rozpočet'!AB12:AB744)</f>
        <v>0</v>
      </c>
      <c r="D14" s="61" t="s">
        <v>1174</v>
      </c>
      <c r="E14" s="62"/>
      <c r="F14" s="16">
        <f>'VORN objektu (03)'!I15</f>
        <v>0</v>
      </c>
      <c r="G14" s="61" t="s">
        <v>1175</v>
      </c>
      <c r="H14" s="62"/>
      <c r="I14" s="17">
        <f>'VORN objektu (03)'!I21</f>
        <v>0</v>
      </c>
    </row>
    <row r="15" spans="1:9" ht="15.75" x14ac:dyDescent="0.25">
      <c r="A15" s="18" t="s">
        <v>52</v>
      </c>
      <c r="B15" s="15" t="s">
        <v>37</v>
      </c>
      <c r="C15" s="16">
        <f>SUMIF('Stavební rozpočet'!AI12:AI744,"03",'Stavební rozpočet'!AC12:AC744)</f>
        <v>0</v>
      </c>
      <c r="D15" s="61" t="s">
        <v>1176</v>
      </c>
      <c r="E15" s="62"/>
      <c r="F15" s="16">
        <f>'VORN objektu (03)'!I16</f>
        <v>0</v>
      </c>
      <c r="G15" s="61" t="s">
        <v>1177</v>
      </c>
      <c r="H15" s="62"/>
      <c r="I15" s="17">
        <f>'VORN objektu (03)'!I22</f>
        <v>0</v>
      </c>
    </row>
    <row r="16" spans="1:9" ht="15.75" x14ac:dyDescent="0.25">
      <c r="A16" s="14" t="s">
        <v>1178</v>
      </c>
      <c r="B16" s="15" t="s">
        <v>1173</v>
      </c>
      <c r="C16" s="16">
        <f>SUMIF('Stavební rozpočet'!AI12:AI744,"03",'Stavební rozpočet'!AD12:AD744)</f>
        <v>0</v>
      </c>
      <c r="D16" s="61" t="s">
        <v>1179</v>
      </c>
      <c r="E16" s="62"/>
      <c r="F16" s="16">
        <f>'VORN objektu (03)'!I17</f>
        <v>0</v>
      </c>
      <c r="G16" s="61" t="s">
        <v>1180</v>
      </c>
      <c r="H16" s="62"/>
      <c r="I16" s="17">
        <f>'VORN objektu (03)'!I23</f>
        <v>0</v>
      </c>
    </row>
    <row r="17" spans="1:9" ht="15.75" x14ac:dyDescent="0.25">
      <c r="A17" s="18" t="s">
        <v>52</v>
      </c>
      <c r="B17" s="15" t="s">
        <v>37</v>
      </c>
      <c r="C17" s="16">
        <f>SUMIF('Stavební rozpočet'!AI12:AI744,"03",'Stavební rozpočet'!AE12:AE744)</f>
        <v>0</v>
      </c>
      <c r="D17" s="61" t="s">
        <v>52</v>
      </c>
      <c r="E17" s="62"/>
      <c r="F17" s="17" t="s">
        <v>52</v>
      </c>
      <c r="G17" s="61" t="s">
        <v>1181</v>
      </c>
      <c r="H17" s="62"/>
      <c r="I17" s="17">
        <f>'VORN objektu (03)'!I24</f>
        <v>0</v>
      </c>
    </row>
    <row r="18" spans="1:9" ht="15.75" x14ac:dyDescent="0.25">
      <c r="A18" s="14" t="s">
        <v>1182</v>
      </c>
      <c r="B18" s="15" t="s">
        <v>1173</v>
      </c>
      <c r="C18" s="16">
        <f>SUMIF('Stavební rozpočet'!AI12:AI744,"03",'Stavební rozpočet'!AF12:AF744)</f>
        <v>0</v>
      </c>
      <c r="D18" s="61" t="s">
        <v>52</v>
      </c>
      <c r="E18" s="62"/>
      <c r="F18" s="17" t="s">
        <v>52</v>
      </c>
      <c r="G18" s="61" t="s">
        <v>1183</v>
      </c>
      <c r="H18" s="62"/>
      <c r="I18" s="17">
        <f>'VORN objektu (03)'!I25</f>
        <v>0</v>
      </c>
    </row>
    <row r="19" spans="1:9" ht="15.75" x14ac:dyDescent="0.25">
      <c r="A19" s="18" t="s">
        <v>52</v>
      </c>
      <c r="B19" s="15" t="s">
        <v>37</v>
      </c>
      <c r="C19" s="16">
        <f>SUMIF('Stavební rozpočet'!AI12:AI744,"03",'Stavební rozpočet'!AG12:AG744)</f>
        <v>0</v>
      </c>
      <c r="D19" s="61" t="s">
        <v>52</v>
      </c>
      <c r="E19" s="62"/>
      <c r="F19" s="17" t="s">
        <v>52</v>
      </c>
      <c r="G19" s="61" t="s">
        <v>1184</v>
      </c>
      <c r="H19" s="62"/>
      <c r="I19" s="17">
        <f>'VORN objektu (03)'!I26</f>
        <v>0</v>
      </c>
    </row>
    <row r="20" spans="1:9" ht="15.75" x14ac:dyDescent="0.25">
      <c r="A20" s="55" t="s">
        <v>1185</v>
      </c>
      <c r="B20" s="56"/>
      <c r="C20" s="16">
        <f>SUMIF('Stavební rozpočet'!AI12:AI744,"03",'Stavební rozpočet'!AH12:AH744)</f>
        <v>0</v>
      </c>
      <c r="D20" s="61" t="s">
        <v>52</v>
      </c>
      <c r="E20" s="62"/>
      <c r="F20" s="17" t="s">
        <v>52</v>
      </c>
      <c r="G20" s="61" t="s">
        <v>52</v>
      </c>
      <c r="H20" s="62"/>
      <c r="I20" s="17" t="s">
        <v>52</v>
      </c>
    </row>
    <row r="21" spans="1:9" ht="15.75" x14ac:dyDescent="0.25">
      <c r="A21" s="57" t="s">
        <v>1186</v>
      </c>
      <c r="B21" s="58"/>
      <c r="C21" s="16">
        <f>SUMIF('Stavební rozpočet'!AI12:AI744,"03",'Stavební rozpočet'!Z12:Z744)</f>
        <v>0</v>
      </c>
      <c r="D21" s="63" t="s">
        <v>52</v>
      </c>
      <c r="E21" s="64"/>
      <c r="F21" s="20" t="s">
        <v>52</v>
      </c>
      <c r="G21" s="63" t="s">
        <v>52</v>
      </c>
      <c r="H21" s="64"/>
      <c r="I21" s="20" t="s">
        <v>52</v>
      </c>
    </row>
    <row r="22" spans="1:9" ht="16.5" customHeight="1" x14ac:dyDescent="0.25">
      <c r="A22" s="59" t="s">
        <v>1187</v>
      </c>
      <c r="B22" s="60"/>
      <c r="C22" s="16">
        <f>SUM(C14:C21)</f>
        <v>0</v>
      </c>
      <c r="D22" s="65" t="s">
        <v>1188</v>
      </c>
      <c r="E22" s="60"/>
      <c r="F22" s="21">
        <f>SUM(F14:F21)</f>
        <v>0</v>
      </c>
      <c r="G22" s="65" t="s">
        <v>1189</v>
      </c>
      <c r="H22" s="60"/>
      <c r="I22" s="21">
        <f>SUM(I14:I21)</f>
        <v>0</v>
      </c>
    </row>
    <row r="23" spans="1:9" ht="15.75" x14ac:dyDescent="0.25">
      <c r="G23" s="55" t="s">
        <v>1192</v>
      </c>
      <c r="H23" s="56"/>
      <c r="I23" s="16">
        <f>'VORN objektu (03)'!I36</f>
        <v>0</v>
      </c>
    </row>
    <row r="25" spans="1:9" ht="15.75" x14ac:dyDescent="0.25">
      <c r="A25" s="67" t="s">
        <v>1194</v>
      </c>
      <c r="B25" s="68"/>
      <c r="C25" s="22">
        <f>('Stavební rozpočet'!AS443+'Stavební rozpočet'!AS451+'Stavební rozpočet'!AS470+'Stavební rozpočet'!AS503)</f>
        <v>0</v>
      </c>
    </row>
    <row r="26" spans="1:9" ht="15.75" x14ac:dyDescent="0.25">
      <c r="A26" s="69" t="s">
        <v>1195</v>
      </c>
      <c r="B26" s="70"/>
      <c r="C26" s="23">
        <f>('Stavební rozpočet'!AT443+'Stavební rozpočet'!AT451+'Stavební rozpočet'!AT470+'Stavební rozpočet'!AT503)</f>
        <v>0</v>
      </c>
      <c r="D26" s="71" t="s">
        <v>1196</v>
      </c>
      <c r="E26" s="68"/>
      <c r="F26" s="22">
        <f>ROUND(C26*(12/100),2)</f>
        <v>0</v>
      </c>
      <c r="G26" s="71" t="s">
        <v>1197</v>
      </c>
      <c r="H26" s="68"/>
      <c r="I26" s="22">
        <f>SUM(C25:C27)</f>
        <v>0</v>
      </c>
    </row>
    <row r="27" spans="1:9" ht="15.75" x14ac:dyDescent="0.25">
      <c r="A27" s="69" t="s">
        <v>1198</v>
      </c>
      <c r="B27" s="70"/>
      <c r="C27" s="23">
        <f>('Stavební rozpočet'!AU443+'Stavební rozpočet'!AU451+'Stavební rozpočet'!AU470+'Stavební rozpočet'!AU503)+(F22+I22+F23+I23+I24)</f>
        <v>0</v>
      </c>
      <c r="D27" s="72" t="s">
        <v>1199</v>
      </c>
      <c r="E27" s="70"/>
      <c r="F27" s="23">
        <f>ROUND(C27*(21/100),2)</f>
        <v>0</v>
      </c>
      <c r="G27" s="72" t="s">
        <v>1200</v>
      </c>
      <c r="H27" s="70"/>
      <c r="I27" s="23">
        <f>SUM(F26:F27)+I26</f>
        <v>0</v>
      </c>
    </row>
    <row r="29" spans="1:9" x14ac:dyDescent="0.25">
      <c r="A29" s="73" t="s">
        <v>1201</v>
      </c>
      <c r="B29" s="74"/>
      <c r="C29" s="75"/>
      <c r="D29" s="82" t="s">
        <v>1202</v>
      </c>
      <c r="E29" s="74"/>
      <c r="F29" s="75"/>
      <c r="G29" s="82" t="s">
        <v>1203</v>
      </c>
      <c r="H29" s="74"/>
      <c r="I29" s="75"/>
    </row>
    <row r="30" spans="1:9" x14ac:dyDescent="0.25">
      <c r="A30" s="76" t="s">
        <v>52</v>
      </c>
      <c r="B30" s="77"/>
      <c r="C30" s="78"/>
      <c r="D30" s="83" t="s">
        <v>52</v>
      </c>
      <c r="E30" s="77"/>
      <c r="F30" s="78"/>
      <c r="G30" s="83" t="s">
        <v>52</v>
      </c>
      <c r="H30" s="77"/>
      <c r="I30" s="78"/>
    </row>
    <row r="31" spans="1:9" x14ac:dyDescent="0.25">
      <c r="A31" s="76" t="s">
        <v>52</v>
      </c>
      <c r="B31" s="77"/>
      <c r="C31" s="78"/>
      <c r="D31" s="83" t="s">
        <v>52</v>
      </c>
      <c r="E31" s="77"/>
      <c r="F31" s="78"/>
      <c r="G31" s="83" t="s">
        <v>52</v>
      </c>
      <c r="H31" s="77"/>
      <c r="I31" s="78"/>
    </row>
    <row r="32" spans="1:9" x14ac:dyDescent="0.25">
      <c r="A32" s="76" t="s">
        <v>52</v>
      </c>
      <c r="B32" s="77"/>
      <c r="C32" s="78"/>
      <c r="D32" s="83" t="s">
        <v>52</v>
      </c>
      <c r="E32" s="77"/>
      <c r="F32" s="78"/>
      <c r="G32" s="83" t="s">
        <v>52</v>
      </c>
      <c r="H32" s="77"/>
      <c r="I32" s="78"/>
    </row>
    <row r="33" spans="1:9" x14ac:dyDescent="0.25">
      <c r="A33" s="79" t="s">
        <v>1204</v>
      </c>
      <c r="B33" s="80"/>
      <c r="C33" s="81"/>
      <c r="D33" s="84" t="s">
        <v>1204</v>
      </c>
      <c r="E33" s="80"/>
      <c r="F33" s="81"/>
      <c r="G33" s="84" t="s">
        <v>1204</v>
      </c>
      <c r="H33" s="80"/>
      <c r="I33" s="81"/>
    </row>
    <row r="34" spans="1:9" x14ac:dyDescent="0.25">
      <c r="A34" s="24" t="s">
        <v>140</v>
      </c>
    </row>
    <row r="35" spans="1:9" ht="12.75" customHeight="1" x14ac:dyDescent="0.25">
      <c r="A35" s="40" t="s">
        <v>52</v>
      </c>
      <c r="B35" s="37"/>
      <c r="C35" s="37"/>
      <c r="D35" s="37"/>
      <c r="E35" s="37"/>
      <c r="F35" s="37"/>
      <c r="G35" s="37"/>
      <c r="H35" s="37"/>
      <c r="I35" s="37"/>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17</vt:i4>
      </vt:variant>
      <vt:variant>
        <vt:lpstr>Pojmenované oblasti</vt:lpstr>
      </vt:variant>
      <vt:variant>
        <vt:i4>1</vt:i4>
      </vt:variant>
    </vt:vector>
  </HeadingPairs>
  <TitlesOfParts>
    <vt:vector size="18" baseType="lpstr">
      <vt:lpstr>Krycí list rozpočtu</vt:lpstr>
      <vt:lpstr>VORN</vt:lpstr>
      <vt:lpstr>Krycí list rozpočtu (00)</vt:lpstr>
      <vt:lpstr>VORN objektu (00)</vt:lpstr>
      <vt:lpstr>Krycí list rozpočtu (01)</vt:lpstr>
      <vt:lpstr>VORN objektu (01)</vt:lpstr>
      <vt:lpstr>Krycí list rozpočtu (02)</vt:lpstr>
      <vt:lpstr>VORN objektu (02)</vt:lpstr>
      <vt:lpstr>Krycí list rozpočtu (03)</vt:lpstr>
      <vt:lpstr>VORN objektu (03)</vt:lpstr>
      <vt:lpstr>Krycí list rozpočtu (04)</vt:lpstr>
      <vt:lpstr>VORN objektu (04)</vt:lpstr>
      <vt:lpstr>Krycí list rozpočtu (05)</vt:lpstr>
      <vt:lpstr>VORN objektu (05)</vt:lpstr>
      <vt:lpstr>Krycí list rozpočtu (06)</vt:lpstr>
      <vt:lpstr>Stavební rozpočet</vt:lpstr>
      <vt:lpstr>VORN objektu (06)</vt:lpstr>
      <vt:lpstr>vorn_sum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Tomáš Sýkora</cp:lastModifiedBy>
  <dcterms:created xsi:type="dcterms:W3CDTF">2021-06-10T20:06:38Z</dcterms:created>
  <dcterms:modified xsi:type="dcterms:W3CDTF">2025-01-27T11:07:30Z</dcterms:modified>
</cp:coreProperties>
</file>