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202300"/>
  <bookViews>
    <workbookView xWindow="436" yWindow="345" windowWidth="26460" windowHeight="20625" tabRatio="911" firstSheet="16" activeTab="21"/>
  </bookViews>
  <sheets>
    <sheet name="Krycí list rozpočtu" sheetId="2" r:id="rId1"/>
    <sheet name="VORN" sheetId="3" state="hidden" r:id="rId2"/>
    <sheet name="Krycí list rozpočtu (01_1)" sheetId="4" r:id="rId3"/>
    <sheet name="VORN objektu (01_1)" sheetId="5" state="hidden" r:id="rId4"/>
    <sheet name="Krycí list rozpočtu (01_2)" sheetId="6" r:id="rId5"/>
    <sheet name="VORN objektu (01_2)" sheetId="7" state="hidden" r:id="rId6"/>
    <sheet name="Krycí list rozpočtu (01_3)" sheetId="8" r:id="rId7"/>
    <sheet name="VORN objektu (01_3)" sheetId="9" state="hidden" r:id="rId8"/>
    <sheet name="Krycí list rozpočtu (02_1)" sheetId="10" r:id="rId9"/>
    <sheet name="VORN objektu (02_1)" sheetId="11" state="hidden" r:id="rId10"/>
    <sheet name="Krycí list rozpočtu (02_2)" sheetId="12" r:id="rId11"/>
    <sheet name="VORN objektu (02_2)" sheetId="13" state="hidden" r:id="rId12"/>
    <sheet name="Krycí list rozpočtu (03_1)" sheetId="14" r:id="rId13"/>
    <sheet name="VORN objektu (03_1)" sheetId="15" state="hidden" r:id="rId14"/>
    <sheet name="Krycí list rozpočtu (03_2)" sheetId="16" r:id="rId15"/>
    <sheet name="VORN objektu (03_2)" sheetId="17" state="hidden" r:id="rId16"/>
    <sheet name="Krycí list rozpočtu (04_1)" sheetId="18" r:id="rId17"/>
    <sheet name="VORN objektu (04_1)" sheetId="19" state="hidden" r:id="rId18"/>
    <sheet name="Krycí list rozpočtu (04_2)" sheetId="20" r:id="rId19"/>
    <sheet name="VORN objektu (04_2)" sheetId="21" state="hidden" r:id="rId20"/>
    <sheet name="Krycí list rozpočtu (05_01)" sheetId="22" r:id="rId21"/>
    <sheet name="Stavební rozpočet" sheetId="1" r:id="rId22"/>
    <sheet name="VORN objektu (05_01)" sheetId="23" state="hidden" r:id="rId23"/>
  </sheets>
  <definedNames>
    <definedName name="vorn_sum">'VORN'!$I$36</definedName>
  </definedNames>
  <calcPr calcId="191029"/>
  <extLst/>
</workbook>
</file>

<file path=xl/sharedStrings.xml><?xml version="1.0" encoding="utf-8"?>
<sst xmlns="http://schemas.openxmlformats.org/spreadsheetml/2006/main" count="10314" uniqueCount="1946">
  <si>
    <t>Slepý stavební rozpočet</t>
  </si>
  <si>
    <t>Název stavby:</t>
  </si>
  <si>
    <t>Vybudování a rekonstrukce odborných učeben v ZŠ TGM</t>
  </si>
  <si>
    <t>Doba výstavby:</t>
  </si>
  <si>
    <t xml:space="preserve"> </t>
  </si>
  <si>
    <t>Objednatel:</t>
  </si>
  <si>
    <t>Město ivančice</t>
  </si>
  <si>
    <t>Druh stavby:</t>
  </si>
  <si>
    <t>Stavební úpravy</t>
  </si>
  <si>
    <t>Začátek výstavby:</t>
  </si>
  <si>
    <t>22.09.2023</t>
  </si>
  <si>
    <t>Projektant:</t>
  </si>
  <si>
    <t>Tomáš Sýkora</t>
  </si>
  <si>
    <t>Lokalita:</t>
  </si>
  <si>
    <t>ZŠ TGM Ivančice; Na Brněnce 1, 664 91 Ivančice</t>
  </si>
  <si>
    <t>Konec výstavby:</t>
  </si>
  <si>
    <t>Zhotovitel:</t>
  </si>
  <si>
    <t> </t>
  </si>
  <si>
    <t>JKSO:</t>
  </si>
  <si>
    <t>8013212</t>
  </si>
  <si>
    <t>Zpracováno dne:</t>
  </si>
  <si>
    <t>Zpracoval:</t>
  </si>
  <si>
    <t>Č</t>
  </si>
  <si>
    <t>Objekt</t>
  </si>
  <si>
    <t>Kód</t>
  </si>
  <si>
    <t>Zkrácený popis</t>
  </si>
  <si>
    <t>MJ</t>
  </si>
  <si>
    <t>Množství</t>
  </si>
  <si>
    <t>Cena/MJ</t>
  </si>
  <si>
    <t>Náklady (Kč)</t>
  </si>
  <si>
    <t>Cenová</t>
  </si>
  <si>
    <t>ISWORK</t>
  </si>
  <si>
    <t>GROUPCODE</t>
  </si>
  <si>
    <t>VATTAX</t>
  </si>
  <si>
    <t>Rozměry</t>
  </si>
  <si>
    <t>(Kč)</t>
  </si>
  <si>
    <t>Dodávka</t>
  </si>
  <si>
    <t>Montáž</t>
  </si>
  <si>
    <t>Celkem</t>
  </si>
  <si>
    <t>soustava</t>
  </si>
  <si>
    <t>Přesuny</t>
  </si>
  <si>
    <t>Typ skupiny</t>
  </si>
  <si>
    <t>HSV mat</t>
  </si>
  <si>
    <t>HSV prac</t>
  </si>
  <si>
    <t>PSV mat</t>
  </si>
  <si>
    <t>PSV prac</t>
  </si>
  <si>
    <t>Mont mat</t>
  </si>
  <si>
    <t>Mont prac</t>
  </si>
  <si>
    <t>Ostatní mat.</t>
  </si>
  <si>
    <t>MAT</t>
  </si>
  <si>
    <t>WORK</t>
  </si>
  <si>
    <t>CELK</t>
  </si>
  <si>
    <t/>
  </si>
  <si>
    <t>01_1</t>
  </si>
  <si>
    <t>WC_Stavba</t>
  </si>
  <si>
    <t>M000VD</t>
  </si>
  <si>
    <t>Preambule</t>
  </si>
  <si>
    <t>1</t>
  </si>
  <si>
    <t>0001</t>
  </si>
  <si>
    <t>!!!UPOZORNĚNÍ k nacenění rozpočtu, čtěte popis této položky!!!</t>
  </si>
  <si>
    <t>2</t>
  </si>
  <si>
    <t>M000VD_</t>
  </si>
  <si>
    <t>01_1_9_</t>
  </si>
  <si>
    <t>01_1_</t>
  </si>
  <si>
    <t xml:space="preserve">Rozpočet je zpracován dle projektové dokumentace "Vybudování a rekonstrukce odborných učeben v ZŠ TGM ". Veškerá specifikace je uvedena v projektové dokumentaci a položky lze nacenit výhradně za použití popisuv PD!!!
- technické zprávy
-výkresové dokumentace
</t>
  </si>
  <si>
    <t>M005VD</t>
  </si>
  <si>
    <t>Vedlejší náklady</t>
  </si>
  <si>
    <t>005121010R</t>
  </si>
  <si>
    <t>Vybudování zařízení staveniště</t>
  </si>
  <si>
    <t>Soubor</t>
  </si>
  <si>
    <t>vlastní</t>
  </si>
  <si>
    <t>M005VD_</t>
  </si>
  <si>
    <t>3</t>
  </si>
  <si>
    <t>005121020R</t>
  </si>
  <si>
    <t>Provoz zařízení staveniště</t>
  </si>
  <si>
    <t>4</t>
  </si>
  <si>
    <t>005121030R</t>
  </si>
  <si>
    <t>Odstranění zařízení staveniště</t>
  </si>
  <si>
    <t>5</t>
  </si>
  <si>
    <t>005122010R</t>
  </si>
  <si>
    <t>Provoz objednatele</t>
  </si>
  <si>
    <t>6</t>
  </si>
  <si>
    <t>005124010R</t>
  </si>
  <si>
    <t>Koordinační činnost</t>
  </si>
  <si>
    <t>7</t>
  </si>
  <si>
    <t>005124011R</t>
  </si>
  <si>
    <t>Výrobní dokumentace</t>
  </si>
  <si>
    <t>8</t>
  </si>
  <si>
    <t>005124012R</t>
  </si>
  <si>
    <t>Dokumentace skutečného provedení stavby</t>
  </si>
  <si>
    <t>31</t>
  </si>
  <si>
    <t>Zdi podpěrné a volné</t>
  </si>
  <si>
    <t>9</t>
  </si>
  <si>
    <t>317940911RAA</t>
  </si>
  <si>
    <t>Osazení válcovaných profilů dodatečně - P01</t>
  </si>
  <si>
    <t>t</t>
  </si>
  <si>
    <t>RTS I / 2023</t>
  </si>
  <si>
    <t>31_</t>
  </si>
  <si>
    <t>01_1_3_</t>
  </si>
  <si>
    <t>vysekání drážky, dodávka profilů</t>
  </si>
  <si>
    <t>1,20*2*8,34/1000</t>
  </si>
  <si>
    <t>P01 - N1.01</t>
  </si>
  <si>
    <t>RTS komentář:</t>
  </si>
  <si>
    <t>V položce není kalkulován poplatek za skládku pro vybouranou suť. Tyto náklady se oceňují individuálně podle místních podmínek, Orientační hmotnost vybouraných konstrukcí je 3,6309 t/t konstrukce</t>
  </si>
  <si>
    <t>34</t>
  </si>
  <si>
    <t>Stěny a příčky</t>
  </si>
  <si>
    <t>10</t>
  </si>
  <si>
    <t>346244381RT2</t>
  </si>
  <si>
    <t>Plentování ocelových nosníků výšky do 20 cm</t>
  </si>
  <si>
    <t>m2</t>
  </si>
  <si>
    <t>34_</t>
  </si>
  <si>
    <t>s použitím suché maltové směsi</t>
  </si>
  <si>
    <t>(0,15*2+0,15)*1,3</t>
  </si>
  <si>
    <t>N1.01 - překlad</t>
  </si>
  <si>
    <t>Jednostranné plentování jakýmikoliv cihlami na jakoukoliv maltu</t>
  </si>
  <si>
    <t>11</t>
  </si>
  <si>
    <t>347016133R00VD02</t>
  </si>
  <si>
    <t>Předstěna SDK,tl.200 mm,oc.kce CW,1xRBI 12,5 mm, bez izol</t>
  </si>
  <si>
    <t>(1,70*1,50)*3</t>
  </si>
  <si>
    <t>R01/OK - předstěna WC N1.01;N2.01;N3.01</t>
  </si>
  <si>
    <t>Předsazené stěny volně stojící, systém OK11 (3.22.00a), samostatná ocelová konstrukce z profilů CW 50 a UW 50, 1x opláštěná, tl. 200 mm, bez minerální izolace, desky impregnované RBI (H2) tl. 12,5 mm.</t>
  </si>
  <si>
    <t>61</t>
  </si>
  <si>
    <t>Úprava povrchů vnitřní</t>
  </si>
  <si>
    <t>12</t>
  </si>
  <si>
    <t>612403382RV1</t>
  </si>
  <si>
    <t>Hrubá výplň rýh ve stěnách do 7x7 cm maltou ze SMS</t>
  </si>
  <si>
    <t>m</t>
  </si>
  <si>
    <t>61_</t>
  </si>
  <si>
    <t>01_1_6_</t>
  </si>
  <si>
    <t>výplňovou nesmrštivou maltou</t>
  </si>
  <si>
    <t>4,0*2+6,50</t>
  </si>
  <si>
    <t>voda umyvadlo 1NP-3NP; N1.01;N2.01;N3.01</t>
  </si>
  <si>
    <t>kanalizace umyvadlo 1NP-3NP; N1.01;N2.01;N3.01</t>
  </si>
  <si>
    <t>V položce nejsou zakalkulovány náklady na omítku rýh. Tyto práce se oceňují samostatně položkami souboru 612 44.</t>
  </si>
  <si>
    <t>13</t>
  </si>
  <si>
    <t>612421331RT2</t>
  </si>
  <si>
    <t>Oprava vápen.omítek stěn do 30 % pl. - štukových</t>
  </si>
  <si>
    <t>RTS II / 2023</t>
  </si>
  <si>
    <t>(2,80*2+1,95*2)*3,75+5,52-0,90*1,97-0,60*1,20+0,35*(1,20*2+0,60*2)-((0,95+2,00*2+1,95)*2,10)-(0,25*2*(3,75-2,1))</t>
  </si>
  <si>
    <t>N1.01</t>
  </si>
  <si>
    <t>N2.01</t>
  </si>
  <si>
    <t>(2,80*2+1,95*2)*4,25+5,52-0,90*1,97-0,60*1,20+0,35*(1,20*2+0,60*2)-((0,95+2,00*2+1,95)*2,10)-(0,25*2*(4,25-2,1))</t>
  </si>
  <si>
    <t>N3.01</t>
  </si>
  <si>
    <t>V položce jsou zakalkulovány náklady na pomocné pracovní lešení o výšce podlahy do 1900 mm a pro zatížení do 1,5 kPa</t>
  </si>
  <si>
    <t>14</t>
  </si>
  <si>
    <t>610991111R00</t>
  </si>
  <si>
    <t>Zakrývání výplní vnitřních otvorů</t>
  </si>
  <si>
    <t>0,54*1,2*3</t>
  </si>
  <si>
    <t>0,95*2,0*4</t>
  </si>
  <si>
    <t>64</t>
  </si>
  <si>
    <t>Výplně otvorů</t>
  </si>
  <si>
    <t>15</t>
  </si>
  <si>
    <t>642944121RU5</t>
  </si>
  <si>
    <t>Osazení ocelových zárubní dodatečně do 2,5 m2 - levé</t>
  </si>
  <si>
    <t>kus</t>
  </si>
  <si>
    <t>64_</t>
  </si>
  <si>
    <t>včetně dodávky zárubně 900 x 1970 x 150 mm
včetně nátěru 1×základ + 2× final</t>
  </si>
  <si>
    <t>01/L; N1.01;N2.01;N3.01</t>
  </si>
  <si>
    <t>V položce jsou zakalkulovány i náklady na dodávku ocelové zárubně 90x197x16. V položce jsou zakalkulovány náklady na pomocné pracovní lešení o výšce podlahy do 1900 mm a pro zatížení do 1,5 kPa</t>
  </si>
  <si>
    <t>16</t>
  </si>
  <si>
    <t>642942111RZ1VD01</t>
  </si>
  <si>
    <t>Osazení dveří, pl. do 2,5 m2</t>
  </si>
  <si>
    <t>mat ve specifikaci</t>
  </si>
  <si>
    <t>; N1.01;N2.01;N3.01</t>
  </si>
  <si>
    <t>17</t>
  </si>
  <si>
    <t>61165004</t>
  </si>
  <si>
    <t>Dveře vnitřní hladké plné  900 x 1970 mm - viz výpis</t>
  </si>
  <si>
    <t>N1.01;N2.01;N3.01</t>
  </si>
  <si>
    <t>rám z MDF  vnitřní výplň - vytlačovaná dřevotříska  povrchová úprava - laminát CPL</t>
  </si>
  <si>
    <t>711</t>
  </si>
  <si>
    <t>Izolace proti vodě</t>
  </si>
  <si>
    <t>18</t>
  </si>
  <si>
    <t>711212000RU1</t>
  </si>
  <si>
    <t>Penetrace podkladu pod hydroizolační hmoty, včetně dodávky</t>
  </si>
  <si>
    <t>711_</t>
  </si>
  <si>
    <t>01_1_71_</t>
  </si>
  <si>
    <t>Primer</t>
  </si>
  <si>
    <t>5,52+5,52+5,59</t>
  </si>
  <si>
    <t>N1.01,N2.01, N3.01</t>
  </si>
  <si>
    <t>9,80*3*0,15</t>
  </si>
  <si>
    <t>sokl</t>
  </si>
  <si>
    <t>Penetrace podkladů pod hydroizolační nátěry</t>
  </si>
  <si>
    <t>19</t>
  </si>
  <si>
    <t>711212001RT2</t>
  </si>
  <si>
    <t>Nátěr hydroizolační, vč. dodávky HI hmoty</t>
  </si>
  <si>
    <t>21,04</t>
  </si>
  <si>
    <t>viz penetrace pod HI; N1.01;N2.01;N3.01</t>
  </si>
  <si>
    <t>Pro vnitřní použití pod dlažbu a obklad. Aplikace pomocí válečku ve dvou vrstvách, nebo hladké stěrky v jedné vrstvě. Pod hydroizolační nátěr je vždy nutné použít penetraci pol.č. 71121-2000</t>
  </si>
  <si>
    <t>20</t>
  </si>
  <si>
    <t>711212602RT2</t>
  </si>
  <si>
    <t>Utěsnění detailů při stěrkových hydroizolacích, těsnicí roh vnější, vnitřní do spoje podlaha-stěna</t>
  </si>
  <si>
    <t>vnější, vnitřní roh</t>
  </si>
  <si>
    <t>4*3</t>
  </si>
  <si>
    <t>21</t>
  </si>
  <si>
    <t>711212601RT2</t>
  </si>
  <si>
    <t>Utěsnění detailů při stěrkových hydroizolacích, těsnicí pás do spoje podlaha - stěna</t>
  </si>
  <si>
    <t xml:space="preserve"> šířka 100 mm</t>
  </si>
  <si>
    <t>(2,60*2+1,95*2-0,9)*3</t>
  </si>
  <si>
    <t>sokl; N1.01;N2.01;N3.01</t>
  </si>
  <si>
    <t>Nastěrkování podkladu v šířce 0,16 m, položení a uhlazení těsnicího pásu, překrytí další stěrkou</t>
  </si>
  <si>
    <t>721</t>
  </si>
  <si>
    <t>Vnitřní kanalizace</t>
  </si>
  <si>
    <t>22</t>
  </si>
  <si>
    <t>721110806R00</t>
  </si>
  <si>
    <t>Demontáž potrubí z kameninových trub do DN 200 mm</t>
  </si>
  <si>
    <t>721_</t>
  </si>
  <si>
    <t>01_1_72_</t>
  </si>
  <si>
    <t>(3,73+0,5)*2+4,25</t>
  </si>
  <si>
    <t>1NP,2NP,3NP; N1.01;N2.01;N3.01</t>
  </si>
  <si>
    <t>725</t>
  </si>
  <si>
    <t>Zařizovací předměty</t>
  </si>
  <si>
    <t>23</t>
  </si>
  <si>
    <t>725290020RA0</t>
  </si>
  <si>
    <t>Demontáž umyvadla včetně baterie a konzol - X02</t>
  </si>
  <si>
    <t>725_</t>
  </si>
  <si>
    <t>1NP - 1.01</t>
  </si>
  <si>
    <t>2NP - 2.01</t>
  </si>
  <si>
    <t>3NP - 3.01</t>
  </si>
  <si>
    <t>24</t>
  </si>
  <si>
    <t>725290010RA0</t>
  </si>
  <si>
    <t>Demontáž klozetu včetně splachovací nádrže - X03</t>
  </si>
  <si>
    <t>25</t>
  </si>
  <si>
    <t>725292035R00</t>
  </si>
  <si>
    <t>Držák na toaletní papír nerezový</t>
  </si>
  <si>
    <t>soubor</t>
  </si>
  <si>
    <t>26</t>
  </si>
  <si>
    <t>725292061R00</t>
  </si>
  <si>
    <t>WC kartáč s nerezovým držákem na stěnu</t>
  </si>
  <si>
    <t>27</t>
  </si>
  <si>
    <t>725292041R00</t>
  </si>
  <si>
    <t>Dávkovač tekutého mýdla nerezový 0,5 l</t>
  </si>
  <si>
    <t>28</t>
  </si>
  <si>
    <t>725292011R00</t>
  </si>
  <si>
    <t>Zásobník na papírové ručníky nerezový</t>
  </si>
  <si>
    <t>29</t>
  </si>
  <si>
    <t>7252920VD01</t>
  </si>
  <si>
    <t>Osazení háčků na oděvy D+M</t>
  </si>
  <si>
    <t>3*2</t>
  </si>
  <si>
    <t>30</t>
  </si>
  <si>
    <t>55149031</t>
  </si>
  <si>
    <t>Koš odpadkový nerezový SLZN 11 obsah 5 l D+M</t>
  </si>
  <si>
    <t>735</t>
  </si>
  <si>
    <t>Otopná tělesa</t>
  </si>
  <si>
    <t>735151811R00</t>
  </si>
  <si>
    <t>Demontáž otopných těles panelových jednořadých, délky do1500 mm - X05</t>
  </si>
  <si>
    <t>735_</t>
  </si>
  <si>
    <t>01_1_73_</t>
  </si>
  <si>
    <t>1.01</t>
  </si>
  <si>
    <t>2.01</t>
  </si>
  <si>
    <t>3.01</t>
  </si>
  <si>
    <t>767</t>
  </si>
  <si>
    <t>Konstrukce doplňkové stavební (zámečnické)</t>
  </si>
  <si>
    <t>32</t>
  </si>
  <si>
    <t>767649194R00VD01</t>
  </si>
  <si>
    <t>Montáž doplňků</t>
  </si>
  <si>
    <t>767_</t>
  </si>
  <si>
    <t>01_1_76_</t>
  </si>
  <si>
    <t>doplňky ve specifikaci</t>
  </si>
  <si>
    <t>1*3</t>
  </si>
  <si>
    <t>Madlo rovné 400 mm leštěná nerez</t>
  </si>
  <si>
    <t>madlo 700 mm brus</t>
  </si>
  <si>
    <t>klopné madlo ve tvaru U 900 mm nerez</t>
  </si>
  <si>
    <t>33</t>
  </si>
  <si>
    <t>55440301VD01</t>
  </si>
  <si>
    <t>V04</t>
  </si>
  <si>
    <t>55440301VD02</t>
  </si>
  <si>
    <t>V05</t>
  </si>
  <si>
    <t>35</t>
  </si>
  <si>
    <t>55440301VD03</t>
  </si>
  <si>
    <t>V06</t>
  </si>
  <si>
    <t>771</t>
  </si>
  <si>
    <t>Podlahy z dlaždic</t>
  </si>
  <si>
    <t>36</t>
  </si>
  <si>
    <t>771100010RA0VD01</t>
  </si>
  <si>
    <t>Vyrovnání podk.samoniv.hmotou</t>
  </si>
  <si>
    <t>771_</t>
  </si>
  <si>
    <t>01_1_77_</t>
  </si>
  <si>
    <t>včetně penetrace</t>
  </si>
  <si>
    <t>materiál ve specifikaci</t>
  </si>
  <si>
    <t>37</t>
  </si>
  <si>
    <t>235215931VD01</t>
  </si>
  <si>
    <t>Stěrka samonivelační , cementová</t>
  </si>
  <si>
    <t>kg</t>
  </si>
  <si>
    <t>16,63*1,6*20</t>
  </si>
  <si>
    <t>odhad 20 mm</t>
  </si>
  <si>
    <t>;ztratné 5%; 26,608</t>
  </si>
  <si>
    <t>Samonivelační vlákny vyztužená rychletvrdnoucí vyrovnávací hmota pro tloušťky vrstvy od 3 do 40 mm. Dle ČSN EN 13813. Zvláště vhodná pro vyrovnání stávajících podkladů, dokonce i dřevěných. Určen především do prostor se zatížením provozem kolečkovým židlemi a podlahovým vytápěním. konzistence jemný šedý prášek  Zpracovatelnost: 20 minut Doba tuhnutí 50 - 90 minut Pochůznost: po cca 3-6 hodinách. Čekací doba před pokládkou krytin: dlažba z keramiky: 3-24 h  pružné krytiny a dřevo: 24-72 h Aplikace: hladítkem nebo čerpadlem.  balení 23 k</t>
  </si>
  <si>
    <t>38</t>
  </si>
  <si>
    <t>771101210RT1</t>
  </si>
  <si>
    <t>Penetrace podkladu pod dlažby</t>
  </si>
  <si>
    <t>penetrační nátěr</t>
  </si>
  <si>
    <t>Položka obsahuje montáž a dodávku penetračního nátěru pro zlepšení kontaktu s lepicím tmelem.</t>
  </si>
  <si>
    <t>39</t>
  </si>
  <si>
    <t>771575109RT6</t>
  </si>
  <si>
    <t>Montáž podlah keram.,hladké, tmel, 30x30 cm</t>
  </si>
  <si>
    <t>(lepidlo), (spár.hmota)</t>
  </si>
  <si>
    <t>5,52+5,52+5,59-0,20*1,75*3</t>
  </si>
  <si>
    <t>Spotřeba lepidla pro zubovou stěrku 5 mm, spotřeba spárovací hmoty pro spáru šířky 8, výšky 10 mm</t>
  </si>
  <si>
    <t>40</t>
  </si>
  <si>
    <t>597642031</t>
  </si>
  <si>
    <t>Dlažba protiskluz. SB 300x300x9 mm</t>
  </si>
  <si>
    <t>15,58</t>
  </si>
  <si>
    <t>;ztratné 5%; 0,779</t>
  </si>
  <si>
    <t>Slinuté neglazované obkladové prvky s velmi nízkou nasákavostí pod 0,5 %, určené k obkladům podlah v exteriérech a interiérech, které jsou vystaveny povětrnostním vlivům a vysokému až extremnímu mechanickému namáhání, obrusu a znečištění.  SB - hladký protiskluzný povrc</t>
  </si>
  <si>
    <t>41</t>
  </si>
  <si>
    <t>771578011RT3</t>
  </si>
  <si>
    <t>Spára podlaha - stěna, silikonem</t>
  </si>
  <si>
    <t>vč. materiálu</t>
  </si>
  <si>
    <t>781</t>
  </si>
  <si>
    <t>Obklady (keramické)</t>
  </si>
  <si>
    <t>42</t>
  </si>
  <si>
    <t>781101111R00</t>
  </si>
  <si>
    <t>Vyrovnání podkladu maltou ze SMS tl. do 7 mm</t>
  </si>
  <si>
    <t>781_</t>
  </si>
  <si>
    <t>01_1_78_</t>
  </si>
  <si>
    <t>(1,95*2+2,80*2)*2,10-0,90*2,00-0,60*0,60*1+0,20*1,75-0,20*1,50</t>
  </si>
  <si>
    <t>Položka obsahuje očištění podkladu od nepřídržných částic, rozmíchání suché směsi s vodou, nanesení na stěnu a vyhlazení, uklizení odpadu. Položka neobsahuje žádný materiál.</t>
  </si>
  <si>
    <t>43</t>
  </si>
  <si>
    <t>781675116R00VD01</t>
  </si>
  <si>
    <t>Montáž obkladů parapetů a ostění keramic. na tmel, 30x60 cm</t>
  </si>
  <si>
    <t>0,6*3*3</t>
  </si>
  <si>
    <t>1NP-3NP</t>
  </si>
  <si>
    <t>spára 8/1</t>
  </si>
  <si>
    <t>44</t>
  </si>
  <si>
    <t>781475120RT2</t>
  </si>
  <si>
    <t>Obklad vnitřní stěn keramický, do tmele, 30x60 cm</t>
  </si>
  <si>
    <t>včetně tmele a spárovací hmoty</t>
  </si>
  <si>
    <t>(spára 10/12 mm</t>
  </si>
  <si>
    <t>45</t>
  </si>
  <si>
    <t>597813747</t>
  </si>
  <si>
    <t>Obkládačka 30x60 šedá lesk</t>
  </si>
  <si>
    <t>53,52</t>
  </si>
  <si>
    <t>;ztratné 7%; 3,7464</t>
  </si>
  <si>
    <t>glazované keramické obkladové prvky. Dodavatel vyvzorkuje odstíny.</t>
  </si>
  <si>
    <t>46</t>
  </si>
  <si>
    <t>781497121RS3</t>
  </si>
  <si>
    <t>Lišta hliníková rohová, ukončovací k obkladům</t>
  </si>
  <si>
    <t>profil RB, pro tloušťku obkladu 10 mm</t>
  </si>
  <si>
    <t>4,67+4,06+1,75+0,60+2,1*2+0,60*3</t>
  </si>
  <si>
    <t>Pokládání do tmele.</t>
  </si>
  <si>
    <t>47</t>
  </si>
  <si>
    <t>781101210RT4</t>
  </si>
  <si>
    <t>Penetrace podkladu pod obklady</t>
  </si>
  <si>
    <t>43,29</t>
  </si>
  <si>
    <t>pod vyrovnávací vrstvu; N1.01;N2.01;N3.01</t>
  </si>
  <si>
    <t>pod obklad; N1.01;N2.01;N3.01</t>
  </si>
  <si>
    <t>0,37*0,60*3</t>
  </si>
  <si>
    <t>pod obklad ostění; N1.01;N2.01;N3.01</t>
  </si>
  <si>
    <t>Položka obsahuje provedení penetračního nátěru včetně dodávky materiálu.</t>
  </si>
  <si>
    <t>48</t>
  </si>
  <si>
    <t>781101141R00</t>
  </si>
  <si>
    <t>Hydroizolační stěrka jednovrstvá pod obklady</t>
  </si>
  <si>
    <t>1,0*1,50*3</t>
  </si>
  <si>
    <t>za obkladem umyvadla; N1.01;N2.01;N3.01</t>
  </si>
  <si>
    <t>Položka obsahuje provedení penetračního nátěru. Položka neobsahuje žádný materiál.</t>
  </si>
  <si>
    <t>49</t>
  </si>
  <si>
    <t>781111115R00</t>
  </si>
  <si>
    <t>Otvor v obkladačce diamant.korunkou prům.do 30 mm</t>
  </si>
  <si>
    <t>2*3</t>
  </si>
  <si>
    <t>baterie umyvadla; N1.01;N2.01;N3.01</t>
  </si>
  <si>
    <t>50</t>
  </si>
  <si>
    <t>781111116R00</t>
  </si>
  <si>
    <t>Otvor v obkladačce diamant.korunkou prům.do 90 mm</t>
  </si>
  <si>
    <t>sifon umyvadel; N1.01;N2.01;N3.01</t>
  </si>
  <si>
    <t>783</t>
  </si>
  <si>
    <t>Nátěry</t>
  </si>
  <si>
    <t>51</t>
  </si>
  <si>
    <t>783222100R00</t>
  </si>
  <si>
    <t>Nátěr syntetický kovových konstrukcí 1×základ + dvojnásobný final</t>
  </si>
  <si>
    <t>783_</t>
  </si>
  <si>
    <t>(0,150+0,050*2)*(2,0*2+1,0)*3</t>
  </si>
  <si>
    <t>zárubeň; N1.01;N2.01;N3.01</t>
  </si>
  <si>
    <t>0,10*2*(3,75+3,75+4,25)+0,10*2*(0,45+0,45+0,45)</t>
  </si>
  <si>
    <t>UT ROZVODY</t>
  </si>
  <si>
    <t>784</t>
  </si>
  <si>
    <t>Malby</t>
  </si>
  <si>
    <t>52</t>
  </si>
  <si>
    <t>784191101R00</t>
  </si>
  <si>
    <t>Penetrace podkladu univerzální 1x</t>
  </si>
  <si>
    <t>784_</t>
  </si>
  <si>
    <t>9,8*3,75*2+9,8*4,25+5,59*2+0,6*3*0,35</t>
  </si>
  <si>
    <t>stěny a strop;; N1.01;N2.01;N3.01</t>
  </si>
  <si>
    <t>-0,9*1,97*3-0,6*0,6*3-8,53*2,1*3</t>
  </si>
  <si>
    <t>odečet otvorů a obkladu, dveří; N1.01;N2.01;N3.01</t>
  </si>
  <si>
    <t>5,0*3</t>
  </si>
  <si>
    <t>návaznost ploch na chodbě; N1.01;N2.01;N3.01</t>
  </si>
  <si>
    <t>Penetrační přípravek k provádění základního napouštěcího nátěru pod interiérové a fasádní akrylátové barvy, zpevňuje podklad, sjednocuje savost, omezuje tvorbu vlasových trhlinek a zvyšuje přilnavost dalších vrstev nátěrů, lepidel či tmelů.</t>
  </si>
  <si>
    <t>53</t>
  </si>
  <si>
    <t>784195212R00</t>
  </si>
  <si>
    <t>Malba Plus, bílá, bez penetrace, 2 x</t>
  </si>
  <si>
    <t>81,822</t>
  </si>
  <si>
    <t>viz penetrace; N1.01;N2.01;N3.01</t>
  </si>
  <si>
    <t>Otěruvzdorný tekutý malířský vnitřní nátěr s výbornou kryvostí a bělostí. Ředí se vodou 0,5 - 0,75 l čisté vody na 1 kg barvy. Bez vyspravení sádrou a bez penetrace.</t>
  </si>
  <si>
    <t>54</t>
  </si>
  <si>
    <t>784403801R00</t>
  </si>
  <si>
    <t>Odstranění maleb omytím v místnosti H do 3,8 m</t>
  </si>
  <si>
    <t>Položka není určena pro úplné odstranění malby latexové</t>
  </si>
  <si>
    <t>787</t>
  </si>
  <si>
    <t>Zasklívání</t>
  </si>
  <si>
    <t>55</t>
  </si>
  <si>
    <t>787911111R00VD01</t>
  </si>
  <si>
    <t>Montáž zrcadla na stěnu, na lepidlo, pl. do 2 m2</t>
  </si>
  <si>
    <t>787_</t>
  </si>
  <si>
    <t>0,8*1,0*3</t>
  </si>
  <si>
    <t xml:space="preserve"> osazení hned nad umyvadlem; N1.01;N2.01;N3.01</t>
  </si>
  <si>
    <t>56</t>
  </si>
  <si>
    <t>63465126</t>
  </si>
  <si>
    <t>Zrcadlo nemontované čiré tl. 5 mm</t>
  </si>
  <si>
    <t>osazení hned nad umyvadlem; N1.01;N2.01;N3.01</t>
  </si>
  <si>
    <t>94</t>
  </si>
  <si>
    <t>Lešení a stavební výtahy</t>
  </si>
  <si>
    <t>57</t>
  </si>
  <si>
    <t>941955002R00</t>
  </si>
  <si>
    <t>Lešení lehké pomocné, výška podlahy do 1,9 m</t>
  </si>
  <si>
    <t>94_</t>
  </si>
  <si>
    <t xml:space="preserve">v průběhu všech stavebníc prací
</t>
  </si>
  <si>
    <t>5,52*3</t>
  </si>
  <si>
    <t>wc</t>
  </si>
  <si>
    <t>1,5</t>
  </si>
  <si>
    <t>N1.01 - zvětšení otvoru</t>
  </si>
  <si>
    <t>58</t>
  </si>
  <si>
    <t>N3.11</t>
  </si>
  <si>
    <t>95</t>
  </si>
  <si>
    <t>Různé dokončovací konstrukce a práce na pozemních stavbách</t>
  </si>
  <si>
    <t>59</t>
  </si>
  <si>
    <t>954312203R00VD01</t>
  </si>
  <si>
    <t>Opláštění z SDK,2.str,do 500x500 mm,RBI tl.12,5 mm</t>
  </si>
  <si>
    <t>95_</t>
  </si>
  <si>
    <t>3,75*2+4,25</t>
  </si>
  <si>
    <t>R02/SK</t>
  </si>
  <si>
    <t>Opláštění svislých konstrukcí sádrokartonovými deskami dvoustranné od 200x200 mm do 500x500mm, 1x opláštění, desky impregnované proti vlhkosti RBI (H2) tl. 12,5mm.</t>
  </si>
  <si>
    <t>60</t>
  </si>
  <si>
    <t>952901111R00</t>
  </si>
  <si>
    <t>Vyčištění budov o výšce podlaží do 4 m</t>
  </si>
  <si>
    <t>96</t>
  </si>
  <si>
    <t>Bourání konstrukcí</t>
  </si>
  <si>
    <t>962200011RAA</t>
  </si>
  <si>
    <t>Bourání příček z cihel pálených - X04</t>
  </si>
  <si>
    <t>96_</t>
  </si>
  <si>
    <t>tloušťka 10 cm</t>
  </si>
  <si>
    <t>0,27*2*3,75</t>
  </si>
  <si>
    <t>1NP - 1.01,</t>
  </si>
  <si>
    <t>2NP - 2.01,</t>
  </si>
  <si>
    <t>0,27*2*4,24</t>
  </si>
  <si>
    <t>3NP - 3.01,</t>
  </si>
  <si>
    <t>V položce není kalkulován poplatek za skládku pro vybouranou suť. Tyto náklady se oceňují individuálně podle místních podmínek. Orientační hmotnost vybouraných konstrukcí je 0,131 t/m2 konstrukce.</t>
  </si>
  <si>
    <t>62</t>
  </si>
  <si>
    <t>968061125R00</t>
  </si>
  <si>
    <t>Vyvěšení dřevěných a plastových dveřních křídel pl. do 2 m2 - X06</t>
  </si>
  <si>
    <t>Položka obsahuje náklady na vyvěšení křídel, jejich uložení a zpětné zavěšení po provedených stavebních úpravách. Položka se používá i pro vyvěšení křídel určených k likvidaci</t>
  </si>
  <si>
    <t>63</t>
  </si>
  <si>
    <t>968072455R00</t>
  </si>
  <si>
    <t>Vybourání kovových dveřních zárubní pl. do 2 m2 - X07</t>
  </si>
  <si>
    <t>0,6*1,97*1</t>
  </si>
  <si>
    <t>V položce není kalkulována manipulace se sutí, která se oceňuje samostatně položkami souboru 979. V položce není zakalkulováno vyvěšení dveřních křídel. Tyto práce se oceňují samostatně položkami souboru 968 06-11.. nebo 07-11.. Vyvěšení křídel.</t>
  </si>
  <si>
    <t>962200011RAB</t>
  </si>
  <si>
    <t>Bourání příček z cihel pálených - X07</t>
  </si>
  <si>
    <t>tloušťka 15 cm</t>
  </si>
  <si>
    <t>0,5*2,00</t>
  </si>
  <si>
    <t>V položce není kalkulován poplatek za skládku pro vybouranou suť. Tyto náklady se oceňují individuálně podle místních podmínek. Orientační hmotnost vybouraných konstrukcí je 0,261 t/m2 konstrukce.</t>
  </si>
  <si>
    <t>65</t>
  </si>
  <si>
    <t>965081713RT2</t>
  </si>
  <si>
    <t>Bourání dlažeb keramických tl.10 mm, nad 1 m2 - X08</t>
  </si>
  <si>
    <t>sbíječka, dlaždice keramické</t>
  </si>
  <si>
    <t>5,48+5,52+5,52</t>
  </si>
  <si>
    <t>1.01, 2.01, 3.01</t>
  </si>
  <si>
    <t>V položce není kalkulována manipulace se sutí, která se oceňuje samostatně položkami souboru 979.  V položce nejsou zakalkulovány náklady na bourání podkladního lože pod dlažbou</t>
  </si>
  <si>
    <t>66</t>
  </si>
  <si>
    <t>965048250R00</t>
  </si>
  <si>
    <t>Dočištění povrchu po vybourání dlažeb, MC do 50% - X08</t>
  </si>
  <si>
    <t>Položka se používá pro dočištění povrchu od cementové malty (tl. 20-30 mm) po vybourání dlažby. V položce není kalkulována manipulace se sutí, která se oceňuje samostatně položkami souboru 979.</t>
  </si>
  <si>
    <t>97</t>
  </si>
  <si>
    <t>Prorážení otvorů a ostatní bourací práce</t>
  </si>
  <si>
    <t>67</t>
  </si>
  <si>
    <t>978059531R00</t>
  </si>
  <si>
    <t>Odsekání vnitřních obkladů stěn nad 2 m2 - X01</t>
  </si>
  <si>
    <t>97_</t>
  </si>
  <si>
    <t>(2,80*2+1,95*2)*2,00-0,65*2,00-0,6*(2,00-1,50)+0,50*(0,325*2+0,50)</t>
  </si>
  <si>
    <t>1NP - 1.01 - umývárna</t>
  </si>
  <si>
    <t>(2,80*2+1,95*2)*2,00-0,95*2,00-0,6*(2,00-1,50)+0,50*(0,325*2+0,50)</t>
  </si>
  <si>
    <t>2NP - 2.01 - wc</t>
  </si>
  <si>
    <t>3NP - 3.01 - wc</t>
  </si>
  <si>
    <t>V položce není kalkulována manipulace se sutí, která se oceňuje samostatně položkami souboru 979.</t>
  </si>
  <si>
    <t>68</t>
  </si>
  <si>
    <t>974031142R00</t>
  </si>
  <si>
    <t>Vysekání rýh ve zdi cihelné 7 x 7 cm</t>
  </si>
  <si>
    <t>Položka platí pro zdivo na jakoukoliv maltu vápennou nebo vápenocementovou, V položce není kalkulována manipulace se sutí, která se oceňuje samostatně položkami souboru 979</t>
  </si>
  <si>
    <t>M22</t>
  </si>
  <si>
    <t>Montáže sdělovací a zabezpečovací techniky</t>
  </si>
  <si>
    <t>69</t>
  </si>
  <si>
    <t>2222909VD01</t>
  </si>
  <si>
    <t>Odkládací police 200×200 mm D+M</t>
  </si>
  <si>
    <t>M22_</t>
  </si>
  <si>
    <t>Jedná se odkládací polici na wc imobilní, dle sortimentu na trhu. Uvedený rozměr je orientační.</t>
  </si>
  <si>
    <t>S</t>
  </si>
  <si>
    <t>Přesuny sutí</t>
  </si>
  <si>
    <t>70</t>
  </si>
  <si>
    <t>979011211R00</t>
  </si>
  <si>
    <t>Svislá doprava suti a vybour. hmot za 2.NP nošením</t>
  </si>
  <si>
    <t>S_</t>
  </si>
  <si>
    <t>Položka je určena pro dopravu suti a vybouraných hmot za prvé podlaží nad základním podlažím. Svislá doprava suti ze základního podlaží se neoceňuje. Základním podlažím je zpravidla přízemí</t>
  </si>
  <si>
    <t>71</t>
  </si>
  <si>
    <t>979011219R00</t>
  </si>
  <si>
    <t>Přípl.k svislé dopr.suti za každé další NP nošením</t>
  </si>
  <si>
    <t>6,15599*1</t>
  </si>
  <si>
    <t>3NP</t>
  </si>
  <si>
    <t>72</t>
  </si>
  <si>
    <t>979082111R00</t>
  </si>
  <si>
    <t>Vnitrostaveništní doprava suti do 10 m</t>
  </si>
  <si>
    <t>6,15599</t>
  </si>
  <si>
    <t>73</t>
  </si>
  <si>
    <t>979082121R00</t>
  </si>
  <si>
    <t>Příplatek k vnitrost. dopravě suti za dalších 5 m</t>
  </si>
  <si>
    <t>6,15599*13</t>
  </si>
  <si>
    <t>odhad 65 m ke kontejneru</t>
  </si>
  <si>
    <t>74</t>
  </si>
  <si>
    <t>979086213R00</t>
  </si>
  <si>
    <t>Nakládání vybouraných hmot na dopravní prostředek</t>
  </si>
  <si>
    <t>75</t>
  </si>
  <si>
    <t>979081111RT3</t>
  </si>
  <si>
    <t>Odvoz suti a vybour. hmot na skládku do 1 km</t>
  </si>
  <si>
    <t>kontejnerem 7 t</t>
  </si>
  <si>
    <t>76</t>
  </si>
  <si>
    <t>979081121RT3</t>
  </si>
  <si>
    <t>Příplatek k odvozu za každý další 1 km</t>
  </si>
  <si>
    <t>6,15599*20</t>
  </si>
  <si>
    <t>odhad 20 km</t>
  </si>
  <si>
    <t>77</t>
  </si>
  <si>
    <t>979990107R00</t>
  </si>
  <si>
    <t>Poplatek za uložení suti - směs betonu, cihel, dřeva, skupina odpadu 170904</t>
  </si>
  <si>
    <t>01_2</t>
  </si>
  <si>
    <t>WC_ÚT</t>
  </si>
  <si>
    <t>713</t>
  </si>
  <si>
    <t>Izolace tepelné</t>
  </si>
  <si>
    <t>78</t>
  </si>
  <si>
    <t>713181213P</t>
  </si>
  <si>
    <t>Izolace návlek.mirel.PRO tl.9 mm, Di=15 mm</t>
  </si>
  <si>
    <t>713_</t>
  </si>
  <si>
    <t>01_2_71_</t>
  </si>
  <si>
    <t>01_2_</t>
  </si>
  <si>
    <t>79</t>
  </si>
  <si>
    <t>713182011P</t>
  </si>
  <si>
    <t>Montáž izol.PE skruží potr.do DN25, páska, sponky</t>
  </si>
  <si>
    <t>80</t>
  </si>
  <si>
    <t>713S1</t>
  </si>
  <si>
    <t>Lepící páska šedá mirel. š.38mm x 50m</t>
  </si>
  <si>
    <t>bal</t>
  </si>
  <si>
    <t>81</t>
  </si>
  <si>
    <t>713S2</t>
  </si>
  <si>
    <t>Sponky plast.šedé mirel.100 ks/bal.</t>
  </si>
  <si>
    <t>733</t>
  </si>
  <si>
    <t>Rozvod potrubí</t>
  </si>
  <si>
    <t>82</t>
  </si>
  <si>
    <t>733110806R00</t>
  </si>
  <si>
    <t>Demontáž potrubí ocelového závit. DN 15-32</t>
  </si>
  <si>
    <t>733_</t>
  </si>
  <si>
    <t>01_2_73_</t>
  </si>
  <si>
    <t>83</t>
  </si>
  <si>
    <t>733163102R00</t>
  </si>
  <si>
    <t>Potrubí z měděných trubek vytápění D 15 x 1,0 mm</t>
  </si>
  <si>
    <t>84</t>
  </si>
  <si>
    <t>733164102RT3</t>
  </si>
  <si>
    <t>Montáž potr.z tr.Cu D15 mm pájením na měkko</t>
  </si>
  <si>
    <t>85</t>
  </si>
  <si>
    <t>733190306R00</t>
  </si>
  <si>
    <t>Tlaková zkouška Cu potrubí do D 35</t>
  </si>
  <si>
    <t>734</t>
  </si>
  <si>
    <t>Armatury</t>
  </si>
  <si>
    <t>86</t>
  </si>
  <si>
    <t>734200821R00</t>
  </si>
  <si>
    <t>Demontáž armatur se 2závity do G 1/2</t>
  </si>
  <si>
    <t>734_</t>
  </si>
  <si>
    <t>87</t>
  </si>
  <si>
    <t>734209113R00</t>
  </si>
  <si>
    <t>Montáž armatur závitových,se 2závity, G 1/2</t>
  </si>
  <si>
    <t>88</t>
  </si>
  <si>
    <t>734221672R00</t>
  </si>
  <si>
    <t>Hlavice ovlád.ventilů termostatická Heimeier DX</t>
  </si>
  <si>
    <t>89</t>
  </si>
  <si>
    <t>734226222R00</t>
  </si>
  <si>
    <t>Ventil termostat.rohový Heimeier V-exakt II, DN 15</t>
  </si>
  <si>
    <t>90</t>
  </si>
  <si>
    <t>734266212R00</t>
  </si>
  <si>
    <t>Šroubení reg.rohové,vnitř.z.Heimeier Regulux DN 15</t>
  </si>
  <si>
    <t>91</t>
  </si>
  <si>
    <t>735111810R00</t>
  </si>
  <si>
    <t>Demontáž těles otopných litinových článkových</t>
  </si>
  <si>
    <t>92</t>
  </si>
  <si>
    <t>735291800R00</t>
  </si>
  <si>
    <t>Demontáž konzol otopných těles do odpadu</t>
  </si>
  <si>
    <t>93</t>
  </si>
  <si>
    <t>735494811R00</t>
  </si>
  <si>
    <t>Vypuštění vody z otopných těles</t>
  </si>
  <si>
    <t>735179110R00</t>
  </si>
  <si>
    <t>Montáž otopných těles koupelnových (žebříků)</t>
  </si>
  <si>
    <t>735171105R00</t>
  </si>
  <si>
    <t>Těleso otop.trubkové Comfort KLT v.900mm, dl.600mm</t>
  </si>
  <si>
    <t>735000912R00</t>
  </si>
  <si>
    <t>Vyregulování ventilů s termost.ovládáním</t>
  </si>
  <si>
    <t>767995101R00</t>
  </si>
  <si>
    <t>Výroba a montáž kov. atypických konstr. do 5 kg</t>
  </si>
  <si>
    <t>01_2_76_</t>
  </si>
  <si>
    <t>98</t>
  </si>
  <si>
    <t>767S1</t>
  </si>
  <si>
    <t>Uložení a uchycení potrubí+zaříz.ÚT</t>
  </si>
  <si>
    <t>H713</t>
  </si>
  <si>
    <t>99</t>
  </si>
  <si>
    <t>998713102R00</t>
  </si>
  <si>
    <t>Přesun hmot pro izolace tepelné, výšky do 12 m</t>
  </si>
  <si>
    <t>H713_</t>
  </si>
  <si>
    <t>01_2_9_</t>
  </si>
  <si>
    <t>H733</t>
  </si>
  <si>
    <t>100</t>
  </si>
  <si>
    <t>998733103R00</t>
  </si>
  <si>
    <t>Přesun hmot pro rozvody potrubí, výšky do 24 m</t>
  </si>
  <si>
    <t>H733_</t>
  </si>
  <si>
    <t>H734</t>
  </si>
  <si>
    <t>101</t>
  </si>
  <si>
    <t>998734103R00</t>
  </si>
  <si>
    <t>Přesun hmot pro armatury, výšky do 24 m</t>
  </si>
  <si>
    <t>H734_</t>
  </si>
  <si>
    <t>H735</t>
  </si>
  <si>
    <t>102</t>
  </si>
  <si>
    <t>998735102R00</t>
  </si>
  <si>
    <t>Přesun hmot pro otopná tělesa, výšky do 12 m</t>
  </si>
  <si>
    <t>H735_</t>
  </si>
  <si>
    <t>H767</t>
  </si>
  <si>
    <t>103</t>
  </si>
  <si>
    <t>998767102R00</t>
  </si>
  <si>
    <t>Přesun hmot pro zámečnické konstr., výšky do 12 m</t>
  </si>
  <si>
    <t>H767_</t>
  </si>
  <si>
    <t>Ostatní položky práce</t>
  </si>
  <si>
    <t>104</t>
  </si>
  <si>
    <t>HZS1</t>
  </si>
  <si>
    <t>Proplach zaříz.+zkoušky-těsnosti,topná+dilatační</t>
  </si>
  <si>
    <t>hod</t>
  </si>
  <si>
    <t>Z88888_</t>
  </si>
  <si>
    <t>01_2_Z_</t>
  </si>
  <si>
    <t>105</t>
  </si>
  <si>
    <t>HZS2</t>
  </si>
  <si>
    <t>Zednická výpomoc-bourání+zapravení</t>
  </si>
  <si>
    <t>106</t>
  </si>
  <si>
    <t>HZS3</t>
  </si>
  <si>
    <t>Elektro-odpoj.zapoj.zař.ÚT,zemnění,reviz.zpráva RT</t>
  </si>
  <si>
    <t>107</t>
  </si>
  <si>
    <t>HZS4</t>
  </si>
  <si>
    <t>Seříz.průtoků a zaregul.otop.zařízení</t>
  </si>
  <si>
    <t>108</t>
  </si>
  <si>
    <t>HZS5</t>
  </si>
  <si>
    <t>Autorský dozor, dokumentace skuteč.provedení</t>
  </si>
  <si>
    <t>01_3</t>
  </si>
  <si>
    <t>WC_ZTI</t>
  </si>
  <si>
    <t>109</t>
  </si>
  <si>
    <t>721140802R00</t>
  </si>
  <si>
    <t>Demontáž potrubí litinového do DN 100 mm</t>
  </si>
  <si>
    <t>01_3_72_</t>
  </si>
  <si>
    <t>01_3_</t>
  </si>
  <si>
    <t>110</t>
  </si>
  <si>
    <t>721140806R00</t>
  </si>
  <si>
    <t>Demontáž potrubí litinového do DN 200 mm</t>
  </si>
  <si>
    <t>111</t>
  </si>
  <si>
    <t>721171803R00</t>
  </si>
  <si>
    <t>Demontáž potrubí z PVC do D 75 mm</t>
  </si>
  <si>
    <t>112</t>
  </si>
  <si>
    <t>721171808R00</t>
  </si>
  <si>
    <t>Demontáž potrubí z PVC do D 114 mm</t>
  </si>
  <si>
    <t>113</t>
  </si>
  <si>
    <t>721220801R00</t>
  </si>
  <si>
    <t>Demontáž zápachové uzávěrky do DN70</t>
  </si>
  <si>
    <t>114</t>
  </si>
  <si>
    <t>721220802R00</t>
  </si>
  <si>
    <t>Demontáž zápachové uzávěrky do DN100</t>
  </si>
  <si>
    <t>115</t>
  </si>
  <si>
    <t>721171219R00</t>
  </si>
  <si>
    <t>Trubka pro připoj.WC HL202G, D 110 mm</t>
  </si>
  <si>
    <t>116</t>
  </si>
  <si>
    <t>721171229P</t>
  </si>
  <si>
    <t>Manžeta HL200/1-Vario excentr.připoj.WC, DN110</t>
  </si>
  <si>
    <t>117</t>
  </si>
  <si>
    <t>721176102R00</t>
  </si>
  <si>
    <t>Potrubí HT připojovací, D 40 x 1,8 mm</t>
  </si>
  <si>
    <t>118</t>
  </si>
  <si>
    <t>721176103R00</t>
  </si>
  <si>
    <t>Potrubí HT připojovací, D 50 x 1,8 mm</t>
  </si>
  <si>
    <t>119</t>
  </si>
  <si>
    <t>721176105R00</t>
  </si>
  <si>
    <t>Potrubí HT připojovací, D 110 x 2,7 mm</t>
  </si>
  <si>
    <t>120</t>
  </si>
  <si>
    <t>721176116R00</t>
  </si>
  <si>
    <t>Potrubí HT odpadní svislé, D 125 x 3,1 mm</t>
  </si>
  <si>
    <t>121</t>
  </si>
  <si>
    <t>721194104R00</t>
  </si>
  <si>
    <t>Vyvedení odpadních výpustek, D 40 x 1,8 mm</t>
  </si>
  <si>
    <t>122</t>
  </si>
  <si>
    <t>721194109R00</t>
  </si>
  <si>
    <t>Vyvedení odpadních výpustek, D 110 x 2,3 mm</t>
  </si>
  <si>
    <t>123</t>
  </si>
  <si>
    <t>721290123R00</t>
  </si>
  <si>
    <t>Zkouška těsnosti kanaliz.kouřem do DN 300</t>
  </si>
  <si>
    <t>722</t>
  </si>
  <si>
    <t>Vnitřní vodovod</t>
  </si>
  <si>
    <t>124</t>
  </si>
  <si>
    <t>722130801R00</t>
  </si>
  <si>
    <t>Demontáž potrubí ocel. závit. do DN 25 mm</t>
  </si>
  <si>
    <t>722_</t>
  </si>
  <si>
    <t>125</t>
  </si>
  <si>
    <t>722130821R00</t>
  </si>
  <si>
    <t>Demontáž šroubení do G 6/4"</t>
  </si>
  <si>
    <t>126</t>
  </si>
  <si>
    <t>722130831R00</t>
  </si>
  <si>
    <t>Demontáž nástěnky</t>
  </si>
  <si>
    <t>127</t>
  </si>
  <si>
    <t>722181812R00</t>
  </si>
  <si>
    <t>Demontáž plstěných pásů z tr.do D 50 mm</t>
  </si>
  <si>
    <t>128</t>
  </si>
  <si>
    <t>722220851R00</t>
  </si>
  <si>
    <t>Demontáž armatur s 1 závitem (Te66) do G 3/4"</t>
  </si>
  <si>
    <t>129</t>
  </si>
  <si>
    <t>722172331R00</t>
  </si>
  <si>
    <t>Potrubí plastové PP-R, PN 20, D 20 x 3,4 mm</t>
  </si>
  <si>
    <t>130</t>
  </si>
  <si>
    <t>722172332R00</t>
  </si>
  <si>
    <t>Potrubí plastové PP-R, PN 20, D 25 x 4,2 mm</t>
  </si>
  <si>
    <t>131</t>
  </si>
  <si>
    <t>722176112R00</t>
  </si>
  <si>
    <t>Montáž plast. vodovod. potr. polyfuz.svař. D 20 mm</t>
  </si>
  <si>
    <t>132</t>
  </si>
  <si>
    <t>722176113R00</t>
  </si>
  <si>
    <t>Montáž plast. vodovod. potr. polyfuz.svař. D 25 mm</t>
  </si>
  <si>
    <t>133</t>
  </si>
  <si>
    <t>722181211RZ6</t>
  </si>
  <si>
    <t>Izolace SV návlek.PE-MIREL.tl.stěny 6 mm/Di=20 mm</t>
  </si>
  <si>
    <t>134</t>
  </si>
  <si>
    <t>722181211RT8</t>
  </si>
  <si>
    <t>Izolace SV návlek.PE-MIREL.tl.stěny 6 mm/Di=25 mm</t>
  </si>
  <si>
    <t>135</t>
  </si>
  <si>
    <t>722181213RZ6</t>
  </si>
  <si>
    <t>Izolace TV návlek.PE-MIREL.tl.stěny 13 mm/Di=20 mm</t>
  </si>
  <si>
    <t>136</t>
  </si>
  <si>
    <t>722182011R00</t>
  </si>
  <si>
    <t>Montáž tepel.izol.skruží na potr.do DN 25 mm</t>
  </si>
  <si>
    <t>137</t>
  </si>
  <si>
    <t>722182091R00</t>
  </si>
  <si>
    <t>Příplatek za montáž izolač.tvarovek do DN 25 mm</t>
  </si>
  <si>
    <t>138</t>
  </si>
  <si>
    <t>722182200R00</t>
  </si>
  <si>
    <t>Výroba izolační tvarovky do DN 40 mm</t>
  </si>
  <si>
    <t>139</t>
  </si>
  <si>
    <t>722190401R00</t>
  </si>
  <si>
    <t>Vyvedení a upevnění výpustek DN 15 mm</t>
  </si>
  <si>
    <t>140</t>
  </si>
  <si>
    <t>722191133R00</t>
  </si>
  <si>
    <t>Hadice sanitární flexibilní, DN 15 mm, délka 500 mm</t>
  </si>
  <si>
    <t>141</t>
  </si>
  <si>
    <t>722191112R00</t>
  </si>
  <si>
    <t>Hadice flexibilní k baterii M 10, DN 15 mm, délka 500 mm</t>
  </si>
  <si>
    <t>142</t>
  </si>
  <si>
    <t>722220111R00</t>
  </si>
  <si>
    <t>Nástěnka K 247, pro výtokový ventil G 1/2"</t>
  </si>
  <si>
    <t>143</t>
  </si>
  <si>
    <t>722220121R00</t>
  </si>
  <si>
    <t>Nástěnka K 247, pro baterii G 1/2"</t>
  </si>
  <si>
    <t>pár</t>
  </si>
  <si>
    <t>144</t>
  </si>
  <si>
    <t>722280106R00</t>
  </si>
  <si>
    <t>Tlaková zkouška vodovod.potr.do DN 32 mm</t>
  </si>
  <si>
    <t>145</t>
  </si>
  <si>
    <t>722290226R00</t>
  </si>
  <si>
    <t>Dílčí zkouška tlaku vodovod.potr.před zakrytím</t>
  </si>
  <si>
    <t>146</t>
  </si>
  <si>
    <t>722290234R00</t>
  </si>
  <si>
    <t>Proplach a dezinfekce vodovod.potr.do DN 80 mm</t>
  </si>
  <si>
    <t>147</t>
  </si>
  <si>
    <t>722S1</t>
  </si>
  <si>
    <t>Lepící páska šedá š.38x50m na PE iz.návleky potr.</t>
  </si>
  <si>
    <t>148</t>
  </si>
  <si>
    <t>722S2</t>
  </si>
  <si>
    <t>Sponky plast.šedé Mirel.100ks/bal.</t>
  </si>
  <si>
    <t>149</t>
  </si>
  <si>
    <t>725110811R00</t>
  </si>
  <si>
    <t>Demontáž klozetů splachovacích</t>
  </si>
  <si>
    <t>150</t>
  </si>
  <si>
    <t>725210821R00</t>
  </si>
  <si>
    <t>Demontáž umyvadel bez výtokových armatur</t>
  </si>
  <si>
    <t>151</t>
  </si>
  <si>
    <t>725820801R00</t>
  </si>
  <si>
    <t>Demontáž baterie nástěnné do G 3/4</t>
  </si>
  <si>
    <t>152</t>
  </si>
  <si>
    <t>725860811R00</t>
  </si>
  <si>
    <t>Demontáž uzávěrek zápachových jednoduchých</t>
  </si>
  <si>
    <t>153</t>
  </si>
  <si>
    <t>725991811R00</t>
  </si>
  <si>
    <t>Demontáž konzol jednoduchých</t>
  </si>
  <si>
    <t>154</t>
  </si>
  <si>
    <t>725014173P</t>
  </si>
  <si>
    <t>Klozet závěsný ZTP vč. sedátka, bílý</t>
  </si>
  <si>
    <t>155</t>
  </si>
  <si>
    <t>725119306R00</t>
  </si>
  <si>
    <t>Montáž klozetu závěsného</t>
  </si>
  <si>
    <t>156</t>
  </si>
  <si>
    <t>725119402P</t>
  </si>
  <si>
    <t>Montáž předstěnových WC systémů</t>
  </si>
  <si>
    <t>157</t>
  </si>
  <si>
    <t>725119110R00</t>
  </si>
  <si>
    <t>Montáž splach.nádrže Kombifix závěs.WC</t>
  </si>
  <si>
    <t>158</t>
  </si>
  <si>
    <t>725017153R00</t>
  </si>
  <si>
    <t>Umyvadlo invalidní  64 x 55 cm, bílé</t>
  </si>
  <si>
    <t>159</t>
  </si>
  <si>
    <t>725219201R00</t>
  </si>
  <si>
    <t>Montáž umyvadel na konzoly</t>
  </si>
  <si>
    <t>160</t>
  </si>
  <si>
    <t>725291123R00</t>
  </si>
  <si>
    <t>Madlo svisl.nástěn.nerez min.dl. 500 mm</t>
  </si>
  <si>
    <t>161</t>
  </si>
  <si>
    <t>725291142R00</t>
  </si>
  <si>
    <t>Madlo pevné boční nerez dl. 844 mm</t>
  </si>
  <si>
    <t>162</t>
  </si>
  <si>
    <t>725291146R00</t>
  </si>
  <si>
    <t>Madlo dvojité sklopné nerez dl. 852 mm</t>
  </si>
  <si>
    <t>163</t>
  </si>
  <si>
    <t>725291175R00</t>
  </si>
  <si>
    <t>Sedátko sklopné s opěrnou nohou nerez</t>
  </si>
  <si>
    <t>164</t>
  </si>
  <si>
    <t>725292001R00</t>
  </si>
  <si>
    <t>Zásobník na toaletní papír nerezový</t>
  </si>
  <si>
    <t>165</t>
  </si>
  <si>
    <t>166</t>
  </si>
  <si>
    <t>167</t>
  </si>
  <si>
    <t>168</t>
  </si>
  <si>
    <t>725299101R00</t>
  </si>
  <si>
    <t>Montáž koupelnových doplňků - mýdelníků, držáků ap</t>
  </si>
  <si>
    <t>169</t>
  </si>
  <si>
    <t>725819401R00</t>
  </si>
  <si>
    <t>Montáž ventilu rohového s trubičkou G 1/2</t>
  </si>
  <si>
    <t>170</t>
  </si>
  <si>
    <t>725819402R00</t>
  </si>
  <si>
    <t>Montáž ventilu rohového bez trubičky G 1/2</t>
  </si>
  <si>
    <t>171</t>
  </si>
  <si>
    <t>725810402R00</t>
  </si>
  <si>
    <t>Ventil rohový bez přípoj. trubičky TE 66 G 1/2</t>
  </si>
  <si>
    <t>172</t>
  </si>
  <si>
    <t>725829202R00</t>
  </si>
  <si>
    <t>Montáž baterie umyvadlové nástěnné</t>
  </si>
  <si>
    <t>173</t>
  </si>
  <si>
    <t>725825815R00</t>
  </si>
  <si>
    <t>Baterie termostatická ZTP- nástěnná</t>
  </si>
  <si>
    <t>174</t>
  </si>
  <si>
    <t>725860109R00</t>
  </si>
  <si>
    <t>Uzávěrka zápachová umyvadlová DN 40</t>
  </si>
  <si>
    <t>175</t>
  </si>
  <si>
    <t>725869101R00</t>
  </si>
  <si>
    <t>Montáž uzávěrek zápach.umyvadlových, D40</t>
  </si>
  <si>
    <t>726</t>
  </si>
  <si>
    <t>Instalační prefabrikáty</t>
  </si>
  <si>
    <t>176</t>
  </si>
  <si>
    <t>726211332R00</t>
  </si>
  <si>
    <t>Modul-WC Duofix Special, UP320, ZTP, h 112 cm</t>
  </si>
  <si>
    <t>726_</t>
  </si>
  <si>
    <t>177</t>
  </si>
  <si>
    <t>Výroba a montáž kovových atyp.konstr.do 5 kg</t>
  </si>
  <si>
    <t>01_3_76_</t>
  </si>
  <si>
    <t>178</t>
  </si>
  <si>
    <t>Uložení a uchycení potrubí zaříz.ZTI</t>
  </si>
  <si>
    <t>H721</t>
  </si>
  <si>
    <t>179</t>
  </si>
  <si>
    <t>998721102R00</t>
  </si>
  <si>
    <t>Přesun hmot pro vnitřní kanalizaci, výšky do 12 m</t>
  </si>
  <si>
    <t>H721_</t>
  </si>
  <si>
    <t>01_3_9_</t>
  </si>
  <si>
    <t>H722</t>
  </si>
  <si>
    <t>180</t>
  </si>
  <si>
    <t>998722102R00</t>
  </si>
  <si>
    <t>Přesun hmot pro vnitřní vodovod, výšky do 12 m</t>
  </si>
  <si>
    <t>H722_</t>
  </si>
  <si>
    <t>H725</t>
  </si>
  <si>
    <t>181</t>
  </si>
  <si>
    <t>998725102R00</t>
  </si>
  <si>
    <t>Přesun hmot pro zařizovací předměty, výšky do 12 m</t>
  </si>
  <si>
    <t>H725_</t>
  </si>
  <si>
    <t>H726</t>
  </si>
  <si>
    <t>182</t>
  </si>
  <si>
    <t>998726122R00</t>
  </si>
  <si>
    <t>Přesun hmot pro předstěnové systémy, výšky do 12 m</t>
  </si>
  <si>
    <t>H726_</t>
  </si>
  <si>
    <t>183</t>
  </si>
  <si>
    <t>184</t>
  </si>
  <si>
    <t>Elektro-odpoj.zapoj.zař.ZT,zemnění,reviz.zpráva RT</t>
  </si>
  <si>
    <t>01_3_Z_</t>
  </si>
  <si>
    <t>185</t>
  </si>
  <si>
    <t>186</t>
  </si>
  <si>
    <t>Práce nepředvídatel.rozsahu rekonstrukce-rezerva</t>
  </si>
  <si>
    <t>187</t>
  </si>
  <si>
    <t>02_1</t>
  </si>
  <si>
    <t>Malá Informatika_Stavba</t>
  </si>
  <si>
    <t>188</t>
  </si>
  <si>
    <t>342013323RT1VD01</t>
  </si>
  <si>
    <t>Příčka SDKtl.150 mm,ocel.kce,2x oplášť.,RBI 12,5mm - doplnění chybějícíh desek</t>
  </si>
  <si>
    <t>02_1_3_</t>
  </si>
  <si>
    <t>02_1_</t>
  </si>
  <si>
    <t>izolace tloušťky 80 mm, EI 60</t>
  </si>
  <si>
    <t>7,5*2,83</t>
  </si>
  <si>
    <t>X11</t>
  </si>
  <si>
    <t>Příčka sádrokartonová, systém SK14 odpovídá W112, jednoduchá ocelová konstrukce, 1x opláštěná, tl. 150 mm, s minerální izolací  tl. 80 mm, desky impregnované RBI (H2)  tl. 12,5 mm. Požární odolnost EI 60. Maximální výška stěny 4000 mm.  3.40.06</t>
  </si>
  <si>
    <t>189</t>
  </si>
  <si>
    <t>347016123R00VD01</t>
  </si>
  <si>
    <t>Předstěna SDK, tl. 100 mm,ocel. kce CW, 1x RBI 12,5 mm bez izol</t>
  </si>
  <si>
    <t>včetně horizontálního zastropení
V místech kotvení umyvadla/skříňky) budou vloženy svislé profily s vloženou výdřevou 160×80 mm pro kotvení</t>
  </si>
  <si>
    <t>1,50*(1,88+1,96)</t>
  </si>
  <si>
    <t>R03/OK</t>
  </si>
  <si>
    <t>Předsazené stěny SDK, volně stojící, systém OK11 odpovídá W625, samostatná ocelová konstrukce z profilů CW 75 a UW 75, 1x opláštěná, tl. 100 mm, bez minerální izolace, desky impregnované RBI (H2) tl. 12,5 mm. Požární odolnost EI 15. 3.21.00a</t>
  </si>
  <si>
    <t>190</t>
  </si>
  <si>
    <t>02_1_6_</t>
  </si>
  <si>
    <t>0,78*1,55*6+0,85*2,0</t>
  </si>
  <si>
    <t>výplně otvorů</t>
  </si>
  <si>
    <t>191</t>
  </si>
  <si>
    <t>998011003R00</t>
  </si>
  <si>
    <t>Přesun hmot pro budovy zděné výšky do 24 m</t>
  </si>
  <si>
    <t>192</t>
  </si>
  <si>
    <t>713121118RT1</t>
  </si>
  <si>
    <t>Montáž dilatačního pásku podél stěn</t>
  </si>
  <si>
    <t>02_1_71_</t>
  </si>
  <si>
    <t>materiál ve specifikaci, včetně zakrácení</t>
  </si>
  <si>
    <t>5,15*2+5,98*2-0,85*1</t>
  </si>
  <si>
    <t>X15</t>
  </si>
  <si>
    <t>193</t>
  </si>
  <si>
    <t>28375327</t>
  </si>
  <si>
    <t>Pásek dilatační okrajový š. 80 mm tl. 5 mm</t>
  </si>
  <si>
    <t>;ztratné 10%; 2,141</t>
  </si>
  <si>
    <t>kročejová  izolace  s  uzavřenou  buněčnou  strukturou,  balená v rolích 50 bm  101.00080</t>
  </si>
  <si>
    <t>194</t>
  </si>
  <si>
    <t>713571112RT2VD01</t>
  </si>
  <si>
    <t>Požárně ochranná manžeta hl. 60 mm, požární odolnost EI 90, D 63 mm</t>
  </si>
  <si>
    <t>D+M</t>
  </si>
  <si>
    <t>dle prostupu klima jednotky</t>
  </si>
  <si>
    <t>728</t>
  </si>
  <si>
    <t>Vzduchotechnika</t>
  </si>
  <si>
    <t>195</t>
  </si>
  <si>
    <t>72811VD01</t>
  </si>
  <si>
    <t>Montáž uceleného systému klimatizace D+M</t>
  </si>
  <si>
    <t>sada</t>
  </si>
  <si>
    <t>728_</t>
  </si>
  <si>
    <t>02_1_72_</t>
  </si>
  <si>
    <t xml:space="preserve">V TZ je popis jednotky (parametry) množství, vzdálenosti, související úpravy, atd…
</t>
  </si>
  <si>
    <t>N4.13</t>
  </si>
  <si>
    <t>obsahuje vnitřní, vnější jednotky, rozvody media, kabeláž silno/slabo proudu, včetně montáže</t>
  </si>
  <si>
    <t>766</t>
  </si>
  <si>
    <t>Konstrukce truhlářské</t>
  </si>
  <si>
    <t>196</t>
  </si>
  <si>
    <t>998766203R00</t>
  </si>
  <si>
    <t>Přesun hmot pro truhlářské konstr., výšky do 24 m</t>
  </si>
  <si>
    <t>%</t>
  </si>
  <si>
    <t>766_</t>
  </si>
  <si>
    <t>02_1_76_</t>
  </si>
  <si>
    <t>19185*0,01</t>
  </si>
  <si>
    <t>197</t>
  </si>
  <si>
    <t>615290115</t>
  </si>
  <si>
    <t>Skříňka pod umyvadlo D+M - viz výpis truhlářských výrobků</t>
  </si>
  <si>
    <t>T01</t>
  </si>
  <si>
    <t>Viz výpis truhlářských výrobků. Tzn, skříňka bude odpovídat dodávanému umyvadlu</t>
  </si>
  <si>
    <t>198</t>
  </si>
  <si>
    <t>766664121R00</t>
  </si>
  <si>
    <t>Montáž dveří, oc. zárubeň, kyvné 1kř. š. do 1 m</t>
  </si>
  <si>
    <t>02/L</t>
  </si>
  <si>
    <t>199</t>
  </si>
  <si>
    <t>61165467</t>
  </si>
  <si>
    <t>Dveře vnitřní 02/L</t>
  </si>
  <si>
    <t>popis viz výpis výplní otvorů</t>
  </si>
  <si>
    <t>776</t>
  </si>
  <si>
    <t>Podlahy povlakové</t>
  </si>
  <si>
    <t>200</t>
  </si>
  <si>
    <t>776401800RT1</t>
  </si>
  <si>
    <t>Demontáž soklíků nebo lišt, pryžových nebo z PVC</t>
  </si>
  <si>
    <t>776_</t>
  </si>
  <si>
    <t>02_1_77_</t>
  </si>
  <si>
    <t>odstranění a uložení na hromady</t>
  </si>
  <si>
    <t>201</t>
  </si>
  <si>
    <t>776511820RT1</t>
  </si>
  <si>
    <t>Odstranění PVC a koberců lepených s podložkou</t>
  </si>
  <si>
    <t>z ploch nad 20 m2
včetně očištění plochy od lepidla</t>
  </si>
  <si>
    <t>30,77</t>
  </si>
  <si>
    <t>202</t>
  </si>
  <si>
    <t>776101115R00</t>
  </si>
  <si>
    <t>Vyrovnání podkladů samonivelační hmotou</t>
  </si>
  <si>
    <t>NS02</t>
  </si>
  <si>
    <t>Položka je určena pro vyrovnání podlahy před kladením nebo lepením povlakových podlah. Položka obsahuje :  - zametení podkladu, - případné rozmíchání suché směsi s vodou, - lití na podklad, popřípadě rozetření hladkou stěrkou. Položka neobsahuje žádný materiál.</t>
  </si>
  <si>
    <t>203</t>
  </si>
  <si>
    <t>585817201</t>
  </si>
  <si>
    <t>Hmota samonivelační cementová, 25 MPa</t>
  </si>
  <si>
    <t>30,77*3*1,7</t>
  </si>
  <si>
    <t>;ztratné 5%; 7,84635</t>
  </si>
  <si>
    <t>NIV 150 25 Jednosložková samonivelační podlahová hmota na bázi cementu pro vnitřní použití.  Ke spolehlivému vyrovnání podkladů v interiéru. Míchá se pouze s čistou vodou. Není určena jako konečná povrchová úprava. K vyrovnání stabilních vrstev, k použití jako podkladní vrstva pod konečnou povrchovou úpravu (PVC, koberce, plovoucí podlahy a dřevěné podlahy).  Spotřeba 1,7 kg/1m2/1 mm.</t>
  </si>
  <si>
    <t>204</t>
  </si>
  <si>
    <t>776101121R00</t>
  </si>
  <si>
    <t>Provedení penetrace podkladu pod.povlak.podlahy</t>
  </si>
  <si>
    <t>30,77*2</t>
  </si>
  <si>
    <t>NS02 (pod stěrku a lepidlo)</t>
  </si>
  <si>
    <t>Položka obsahuje provedení penetračního nátěru pro zlepšení kontaktu podkladu s lepicím materiálem. Položka neobsahuje žádný materiál.</t>
  </si>
  <si>
    <t>205</t>
  </si>
  <si>
    <t>24592120VD01</t>
  </si>
  <si>
    <t>Nátěr penetrační disperzní</t>
  </si>
  <si>
    <t>30,77*0,2*2</t>
  </si>
  <si>
    <t>;ztratné 5%; 0,6154</t>
  </si>
  <si>
    <t>univerzální disperzní penetrační nátěr pro savé i nesavé povrchy bez rozpouštědel  připravený k přímému použití  vysoká přilnavost na hladkých nesajících podkladech  rychlé tuhnutí  vhodný pro použití ve vnitřních prostorách  bal. 5 kg  spotřeba: 0,2 kg/m</t>
  </si>
  <si>
    <t>206</t>
  </si>
  <si>
    <t>776521100RT1</t>
  </si>
  <si>
    <t>Lepení povlak.podlah z pásů PVC na lepidlo</t>
  </si>
  <si>
    <t>pouze položení - PVC ve specifikaci</t>
  </si>
  <si>
    <t>31,77</t>
  </si>
  <si>
    <t>207</t>
  </si>
  <si>
    <t>28412285</t>
  </si>
  <si>
    <t>Podlahovina PVC Novoflor extra tl. 2,0 mm</t>
  </si>
  <si>
    <t>;ztratné 5%; 1,5385</t>
  </si>
  <si>
    <t>heterogenní  pro velmi vysoký stupeň zatížení při provoz</t>
  </si>
  <si>
    <t>208</t>
  </si>
  <si>
    <t>776421100RU1</t>
  </si>
  <si>
    <t>Lepení podlahových soklíků z PVC a vinylu</t>
  </si>
  <si>
    <t>včetně dodávky soklíku PVC (vyvzorkování dle podlahoviny)</t>
  </si>
  <si>
    <t>21,41</t>
  </si>
  <si>
    <t>viz demontáž</t>
  </si>
  <si>
    <t>209</t>
  </si>
  <si>
    <t>776981121RT2</t>
  </si>
  <si>
    <t>Lišta nerezová přechodová,stejná výška povl.podlah</t>
  </si>
  <si>
    <t>profil 721/A, samolepicí, šířky 30 mm</t>
  </si>
  <si>
    <t>0,80</t>
  </si>
  <si>
    <t>Položka je určena pro estetické napojení podlahových krytin o stejné výšce např. PVC/PVC, PVC/koberec, koberec/koberece atd.  P</t>
  </si>
  <si>
    <t>210</t>
  </si>
  <si>
    <t>998776203R00</t>
  </si>
  <si>
    <t>Přesun hmot pro podlahy povlakové, výšky do 24 m</t>
  </si>
  <si>
    <t>40719*0,01</t>
  </si>
  <si>
    <t>211</t>
  </si>
  <si>
    <t>Obklad vnitřní stěn keramický, do tmele, 30 x 60 cm</t>
  </si>
  <si>
    <t>02_1_78_</t>
  </si>
  <si>
    <t>lepidlo a spárovačka</t>
  </si>
  <si>
    <t>1,50*(1,50+0,10)</t>
  </si>
  <si>
    <t>U13</t>
  </si>
  <si>
    <t>212</t>
  </si>
  <si>
    <t>597813741</t>
  </si>
  <si>
    <t>Obkládačka System 300 x 600 mm bílá lesk</t>
  </si>
  <si>
    <t>;ztratné 5%; 0,12</t>
  </si>
  <si>
    <t>glazované keramické obkladové prvk</t>
  </si>
  <si>
    <t>213</t>
  </si>
  <si>
    <t>781497111RS3</t>
  </si>
  <si>
    <t>Lišta hliníková ukončovacích k obkladům</t>
  </si>
  <si>
    <t>(1,50+0,10)*2+1,50</t>
  </si>
  <si>
    <t>214</t>
  </si>
  <si>
    <t>215</t>
  </si>
  <si>
    <t>216</t>
  </si>
  <si>
    <t>217</t>
  </si>
  <si>
    <t>23521588.A</t>
  </si>
  <si>
    <t>Stěrka hydroizolační 1-složková WPS, bal. 25 kg</t>
  </si>
  <si>
    <t>(1,50*(1,50+0,10))*1,50</t>
  </si>
  <si>
    <t>;ztratné 5%; 0,18</t>
  </si>
  <si>
    <t>na bázi disperze použití: alternativní hydroizolace a hmota k překrytí trhlin pod obklady a dlažbu v interiéru, snadná aplikace pomocí válečku, natíráním nebo stěrkou  spotřeba: 1,5 kg/m2  balení: nádoba po 25 kg balení po 20 kg  14891</t>
  </si>
  <si>
    <t>218</t>
  </si>
  <si>
    <t>781419711R00</t>
  </si>
  <si>
    <t>Příplatek k obkladu stěn za plochu do 10 m2 jedntl</t>
  </si>
  <si>
    <t>219</t>
  </si>
  <si>
    <t>998781203R00</t>
  </si>
  <si>
    <t>Přesun hmot pro obklady keramické, výšky do 24 m</t>
  </si>
  <si>
    <t>6766*0,01</t>
  </si>
  <si>
    <t>220</t>
  </si>
  <si>
    <t>783324140R00</t>
  </si>
  <si>
    <t>Nátěr syntetický litin. radiátorů Z +1x + 1x email</t>
  </si>
  <si>
    <t>221</t>
  </si>
  <si>
    <t>783424240R00</t>
  </si>
  <si>
    <t>Nátěr syntet. potrubí do DN 50 mm  Z+1x +1x email</t>
  </si>
  <si>
    <t>5,98*2</t>
  </si>
  <si>
    <t>222</t>
  </si>
  <si>
    <t>783900090RAB</t>
  </si>
  <si>
    <t>Ostatní práce pro nátěry</t>
  </si>
  <si>
    <t xml:space="preserve">odmaštění konstrukcí a výrobků - Radiátory
</t>
  </si>
  <si>
    <t>223</t>
  </si>
  <si>
    <t>Nátěr syntetický kovových konstrukcí dvojnásobný</t>
  </si>
  <si>
    <t>zárubně dveří</t>
  </si>
  <si>
    <t>(0,050*2+0,150)*(0,95+2,0*2)*1</t>
  </si>
  <si>
    <t>224</t>
  </si>
  <si>
    <t>784498941R00</t>
  </si>
  <si>
    <t>Vysprávka omítky akrylátovým tmelem pl. do 0,01 m2</t>
  </si>
  <si>
    <t>vysprávká po kotvení rozvodů v SDK
předpoklad 40 ks</t>
  </si>
  <si>
    <t>225</t>
  </si>
  <si>
    <t>784011111R00</t>
  </si>
  <si>
    <t>Oprášení/ometení podkladu</t>
  </si>
  <si>
    <t>2,83*(2,51*2+5,98)+2,64*(2,83-0,65)+0,65*2,64*2+0,65*5,98</t>
  </si>
  <si>
    <t>stěny</t>
  </si>
  <si>
    <t>(2,51+3,26)*5,98</t>
  </si>
  <si>
    <t>strop</t>
  </si>
  <si>
    <t>0,76*6*2+0,52*0,78*2*6</t>
  </si>
  <si>
    <t>ostění</t>
  </si>
  <si>
    <t>-(2,3*0,78*6+0,85*2,0+1,5*1,5)</t>
  </si>
  <si>
    <t>odečet výplní a obkladu</t>
  </si>
  <si>
    <t>Provádí se za účelem odstranění veškerých drobných nepřilnavých částic a nečistot, které by mohly narušit přilnavost nanášeného materiálu k podkladu</t>
  </si>
  <si>
    <t>226</t>
  </si>
  <si>
    <t>784191201R00</t>
  </si>
  <si>
    <t>Penetrace podkladu hloubková  1x</t>
  </si>
  <si>
    <t>77,982</t>
  </si>
  <si>
    <t>viz oprášení</t>
  </si>
  <si>
    <t>Penetrační přípravek k provádění hloubkového napouštěcího nátěru pod interiérové a fasádní akrylátové barvy, zpevňuje podklad, sjednocuje savost, izoluje prostupování skvrn, omezuje výkvěty soli a tvorbu vlasových trhlinek a zvyšuje přilnavost dalších vrstev nátěrů.</t>
  </si>
  <si>
    <t>227</t>
  </si>
  <si>
    <t>Malba  Plus, bílá, bez penetrace, 2 x</t>
  </si>
  <si>
    <t>228</t>
  </si>
  <si>
    <t>784011222RT2</t>
  </si>
  <si>
    <t>Zakrytí podlah, včetně odstranění</t>
  </si>
  <si>
    <t>včetně papírové lepenky</t>
  </si>
  <si>
    <t>229</t>
  </si>
  <si>
    <t>784011221RT2</t>
  </si>
  <si>
    <t>Zakrytí předmětů, včetně odstranění</t>
  </si>
  <si>
    <t>včetně dodávky fólie tl. 0,04 mm</t>
  </si>
  <si>
    <t>1,5*1,0*2</t>
  </si>
  <si>
    <t>230</t>
  </si>
  <si>
    <t>231</t>
  </si>
  <si>
    <t>02_1_9_</t>
  </si>
  <si>
    <t>232</t>
  </si>
  <si>
    <t>945931101R00</t>
  </si>
  <si>
    <t>Zřízení horolezeckého úvazu pro práci ve výškách</t>
  </si>
  <si>
    <t>pro instalaci klima jednotky na střeše</t>
  </si>
  <si>
    <t>Položka je určena pro zřízení horolezeckého úvazu při opravách vnějších plášťů budov horolezeckým způsobem</t>
  </si>
  <si>
    <t>233</t>
  </si>
  <si>
    <t>Položka je určena pro vyčištění budov bytové nebo občanské výstavby - zametení a umytí podlah, dlažeb, obkladů, schodů v místnostech, chodbách a schodištích, vyčištění a umytí oken, dveří s rámy, zárubněmi, umytí a vyčistění jiných zasklených a natíraných ploch a zařizovacích předmětů před předáním do užívání.</t>
  </si>
  <si>
    <t>234</t>
  </si>
  <si>
    <t>Vyvěšení dřevěných a plastových dveřních křídel pl. do 2 m2</t>
  </si>
  <si>
    <t>X16</t>
  </si>
  <si>
    <t>235</t>
  </si>
  <si>
    <t>962036112R00VD01</t>
  </si>
  <si>
    <t>Jednostranná demontáž desky SDK příčky, 1x kov.kce., 1x opláštěné 12,5 mm</t>
  </si>
  <si>
    <t>2,50*2,83</t>
  </si>
  <si>
    <t>Demontáž desky 12.5 mm</t>
  </si>
  <si>
    <t>236</t>
  </si>
  <si>
    <t>978059521R00</t>
  </si>
  <si>
    <t>Odsekání vnitřních obkladů stěn do 2 m2</t>
  </si>
  <si>
    <t>1,50*1,50*1</t>
  </si>
  <si>
    <t>M23</t>
  </si>
  <si>
    <t>Montáže potrubí</t>
  </si>
  <si>
    <t>237</t>
  </si>
  <si>
    <t>230120014R00</t>
  </si>
  <si>
    <t>Odmašťování potrubí DN 25</t>
  </si>
  <si>
    <t>M23_</t>
  </si>
  <si>
    <t>238</t>
  </si>
  <si>
    <t>239</t>
  </si>
  <si>
    <t>0,3612*2</t>
  </si>
  <si>
    <t>3 a 4NP</t>
  </si>
  <si>
    <t>240</t>
  </si>
  <si>
    <t>0,3612</t>
  </si>
  <si>
    <t>Včetně případného složení na staveništní deponii</t>
  </si>
  <si>
    <t>241</t>
  </si>
  <si>
    <t>0,3612*4</t>
  </si>
  <si>
    <t>odhad 20 m ke kontejneru</t>
  </si>
  <si>
    <t>242</t>
  </si>
  <si>
    <t>Nakládání ro vodorovnou dopravu</t>
  </si>
  <si>
    <t>243</t>
  </si>
  <si>
    <t>244</t>
  </si>
  <si>
    <t>0,3612*20</t>
  </si>
  <si>
    <t>245</t>
  </si>
  <si>
    <t>979990181R00</t>
  </si>
  <si>
    <t>Poplatek za uložení suti - PVC podlahová krytina, skupina odpadu 200307</t>
  </si>
  <si>
    <t>02_2</t>
  </si>
  <si>
    <t>Malá Informatika_ZTI</t>
  </si>
  <si>
    <t>246</t>
  </si>
  <si>
    <t>02_2_72_</t>
  </si>
  <si>
    <t>02_2_</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</si>
  <si>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</si>
  <si>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</si>
  <si>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</si>
  <si>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</si>
  <si>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</si>
  <si>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</si>
  <si>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</si>
  <si>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</si>
  <si>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</si>
  <si>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</si>
  <si>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</si>
  <si>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</si>
  <si>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</si>
  <si>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</si>
  <si>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</si>
  <si>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</si>
  <si>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</si>
  <si>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</si>
  <si>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</si>
  <si>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</si>
  <si>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</si>
  <si>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</si>
  <si>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</si>
  <si>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</si>
  <si>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</si>
  <si>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</si>
  <si>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</si>
  <si>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</si>
  <si>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</si>
  <si>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</si>
  <si>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725017123P</t>
  </si>
  <si>
    <t>Umyvadlo nástěnné 60 x 45 cm, bílé, keram.</t>
  </si>
  <si>
    <t>277</t>
  </si>
  <si>
    <t>725219521R00</t>
  </si>
  <si>
    <t>Montáž umyvadel se závěsnou skříňkou</t>
  </si>
  <si>
    <t>278</t>
  </si>
  <si>
    <t>279</t>
  </si>
  <si>
    <t>280</t>
  </si>
  <si>
    <t>281</t>
  </si>
  <si>
    <t>282</t>
  </si>
  <si>
    <t>725S1</t>
  </si>
  <si>
    <t>Ohřívák vody elektro-průtok.PTO 5kW/230V</t>
  </si>
  <si>
    <t>sb</t>
  </si>
  <si>
    <t>283</t>
  </si>
  <si>
    <t>725S2</t>
  </si>
  <si>
    <t>Baterie el.ohř.PTO-umyv.beztl.BE1845.A1</t>
  </si>
  <si>
    <t>284</t>
  </si>
  <si>
    <t>02_2_9_</t>
  </si>
  <si>
    <t>285</t>
  </si>
  <si>
    <t>286</t>
  </si>
  <si>
    <t>287</t>
  </si>
  <si>
    <t>02_2_Z_</t>
  </si>
  <si>
    <t>288</t>
  </si>
  <si>
    <t>289</t>
  </si>
  <si>
    <t>290</t>
  </si>
  <si>
    <t>03_1</t>
  </si>
  <si>
    <t>Velká Informatika_Stavba</t>
  </si>
  <si>
    <t>291</t>
  </si>
  <si>
    <t>03_1_3_</t>
  </si>
  <si>
    <t>03_1_</t>
  </si>
  <si>
    <t>10*2,83</t>
  </si>
  <si>
    <t>292</t>
  </si>
  <si>
    <t>03_1_6_</t>
  </si>
  <si>
    <t>0,78*1,55*20+0,85*2,0*2+0,95*2,0*1</t>
  </si>
  <si>
    <t>293</t>
  </si>
  <si>
    <t>294</t>
  </si>
  <si>
    <t>03_1_71_</t>
  </si>
  <si>
    <t>12,87*2+2,84*2+5,70*4+0,38*4*3</t>
  </si>
  <si>
    <t>295</t>
  </si>
  <si>
    <t>;ztratné 10%; 5,878</t>
  </si>
  <si>
    <t>296</t>
  </si>
  <si>
    <t>998713203R00</t>
  </si>
  <si>
    <t>Přesun hmot pro izolace tepelné, výšky do 24 m</t>
  </si>
  <si>
    <t>1793*0,01</t>
  </si>
  <si>
    <t>297</t>
  </si>
  <si>
    <t>Požárně ochranná manžeta tvoří přepážku pro prostup SDK podhledem, hodnota požární odolnosti EI 90. Provedení včetně dodávky a montáže, včetně úpravy SDK podhledu.</t>
  </si>
  <si>
    <t>298</t>
  </si>
  <si>
    <t>72811VD02</t>
  </si>
  <si>
    <t>03_1_72_</t>
  </si>
  <si>
    <t>popis viz PD.
včetně stavebmních úprav prostupu střechou, úprav krytiny, prostup SDK podhledem.
V TZ je popis jednotky (parametry) množství, vzdálenosti, související úpravy, atd…
Pro nacenění je toto dostatečně…</t>
  </si>
  <si>
    <t>N4.11</t>
  </si>
  <si>
    <t>N4.12</t>
  </si>
  <si>
    <t>299</t>
  </si>
  <si>
    <t>7286VD01</t>
  </si>
  <si>
    <t>Demontáž klima jednotky (vnitřní a venkovní)</t>
  </si>
  <si>
    <t>Viz popis v TZ:
„Demontáž stávající vnitřní klima jednotky včetně rozvodů“</t>
  </si>
  <si>
    <t>300</t>
  </si>
  <si>
    <t>03_1_76_</t>
  </si>
  <si>
    <t>03/P</t>
  </si>
  <si>
    <t>301</t>
  </si>
  <si>
    <t>302</t>
  </si>
  <si>
    <t>303</t>
  </si>
  <si>
    <t>611654671</t>
  </si>
  <si>
    <t>Dveře vnitřní 03/P</t>
  </si>
  <si>
    <t>viz výpis výplní otvorů</t>
  </si>
  <si>
    <t>304</t>
  </si>
  <si>
    <t>52345*0,01</t>
  </si>
  <si>
    <t>305</t>
  </si>
  <si>
    <t>03_1_77_</t>
  </si>
  <si>
    <t>306</t>
  </si>
  <si>
    <t>73,69+16,19</t>
  </si>
  <si>
    <t>307</t>
  </si>
  <si>
    <t>tl. 3 mm</t>
  </si>
  <si>
    <t>308</t>
  </si>
  <si>
    <t>Hmota samonivelační cementová, 25 MPa - tl. 3,0 mm</t>
  </si>
  <si>
    <t>89,88*3*1,7</t>
  </si>
  <si>
    <t>309</t>
  </si>
  <si>
    <t>89,88*2</t>
  </si>
  <si>
    <t>310</t>
  </si>
  <si>
    <t>89,88*0,2*2</t>
  </si>
  <si>
    <t>311</t>
  </si>
  <si>
    <t>89,88</t>
  </si>
  <si>
    <t>312</t>
  </si>
  <si>
    <t>;ztratné 5%; 4,494</t>
  </si>
  <si>
    <t>313</t>
  </si>
  <si>
    <t>314</t>
  </si>
  <si>
    <t>0,80*2</t>
  </si>
  <si>
    <t>0,9*1</t>
  </si>
  <si>
    <t>315</t>
  </si>
  <si>
    <t>116500*0,01</t>
  </si>
  <si>
    <t>316</t>
  </si>
  <si>
    <t>03_1_78_</t>
  </si>
  <si>
    <t>1,50*(1,50)</t>
  </si>
  <si>
    <t>317</t>
  </si>
  <si>
    <t>318</t>
  </si>
  <si>
    <t>(1,50)*2+1,50</t>
  </si>
  <si>
    <t>319</t>
  </si>
  <si>
    <t>320</t>
  </si>
  <si>
    <t>321</t>
  </si>
  <si>
    <t>322</t>
  </si>
  <si>
    <t>(1,50*(1,50))*1,50</t>
  </si>
  <si>
    <t>323</t>
  </si>
  <si>
    <t>324</t>
  </si>
  <si>
    <t>6286*0,01</t>
  </si>
  <si>
    <t>325</t>
  </si>
  <si>
    <t>326</t>
  </si>
  <si>
    <t>(12,87+2,84)*2</t>
  </si>
  <si>
    <t>327</t>
  </si>
  <si>
    <t>odmaštění konstrukcí a výrobků</t>
  </si>
  <si>
    <t>328</t>
  </si>
  <si>
    <t>329</t>
  </si>
  <si>
    <t>(0,050*2+0,150)*(0,95+2,0*2)*3</t>
  </si>
  <si>
    <t>330</t>
  </si>
  <si>
    <t>331</t>
  </si>
  <si>
    <t>2,83*(3,27*4+12,87+2,84)+2,44*(2,83-0,65)*2+0,65*2,44*4+0,65*(12,87+2,84)</t>
  </si>
  <si>
    <t>0,375*4*2,83*3*1,5</t>
  </si>
  <si>
    <t>sloupy</t>
  </si>
  <si>
    <t>(12,87+2,84)*6,53</t>
  </si>
  <si>
    <t>0,76*20*2+0,52*0,78*2*20</t>
  </si>
  <si>
    <t>-(2,3*0,78*20+0,85*2,0*3+1,5*1,5)</t>
  </si>
  <si>
    <t>332</t>
  </si>
  <si>
    <t>Penetrace podkladu hloubková 1x</t>
  </si>
  <si>
    <t>233,7524</t>
  </si>
  <si>
    <t>333</t>
  </si>
  <si>
    <t>334</t>
  </si>
  <si>
    <t>335</t>
  </si>
  <si>
    <t>1,5*1,0*5</t>
  </si>
  <si>
    <t>336</t>
  </si>
  <si>
    <t>337</t>
  </si>
  <si>
    <t>03_1_9_</t>
  </si>
  <si>
    <t>N4.11 a N4.12</t>
  </si>
  <si>
    <t>338</t>
  </si>
  <si>
    <t>pro venkovní klima jednotku</t>
  </si>
  <si>
    <t>339</t>
  </si>
  <si>
    <t>340</t>
  </si>
  <si>
    <t>341</t>
  </si>
  <si>
    <t>342</t>
  </si>
  <si>
    <t>343</t>
  </si>
  <si>
    <t>344</t>
  </si>
  <si>
    <t>0,40543*2</t>
  </si>
  <si>
    <t>345</t>
  </si>
  <si>
    <t>0,40543</t>
  </si>
  <si>
    <t>346</t>
  </si>
  <si>
    <t>0,40543*13</t>
  </si>
  <si>
    <t>347</t>
  </si>
  <si>
    <t>348</t>
  </si>
  <si>
    <t>349</t>
  </si>
  <si>
    <t>0,40543*20</t>
  </si>
  <si>
    <t>350</t>
  </si>
  <si>
    <t>03_2</t>
  </si>
  <si>
    <t>Velká Informatika_ZTI</t>
  </si>
  <si>
    <t>351</t>
  </si>
  <si>
    <t>03_2_72_</t>
  </si>
  <si>
    <t>03_2_</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</si>
  <si>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</si>
  <si>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</si>
  <si>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</si>
  <si>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</si>
  <si>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</si>
  <si>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</si>
  <si>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</si>
  <si>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</si>
  <si>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</si>
  <si>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</si>
  <si>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</si>
  <si>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</si>
  <si>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</si>
  <si>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</si>
  <si>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</si>
  <si>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</si>
  <si>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</si>
  <si>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</si>
  <si>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</si>
  <si>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</si>
  <si>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</si>
  <si>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</si>
  <si>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</si>
  <si>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</si>
  <si>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</si>
  <si>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</si>
  <si>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</si>
  <si>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</si>
  <si>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</si>
  <si>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</si>
  <si>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</si>
  <si>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</si>
  <si>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</si>
  <si>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</si>
  <si>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</si>
  <si>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03_2_9_</t>
  </si>
  <si>
    <t>387</t>
  </si>
  <si>
    <t>388</t>
  </si>
  <si>
    <t>389</t>
  </si>
  <si>
    <t>03_2_Z_</t>
  </si>
  <si>
    <t>390</t>
  </si>
  <si>
    <t>391</t>
  </si>
  <si>
    <t>392</t>
  </si>
  <si>
    <t>04_1</t>
  </si>
  <si>
    <t>Přírodověda_Stavba</t>
  </si>
  <si>
    <t>393</t>
  </si>
  <si>
    <t>04_1_6_</t>
  </si>
  <si>
    <t>04_1_</t>
  </si>
  <si>
    <t>2,45*2,15*2+0,85*2,0*1</t>
  </si>
  <si>
    <t>394</t>
  </si>
  <si>
    <t>974100020RA0</t>
  </si>
  <si>
    <t>Vysekání rýh ve zdivu z cihel, 10 x 10 cm</t>
  </si>
  <si>
    <t>(1,0+5,0)*2</t>
  </si>
  <si>
    <t>V položce není kalkulován poplatek za skládku pro vybouranou suť. Tyto náklady se oceňují individuálně podle místních podmínek. Orientační hmotnost vybouraných konstrukcí je 0,018 t/m konstrukce.</t>
  </si>
  <si>
    <t>395</t>
  </si>
  <si>
    <t>612403386RT1</t>
  </si>
  <si>
    <t>Hrubá výplň rýh ve stěnách do 10x10cm maltou z SMS</t>
  </si>
  <si>
    <t>zdicí maltou</t>
  </si>
  <si>
    <t>396</t>
  </si>
  <si>
    <t>612403380RT1</t>
  </si>
  <si>
    <t>Hrubá výplň rýh ve stěnách do 3x3 cm maltou ze SMS</t>
  </si>
  <si>
    <t>19,52</t>
  </si>
  <si>
    <t>397</t>
  </si>
  <si>
    <t>612401191RT2</t>
  </si>
  <si>
    <t>Omítka malých ploch vnitřních stěn do 0,09 m2</t>
  </si>
  <si>
    <t>vápennou štukovou omítkou</t>
  </si>
  <si>
    <t>odhad</t>
  </si>
  <si>
    <t>V položce jsou zakalkulovány náklady na pomocné pracovní lešení o výšce podlahy do 1900 mm a pro zatížení do 1,5 kPa. Položka obsahuje cementový postřik, jádrovou omítku a štukovou omítku</t>
  </si>
  <si>
    <t>398</t>
  </si>
  <si>
    <t>612423531RT2</t>
  </si>
  <si>
    <t>Omítka rýh stěn vápenná šířky do 15 cm, štuková</t>
  </si>
  <si>
    <t>19,52+12</t>
  </si>
  <si>
    <t>399</t>
  </si>
  <si>
    <t>143,282</t>
  </si>
  <si>
    <t>Podlahy a podlahové konstrukce</t>
  </si>
  <si>
    <t>400</t>
  </si>
  <si>
    <t>631581002R00VD01</t>
  </si>
  <si>
    <t>Násyp ze škváry tříděné - srovnání do roviny</t>
  </si>
  <si>
    <t>m3</t>
  </si>
  <si>
    <t>63_</t>
  </si>
  <si>
    <t>stávající násyp bude srovnán pro další vrstvy</t>
  </si>
  <si>
    <t>42,99*0,01</t>
  </si>
  <si>
    <t>NS01 - N3.11</t>
  </si>
  <si>
    <t>401</t>
  </si>
  <si>
    <t>635110051R00VD01</t>
  </si>
  <si>
    <t>Montáž separační vrstvy v podlaze</t>
  </si>
  <si>
    <t>42,99</t>
  </si>
  <si>
    <t>N3.11 - NS01</t>
  </si>
  <si>
    <t>402</t>
  </si>
  <si>
    <t>69366196</t>
  </si>
  <si>
    <t>Geotextilie  150 g/m2 ze 100% PP</t>
  </si>
  <si>
    <t>;ztratné 15%; 6,4485</t>
  </si>
  <si>
    <t>Netkaná geotextilie zpevněná vpichováním ze 100% z polypropylenu se separační, ochranou, filtrační a zpevňovací funkcí.  Použití v pozemním stavitelství při výstavbě střech, zakládání staveb a výstavbě drenáží, v silničním a železničním stavitelství při výstavbě silničních a železničních násypů, zajišťování svahů, při výstavbě tunelů a drenážních systémů, ve vodním stavitelství při výstavbě nádrží, kanálů a rybníků, pro zajišťování hrází a břehů, při výstavbě ekologických staveb a skládek TKO.  Základní vlastnosti textilie FILTEK: odolává plísním, bakteriím a běžným chemikáliím, nemá negativní vliv na kvalitu pitné vody.</t>
  </si>
  <si>
    <t>403</t>
  </si>
  <si>
    <t>642202011RAB</t>
  </si>
  <si>
    <t>Zazdění dveří jednokřídlových, omítka</t>
  </si>
  <si>
    <t>zeď tloušťky 30 cm
pórobetonovými tvarovkami tl. 300 mm. S okolními konstrukcemi bude zdivo spojeny systémovými nerezovými spojkami v každé druhé vrstvě. Povrch bude přestěrkován a opatřen tenkovrstvou štukovou omítkou. Se stávající omítkou bude povrch napojen.</t>
  </si>
  <si>
    <t>U05</t>
  </si>
  <si>
    <t>V položce není kalkulován poplatek za skládku pro vybouranou suť. Tyto náklady se oceňují individuálně podle místních podmínek. Orientační hmotnost vybouraných konstrukcí je 0,137 t/kus konstrukce</t>
  </si>
  <si>
    <t>404</t>
  </si>
  <si>
    <t>405</t>
  </si>
  <si>
    <t>04_1_71_</t>
  </si>
  <si>
    <t>7,0*2+6,13*2-0,8</t>
  </si>
  <si>
    <t>NS01</t>
  </si>
  <si>
    <t>406</t>
  </si>
  <si>
    <t>;ztratné 10%; 2,546</t>
  </si>
  <si>
    <t>407</t>
  </si>
  <si>
    <t>713102111R00</t>
  </si>
  <si>
    <t>Odstranění tepelné izolace podlah, volně uložené, z desek EPS, tl. do 100 mm</t>
  </si>
  <si>
    <t>22,76+19,43</t>
  </si>
  <si>
    <t>S01</t>
  </si>
  <si>
    <t>408</t>
  </si>
  <si>
    <t>713121121RT1</t>
  </si>
  <si>
    <t>Montáž tepelné izolace podlah na sucho, dvouvrstvá</t>
  </si>
  <si>
    <t>V položce není zakalkulována dodávka izolačního materiálu. Tato dodávka se oceňuje ve specifikaci. Při stanovení množství tepelné izolace se z celkového množství neodečítají otvory nebo neizolované plochy menší než 2 m2</t>
  </si>
  <si>
    <t>409</t>
  </si>
  <si>
    <t>28375768.A</t>
  </si>
  <si>
    <t>Deska izolační polystyrén samozhášivý EPS 150</t>
  </si>
  <si>
    <t>42,99*(0,02+0,03)</t>
  </si>
  <si>
    <t>;ztratné 5%; 0,107475</t>
  </si>
  <si>
    <t>Desky z pěnového polystyrenu pro vysoce tlakově namáhané podlahové a střešní konstrukce  Součinitel tepelné vodivosti 0,035 W/m K Napětí v tlaku CS(10) 150 kPa Formát: 1000 x 500 m</t>
  </si>
  <si>
    <t>410</t>
  </si>
  <si>
    <t>713521131R00VD01</t>
  </si>
  <si>
    <t>Provedení izolace podhledů jenovrstvé na nosné konstrukci</t>
  </si>
  <si>
    <t>U06</t>
  </si>
  <si>
    <t>411</t>
  </si>
  <si>
    <t>63150892</t>
  </si>
  <si>
    <t>Plsť příčková  10/5 tl. 50 mm</t>
  </si>
  <si>
    <t>;ztratné 5%; 2,15</t>
  </si>
  <si>
    <t>Role I jsou vhodné jako tepelné, zvukové a nezatížené izolace pro zabudování do lehkých konstrukcí příček. V obytných, administrativních budovách, v podkroví, hotelích, nemocnicích a v průmyslových budovách  zvýší zvukoizolační schopnosti konstrukce (může být dosaženo zlepšení neprůzvučnosti až o 18 dB), zvláště při zaplnění celé šířky dutiny (o 5 až 7 dB vyšší neprůzvučnost oproti polovičnímu zaplnění dutiny). Vlákna jsou po celém povrchu hydrofobizována.  rozměry: 12000 x 625 mm  balení:  15,00 m2</t>
  </si>
  <si>
    <t>412</t>
  </si>
  <si>
    <t>43491*0,01</t>
  </si>
  <si>
    <t>413</t>
  </si>
  <si>
    <t>728114112R00</t>
  </si>
  <si>
    <t>Montáž potrubí plastového kruhového do d 200 mm</t>
  </si>
  <si>
    <t>04_1_72_</t>
  </si>
  <si>
    <t>(1,30+1,0+1,50)</t>
  </si>
  <si>
    <t>U09</t>
  </si>
  <si>
    <t>414</t>
  </si>
  <si>
    <t>429851132</t>
  </si>
  <si>
    <t>Potrubí plastové kulaté VP 150/1000 KP</t>
  </si>
  <si>
    <t>Kulaté ventilační potrubí z plastu pr. 150 mm  Kruhové plastové potrubí se dá využít k digestoři, k rekuperaci či ke krbu jako přívod vzduchu.  Používá se k odvětrávání malých až středně velkých prostor. V kombinaci s PVC tvarovkami, odbočkami či přechodkami můžeme použít i na jiné velikosti kruhového či plochého potrubí z plastu. Všechny části se dají jednoduchým způsobem složit jako stavebnice (zasunou se do sebe) a přelepí se PVC těsnící páskou a ke spojení 2 ks potrubí se použijí spojky potrubí. Vede-li potrubí přes chladnější prostory doporučuje se izolované potrubí . Plastové potrubí řadu předností – je hladké a nedrží se na něm plísně a nečistoty, jednoduše a rychle se montuje, může se zkracovat, má neomezenou životnost, nízkou hmotnost.  Vzduchovody mají teplotní odolnost +50°C až -15°C.</t>
  </si>
  <si>
    <t>415</t>
  </si>
  <si>
    <t>429853272</t>
  </si>
  <si>
    <t>Montážní rámeček kruhový VP 150 KMR</t>
  </si>
  <si>
    <t>Vzduchotechnické plastové potrubí - jednotlivé části  Kruhový plastový montážní rámeček bez kruhového napojení o průměru 150 mm.  Teplotní odolnost vzduchovodů je +50°C až -15°C</t>
  </si>
  <si>
    <t>416</t>
  </si>
  <si>
    <t>429727812</t>
  </si>
  <si>
    <t>Mřížka kruhová PVC průměr 150 mm, včětně síťky proti hmyzu</t>
  </si>
  <si>
    <t>U08</t>
  </si>
  <si>
    <t>Popis produktu Plastová větrací mřížka O 100 mm v bílé barvě se síťkou a přírubou je vhodná jak pro větrání, tak i nasávání.  Mřížka má pevné horizontální žaluzie se sklonem. Použití Mřížka je určena k větrání z bytů či průmyslových objektů, jako jsou kuchyně, koupelny, kanceláře, WC, prodejny, sklady, garáže apod. Montáž Ventilační mřížka se připevňuje na zeď či omítku pomocí šroubů do děr, které jsou skryty pod mřížkou, nebo se spojí s potrubím stejného průměru jednoduchým zasunutím. Materiál Větrací mřížka je vyrobena z ABS plastu (drží si stálost barvy i na sluníčku), dále jsou opatřeny síťkou proti hmyzu</t>
  </si>
  <si>
    <t>417</t>
  </si>
  <si>
    <t>728214112R00</t>
  </si>
  <si>
    <t>Montáž oblouku plastového kruhového do d 200 mm</t>
  </si>
  <si>
    <t>418</t>
  </si>
  <si>
    <t>429853212</t>
  </si>
  <si>
    <t>Koleno 90° kulaté VP 150-90 KO</t>
  </si>
  <si>
    <t>Vzduchotechnické plastové potrubí - jednotlivé části  Kruhová odbočka je určená k napojení kruhového plastového potrubí o průměru 150 mm. Odbočení je v úhlu 90°.  Teplotní odolnost vzduchovodů je +50°C až -15°C.</t>
  </si>
  <si>
    <t>419</t>
  </si>
  <si>
    <t>728214412R00</t>
  </si>
  <si>
    <t>Montáž klapky plastové kruhové do d 200mm</t>
  </si>
  <si>
    <t>420</t>
  </si>
  <si>
    <t>429853252</t>
  </si>
  <si>
    <t>Klapka zpětná s pérkem do potrubí průměr 150 mm</t>
  </si>
  <si>
    <t>Vzduchotechnické plastové potrubí - jednotlivé části  Zpětná klapka do potrubí s pérkem RKK o průměru 150 mm pro plastové vzduchovody nebo hliníkové hadice. Vkládá se do potrubí stejného průměru. Motýlové provedení pro montáž do vodorovného potrubí.  Doporučuje se klapku obalit pryžovým těsněním.  Pryžové těsnění není součástí balení</t>
  </si>
  <si>
    <t>421</t>
  </si>
  <si>
    <t>728214512R00</t>
  </si>
  <si>
    <t>Montáž spojky plastové kruhové do d 200 mm</t>
  </si>
  <si>
    <t>422</t>
  </si>
  <si>
    <t>429853242</t>
  </si>
  <si>
    <t>Spojka potrubí kruhová VP 150 KS</t>
  </si>
  <si>
    <t>Vzduchotechnické plastové potrubí - jednotlivé části  Kruhová plastová spojka slouží k napojení dvou kusů vzduchovodů o průměru 150 mm.  Jednotlivé komponenty se skládají jednoduše jako stavebnice (pouhým zasunutím) a přelepením PVC těsnící páskou.  Teplotní odolnost vzduchovodů je +50°C až -15°C.</t>
  </si>
  <si>
    <t>762</t>
  </si>
  <si>
    <t>Konstrukce tesařské</t>
  </si>
  <si>
    <t>423</t>
  </si>
  <si>
    <t>762900060RABVD01</t>
  </si>
  <si>
    <t>Demontáž dřevěných podlah z MDF desek</t>
  </si>
  <si>
    <t>762_</t>
  </si>
  <si>
    <t>04_1_76_</t>
  </si>
  <si>
    <t>s polštáři</t>
  </si>
  <si>
    <t>V položce není kalkulován poplatek za skládku pro vybouranou suť. Tyto náklady se oceňují individuálně podle místních podmínek. Orientační hmotnost vybouraných konstrukcí je 0,020 t/m2 konstrukce.</t>
  </si>
  <si>
    <t>424</t>
  </si>
  <si>
    <t>762512115R00</t>
  </si>
  <si>
    <t>Položení podlahových desek na pero a drážku</t>
  </si>
  <si>
    <t>42,99*2</t>
  </si>
  <si>
    <t>N3.11 - S01</t>
  </si>
  <si>
    <t>Položení podlahových desek (OSB, Cetris...) spojovaných na pero a drážku se slepením spoje, na rovinný únosný podklad. V položce nejsou zakalkulovány náklady na dodávku desek.Tato dodávka se oceňuje ve specifikaci, ztratné se doporučuje ve výši 8 %.</t>
  </si>
  <si>
    <t>425</t>
  </si>
  <si>
    <t>60726120</t>
  </si>
  <si>
    <t>Deska dřevoštěpková OSB 3 broušená 4PD,  tl. 15 mm</t>
  </si>
  <si>
    <t>;ztratné 8%; 6,8784</t>
  </si>
  <si>
    <t>OSB3 - konstrukční deska pro použití ve vlhkém prostředí  B - broušená strana 4PD - pero/drážka po celém obvodu desky  rozměr 250 x 67,5 cm</t>
  </si>
  <si>
    <t>426</t>
  </si>
  <si>
    <t>762526110RT2</t>
  </si>
  <si>
    <t>Položení polštářů pod podlahy rozteče do 65 cm</t>
  </si>
  <si>
    <t>včetně dodávky OSB, polštáře tl. 20×200 mm</t>
  </si>
  <si>
    <t>427</t>
  </si>
  <si>
    <t>762712110RT2VD01</t>
  </si>
  <si>
    <t>Montáž vázaných konstrukcí hraněných do 120 cm2</t>
  </si>
  <si>
    <t>včetně dodávky řeziva, fošny 6/10</t>
  </si>
  <si>
    <t>9*1,60+3,6*2</t>
  </si>
  <si>
    <t>konstrukce stupínku</t>
  </si>
  <si>
    <t>V položce jsou zakalkulovány i naklady na vyvrtání děr, osazení svorníků a dotažení rektifikačních článků. V položce nejsou zakalkulovány náklady na montáž hmoždinek a táhel.Tyto práce se oceňují položkami souboru 762 31 Montáž hmoždinek a táhel</t>
  </si>
  <si>
    <t>428</t>
  </si>
  <si>
    <t>762512245R00</t>
  </si>
  <si>
    <t>Položení podlah pod PVC šroubováním</t>
  </si>
  <si>
    <t>(1,6*3,6+0,13*(1,6*2+3,60))*2</t>
  </si>
  <si>
    <t>opláštění stupínku</t>
  </si>
  <si>
    <t>Položení podlah pod PVC na dřevěný podklad z desek dřevotřískových. V položce nejsou zakalkulovány i náklady na dodávku desek.Tato dodávka se oceňuje ve specifikaci, ztratné se doporučuje ve výši 8%</t>
  </si>
  <si>
    <t>429</t>
  </si>
  <si>
    <t>Deska dřevoštěpková OSB 3 broušená 4PD, tl. 15 mm</t>
  </si>
  <si>
    <t>;ztratné 8%; 1,06304</t>
  </si>
  <si>
    <t>430</t>
  </si>
  <si>
    <t>762795000R00</t>
  </si>
  <si>
    <t>Spojovací prostředky pro vázané konstrukce</t>
  </si>
  <si>
    <t>(9*1,60+3,6*2)*(0,1*0,06)</t>
  </si>
  <si>
    <t>3,60*1,60*0,03</t>
  </si>
  <si>
    <t>Položka je určena pouze pro soubor 762 7 Montáž prostorových vázaných konstrukcí</t>
  </si>
  <si>
    <t>431</t>
  </si>
  <si>
    <t>998762203R00</t>
  </si>
  <si>
    <t>Přesun hmot pro tesařské konstrukce, výšky do 24 m</t>
  </si>
  <si>
    <t>71605*0,01</t>
  </si>
  <si>
    <t>432</t>
  </si>
  <si>
    <t>433</t>
  </si>
  <si>
    <t>434</t>
  </si>
  <si>
    <t>435</t>
  </si>
  <si>
    <t>436</t>
  </si>
  <si>
    <t>767587211RU7</t>
  </si>
  <si>
    <t>Podhled minerální, vidit.kce,kazeta 600x600mm</t>
  </si>
  <si>
    <t>kod kce 4.07.50</t>
  </si>
  <si>
    <t>N3.11 - U06</t>
  </si>
  <si>
    <t>Položka je určena pro montáž podhledů z kazet 600 x 600 mm. V položce jsou zakalkulovány náklady na: - montáž a dodávku profilů a kazet.  Bude použita hrana "A"</t>
  </si>
  <si>
    <t>437</t>
  </si>
  <si>
    <t>998767203R00</t>
  </si>
  <si>
    <t>Přesun hmot pro zámečnické konstr., výšky do 24 m</t>
  </si>
  <si>
    <t>50783*0,01</t>
  </si>
  <si>
    <t>438</t>
  </si>
  <si>
    <t>04_1_77_</t>
  </si>
  <si>
    <t>3,71*2+3,14*2+6,13*4-0,80*2-0,9*1</t>
  </si>
  <si>
    <t>S01 místnost 3.12 a 3.11</t>
  </si>
  <si>
    <t>439</t>
  </si>
  <si>
    <t>440</t>
  </si>
  <si>
    <t>0,13*(1,60*2+3,60)</t>
  </si>
  <si>
    <t>NS01 - stupínek katedry</t>
  </si>
  <si>
    <t>441</t>
  </si>
  <si>
    <t>442</t>
  </si>
  <si>
    <t>;ztratné 5%; 2,1937</t>
  </si>
  <si>
    <t>443</t>
  </si>
  <si>
    <t>0,13*2</t>
  </si>
  <si>
    <t>444</t>
  </si>
  <si>
    <t>0,80*1</t>
  </si>
  <si>
    <t>445</t>
  </si>
  <si>
    <t>446</t>
  </si>
  <si>
    <t>585817227</t>
  </si>
  <si>
    <t>Hmota samonivelační cementová, s vlákny, 40 MPa</t>
  </si>
  <si>
    <t>42,99*1,7*10</t>
  </si>
  <si>
    <t>;ztratné 3%; 21,9249</t>
  </si>
  <si>
    <t>Jednosložková šedá samonivelační podlahová hmota na bázi cementu a modifikujících přísad pro vnitřní použití s armovacím vláknem. Pro vyrovnání podkladů zhotovených z cementových i anhydritových potěrů, pro vyrovnání teraca a ploch s aplikovanou soudržnou dlažbou. Je vhodná i pro vyrovnání stabilních podkladů ze dřeva, dřevotřískových desek a OSB desek. Pomocí hmoty weberfloor fiber lze zhotovit samonosné vrstvy na problematických podkladech.  Používá se pro tloušťku vrstvy 2 – 50 mm.  Minimální pevnost v tlaku pro potěry 40 MPa.  Spotřeba: cca 1,7 kg/m2/mm. Balení: 25 k</t>
  </si>
  <si>
    <t>447</t>
  </si>
  <si>
    <t>776210300RU2</t>
  </si>
  <si>
    <t>Lepení hran pryžových na stupně</t>
  </si>
  <si>
    <t>včetně dodávky hran - barevná
hrana š. 65 mm, bude vyvzorkováno</t>
  </si>
  <si>
    <t>1,60*2+3,6</t>
  </si>
  <si>
    <t>hrana stupínku</t>
  </si>
  <si>
    <t>448</t>
  </si>
  <si>
    <t>77068*0,01</t>
  </si>
  <si>
    <t>777</t>
  </si>
  <si>
    <t>Podlahy ze syntetických hmot</t>
  </si>
  <si>
    <t>449</t>
  </si>
  <si>
    <t>777553010R00VD1</t>
  </si>
  <si>
    <t>Penetrace savého podkladu</t>
  </si>
  <si>
    <t>777_</t>
  </si>
  <si>
    <t>Penetrační nátěr</t>
  </si>
  <si>
    <t>450</t>
  </si>
  <si>
    <t>42,99*0,2</t>
  </si>
  <si>
    <t>;ztratné 5%; 0,4299</t>
  </si>
  <si>
    <t>NP653  univerzální disperzní penetrační nátěr pro savé i nesavé povrchy bez rozpouštědel  připravený k přímému použití  vysoká přilnavost na hladkých nesajících podkladech  rychlé tuhnutí  vhodný pro použití ve vnitřních prostorách  bal. 5 kg  spotřeba: 0,2 kg/m</t>
  </si>
  <si>
    <t>451</t>
  </si>
  <si>
    <t>998777203R00</t>
  </si>
  <si>
    <t>Přesun hmot pro podlahy syntetické, výšky do 24 m</t>
  </si>
  <si>
    <t>3460*0,01</t>
  </si>
  <si>
    <t>452</t>
  </si>
  <si>
    <t>04_1_78_</t>
  </si>
  <si>
    <t>453</t>
  </si>
  <si>
    <t>454</t>
  </si>
  <si>
    <t>455</t>
  </si>
  <si>
    <t>456</t>
  </si>
  <si>
    <t>457</t>
  </si>
  <si>
    <t>458</t>
  </si>
  <si>
    <t>459</t>
  </si>
  <si>
    <t>460</t>
  </si>
  <si>
    <t>781101121R00</t>
  </si>
  <si>
    <t>Provedení penetrace podkladu - práce</t>
  </si>
  <si>
    <t>1,50*1,50</t>
  </si>
  <si>
    <t>X17</t>
  </si>
  <si>
    <t>461</t>
  </si>
  <si>
    <t>462</t>
  </si>
  <si>
    <t>6768*0,01</t>
  </si>
  <si>
    <t>463</t>
  </si>
  <si>
    <t>464</t>
  </si>
  <si>
    <t>6,0*2+3,3*2</t>
  </si>
  <si>
    <t>465</t>
  </si>
  <si>
    <t>466</t>
  </si>
  <si>
    <t>467</t>
  </si>
  <si>
    <t>(0,050*2+0,150)*(0,95+2,0*2)</t>
  </si>
  <si>
    <t>468</t>
  </si>
  <si>
    <t>469</t>
  </si>
  <si>
    <t>(7,00*2+6,13*2+6,13)*3,30</t>
  </si>
  <si>
    <t>0,40*(2,15+2,45*2)*2</t>
  </si>
  <si>
    <t>-(2,15*2,45*2+0,85*2,0)</t>
  </si>
  <si>
    <t>470</t>
  </si>
  <si>
    <t>471</t>
  </si>
  <si>
    <t>472</t>
  </si>
  <si>
    <t>42,99+6,13*1,5</t>
  </si>
  <si>
    <t>N3.11 a část vedlejší třídy</t>
  </si>
  <si>
    <t>473</t>
  </si>
  <si>
    <t>1,5*1,0*3</t>
  </si>
  <si>
    <t>474</t>
  </si>
  <si>
    <t>786</t>
  </si>
  <si>
    <t>Čalounické úpravy</t>
  </si>
  <si>
    <t>475</t>
  </si>
  <si>
    <t>786612200R00VD01</t>
  </si>
  <si>
    <t>Montáž rolet textilních - V03 D+M</t>
  </si>
  <si>
    <t>Ks</t>
  </si>
  <si>
    <t>786_</t>
  </si>
  <si>
    <t>100% zatemnění</t>
  </si>
  <si>
    <t>V03</t>
  </si>
  <si>
    <t>látková roleta X-Block - látková roleta ovládanámotorem, vedeno ve vodících lištách se systémem ZIP,
látka PGD (PVC odolná látka)
2150 x 2550
ovládáno motorem Somfy Sonesse (tichý motor)</t>
  </si>
  <si>
    <t>476</t>
  </si>
  <si>
    <t>998786203R00</t>
  </si>
  <si>
    <t>Přesun hmot pro zastiň. techniku, výšky do 24 m</t>
  </si>
  <si>
    <t>74111*0,01</t>
  </si>
  <si>
    <t>477</t>
  </si>
  <si>
    <t>04_1_9_</t>
  </si>
  <si>
    <t>478</t>
  </si>
  <si>
    <t>946941106RT6</t>
  </si>
  <si>
    <t>Montáž pojízdných Alu věží BOSS, 2,5 x 0,85 m</t>
  </si>
  <si>
    <t>pracovní výška 14,2 m</t>
  </si>
  <si>
    <t>pro prostup odvětrávání digestoře</t>
  </si>
  <si>
    <t>Položka je kalkulována pro montáž pojízdného lešení - Alu věž BOSS.</t>
  </si>
  <si>
    <t>479</t>
  </si>
  <si>
    <t>946941196RT6</t>
  </si>
  <si>
    <t>Nájemné pojízdných Alu věží BOSS, 2,5 x 0,85 m</t>
  </si>
  <si>
    <t>den</t>
  </si>
  <si>
    <t>Položka je kalkulována pro nájemné pojízdného lešení - Alu věž BOSS.</t>
  </si>
  <si>
    <t>480</t>
  </si>
  <si>
    <t>946941806RT6</t>
  </si>
  <si>
    <t>Demontáž pojízdných Alu věží BOSS, 2,5 x 0,85 m</t>
  </si>
  <si>
    <t>pracovní výška 14,3 m</t>
  </si>
  <si>
    <t>Položka je kalkulována pro demontáž pojízdného lešení - Alu věž BOSS.</t>
  </si>
  <si>
    <t>481</t>
  </si>
  <si>
    <t>482</t>
  </si>
  <si>
    <t>954313202R00VD01</t>
  </si>
  <si>
    <t>Opláštění z SDK,3.str.,do 500x500 mm,RF tl.2×12,5 mm + 60 mm MW</t>
  </si>
  <si>
    <t>1,3+1,0</t>
  </si>
  <si>
    <t>U10</t>
  </si>
  <si>
    <t>Opláštění vodorovných konstrukcí sádrokartonovými deskami Rigips třístranné od 200x200 mm do 500x500mm, 1x opláštění, desky protipožární RF (DF) tl. 12,5mm.</t>
  </si>
  <si>
    <t>483</t>
  </si>
  <si>
    <t>X10, X12, X16</t>
  </si>
  <si>
    <t>484</t>
  </si>
  <si>
    <t>Vybourání kovových dveřních zárubní pl. do 2 m2</t>
  </si>
  <si>
    <t>0,85*2,0*1+0,95*2,0*1</t>
  </si>
  <si>
    <t>X10,X12</t>
  </si>
  <si>
    <t>485</t>
  </si>
  <si>
    <t>962036124R00</t>
  </si>
  <si>
    <t>Demontáž SDK příčky, 1x kov.kce., 2x opláštěné 12,5 mm</t>
  </si>
  <si>
    <t>6,13*3,63-0,85*2,0</t>
  </si>
  <si>
    <t>X09</t>
  </si>
  <si>
    <t>Demontáž příčky sádrokartonové, 2x opláštěná tl. 12,5 mm, bez minerální izolace.  Položka je určena pro tloušťku příčky 100-200 mm s jednoduchou ocelovou konstrukcí.</t>
  </si>
  <si>
    <t>486</t>
  </si>
  <si>
    <t>965200021RA0</t>
  </si>
  <si>
    <t>Odstranění násypů pod podlahami a na střechách</t>
  </si>
  <si>
    <t>(22,76+19,43)*0,03</t>
  </si>
  <si>
    <t>V položce není kalkulován poplatek za skládku pro vybouranou suť. Tyto náklady se oceňují individuálně podle místních podmínek. Orientační hmotnost vybouraných konstrukcí je 1,400 t/m3 konstrukce.</t>
  </si>
  <si>
    <t>487</t>
  </si>
  <si>
    <t>488</t>
  </si>
  <si>
    <t>978013191R00</t>
  </si>
  <si>
    <t>Otlučení omítek vnitřních stěn v rozsahu do 100 %</t>
  </si>
  <si>
    <t>((1,25*2,20)-0,95*2,0)*2</t>
  </si>
  <si>
    <t>X10</t>
  </si>
  <si>
    <t>S vyškrabáním spár, s očištěním zdiva. V položce není kalkulována manipulace se sutí, která se oceňuje samostatně položkami souboru 979.</t>
  </si>
  <si>
    <t>489</t>
  </si>
  <si>
    <t>970031160R00</t>
  </si>
  <si>
    <t>Vrtání jádrové do zdiva cihelného do D 160 mm</t>
  </si>
  <si>
    <t>0,3</t>
  </si>
  <si>
    <t>X13</t>
  </si>
  <si>
    <t>0,74</t>
  </si>
  <si>
    <t>X14</t>
  </si>
  <si>
    <t>490</t>
  </si>
  <si>
    <t>970033160R00</t>
  </si>
  <si>
    <t>Příp. za jádr. vrt. ve H nad 1,5m cihel do D 160mm</t>
  </si>
  <si>
    <t>Příplatek za jádrové vrtání ve výšce nad 1,5 m do zdiva cihelného do 160 mm</t>
  </si>
  <si>
    <t>491</t>
  </si>
  <si>
    <t>970034160R00</t>
  </si>
  <si>
    <t>Příp. za jádr. vrt. vod. ve stěně cihel do D 160mm</t>
  </si>
  <si>
    <t>Příplatek za jádrové vrtání vodorovně ve stěně cihelné do 160 mm</t>
  </si>
  <si>
    <t>492</t>
  </si>
  <si>
    <t>974031121R00</t>
  </si>
  <si>
    <t>Vysekání rýh ve zdi cihelné 3 x 3 cm</t>
  </si>
  <si>
    <t>3,63*4</t>
  </si>
  <si>
    <t>pro zásuvkové okruhy</t>
  </si>
  <si>
    <t>průtokový ořívač</t>
  </si>
  <si>
    <t>1,0*2</t>
  </si>
  <si>
    <t>stínící prvky</t>
  </si>
  <si>
    <t>493</t>
  </si>
  <si>
    <t>494</t>
  </si>
  <si>
    <t>5,88283*1</t>
  </si>
  <si>
    <t>495</t>
  </si>
  <si>
    <t>5,88283</t>
  </si>
  <si>
    <t>496</t>
  </si>
  <si>
    <t>5,88283*13</t>
  </si>
  <si>
    <t>497</t>
  </si>
  <si>
    <t>498</t>
  </si>
  <si>
    <t>499</t>
  </si>
  <si>
    <t>5,88283*20</t>
  </si>
  <si>
    <t>500</t>
  </si>
  <si>
    <t>979990110R00</t>
  </si>
  <si>
    <t>Poplatek za uložení suti - sádrokartonové desky, skupina odpadu 170802</t>
  </si>
  <si>
    <t>04_2</t>
  </si>
  <si>
    <t>Přírodověda_ZTI</t>
  </si>
  <si>
    <t>501</t>
  </si>
  <si>
    <t>04_2_72_</t>
  </si>
  <si>
    <t>04_2_</t>
  </si>
  <si>
    <t>502</t>
  </si>
  <si>
    <t>503</t>
  </si>
  <si>
    <t>721173304R00</t>
  </si>
  <si>
    <t>Potrubí PP připoj.v laborator.stolech D 40x1,8</t>
  </si>
  <si>
    <t>504</t>
  </si>
  <si>
    <t>721173305R00</t>
  </si>
  <si>
    <t>Potrubí PP připoj.v laborator.stolech D 50x1,8</t>
  </si>
  <si>
    <t>505</t>
  </si>
  <si>
    <t>721173306R00</t>
  </si>
  <si>
    <t>Potrubí PP připoj.v laborator.stolech D 63x1,8</t>
  </si>
  <si>
    <t>506</t>
  </si>
  <si>
    <t>507</t>
  </si>
  <si>
    <t>508</t>
  </si>
  <si>
    <t>721176104R00</t>
  </si>
  <si>
    <t>Potrubí HT připojovací, D 75 x 1,9 mm</t>
  </si>
  <si>
    <t>509</t>
  </si>
  <si>
    <t>510</t>
  </si>
  <si>
    <t>721194105R00</t>
  </si>
  <si>
    <t>Vyvedení odpadních výpustek, D 50 x 1,8 mm</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</si>
  <si>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</si>
  <si>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</si>
  <si>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</si>
  <si>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</si>
  <si>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</si>
  <si>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</si>
  <si>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</si>
  <si>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</si>
  <si>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</si>
  <si>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</si>
  <si>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</si>
  <si>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</si>
  <si>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</si>
  <si>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</si>
  <si>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</si>
  <si>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</si>
  <si>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</si>
  <si>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</si>
  <si>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</si>
  <si>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</si>
  <si>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</si>
  <si>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</si>
  <si>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</si>
  <si>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</si>
  <si>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</si>
  <si>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</si>
  <si>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</si>
  <si>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</si>
  <si>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</si>
  <si>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725219401R00</t>
  </si>
  <si>
    <t>Montáž umyvadel na šrouby</t>
  </si>
  <si>
    <t>540</t>
  </si>
  <si>
    <t>725017129P</t>
  </si>
  <si>
    <t>Kryt sifonu umyvadel keram., bílý</t>
  </si>
  <si>
    <t>541</t>
  </si>
  <si>
    <t>725219503R00</t>
  </si>
  <si>
    <t>Montáž krytu sifonu umyvadel</t>
  </si>
  <si>
    <t>542</t>
  </si>
  <si>
    <t>725759401R00</t>
  </si>
  <si>
    <t>Montáž laboratorního vodovodního stojanu</t>
  </si>
  <si>
    <t>543</t>
  </si>
  <si>
    <t>725759301R00</t>
  </si>
  <si>
    <t>Montáž laboratorního výtokového ventilu</t>
  </si>
  <si>
    <t>544</t>
  </si>
  <si>
    <t>545</t>
  </si>
  <si>
    <t>546</t>
  </si>
  <si>
    <t>547</t>
  </si>
  <si>
    <t>725860202R00</t>
  </si>
  <si>
    <t>Sifon dřezový HL, D40-50 mm, 6/4"</t>
  </si>
  <si>
    <t>548</t>
  </si>
  <si>
    <t>549</t>
  </si>
  <si>
    <t>725869204R00</t>
  </si>
  <si>
    <t>Montáž uzávěrek zápach.dřez.jednoduchý D 40</t>
  </si>
  <si>
    <t>550</t>
  </si>
  <si>
    <t>551</t>
  </si>
  <si>
    <t>552</t>
  </si>
  <si>
    <t>04_2_76_</t>
  </si>
  <si>
    <t>553</t>
  </si>
  <si>
    <t>767995102R00</t>
  </si>
  <si>
    <t>Výroba a montáž kov. atypických konstr. do 10 kg</t>
  </si>
  <si>
    <t>554</t>
  </si>
  <si>
    <t>555</t>
  </si>
  <si>
    <t>04_2_9_</t>
  </si>
  <si>
    <t>556</t>
  </si>
  <si>
    <t>557</t>
  </si>
  <si>
    <t>558</t>
  </si>
  <si>
    <t>559</t>
  </si>
  <si>
    <t>04_2_Z_</t>
  </si>
  <si>
    <t>560</t>
  </si>
  <si>
    <t>561</t>
  </si>
  <si>
    <t>562</t>
  </si>
  <si>
    <t>05_01</t>
  </si>
  <si>
    <t>Projekt elektroinstalace</t>
  </si>
  <si>
    <t>M65</t>
  </si>
  <si>
    <t>Elektroinstalace</t>
  </si>
  <si>
    <t>563</t>
  </si>
  <si>
    <t>650010VD01</t>
  </si>
  <si>
    <t>Elektroinstalace - viz samostatný rozpočet</t>
  </si>
  <si>
    <t>M65_</t>
  </si>
  <si>
    <t>05_01_9_</t>
  </si>
  <si>
    <t>05_01_</t>
  </si>
  <si>
    <t>Celkem:</t>
  </si>
  <si>
    <t>Poznámka:</t>
  </si>
  <si>
    <t>Krycí list slepého rozpočtu</t>
  </si>
  <si>
    <t>IČO/DIČ:</t>
  </si>
  <si>
    <t>00281859/CZ00281859</t>
  </si>
  <si>
    <t>73313190/CZ7712155616</t>
  </si>
  <si>
    <t>Položek:</t>
  </si>
  <si>
    <t>Datum:</t>
  </si>
  <si>
    <t>Rozpočtové náklady v Kč</t>
  </si>
  <si>
    <t>A</t>
  </si>
  <si>
    <t>Základní rozpočtové náklady</t>
  </si>
  <si>
    <t>B</t>
  </si>
  <si>
    <t>Doplňkové náklady</t>
  </si>
  <si>
    <t>C</t>
  </si>
  <si>
    <t>Náklady na umístění stavby (NUS)</t>
  </si>
  <si>
    <t>HSV</t>
  </si>
  <si>
    <t>Dodávky</t>
  </si>
  <si>
    <t>Práce přesčas</t>
  </si>
  <si>
    <t>Zařízení staveniště</t>
  </si>
  <si>
    <t>Bez pevné podl.</t>
  </si>
  <si>
    <t>Mimostav. doprava</t>
  </si>
  <si>
    <t>PSV</t>
  </si>
  <si>
    <t>Kulturní památka</t>
  </si>
  <si>
    <t>Územní vlivy</t>
  </si>
  <si>
    <t>Provozní vlivy</t>
  </si>
  <si>
    <t>"M"</t>
  </si>
  <si>
    <t>Ostatní</t>
  </si>
  <si>
    <t>NUS z rozpočtu</t>
  </si>
  <si>
    <t>Ostatní materiál</t>
  </si>
  <si>
    <t>Přesun hmot a sutí</t>
  </si>
  <si>
    <t>ZRN celkem</t>
  </si>
  <si>
    <t>DN celkem</t>
  </si>
  <si>
    <t>NUS celkem</t>
  </si>
  <si>
    <t>DN celkem z obj.</t>
  </si>
  <si>
    <t>NUS celkem z obj.</t>
  </si>
  <si>
    <t>VORN celkem</t>
  </si>
  <si>
    <t>VORN celkem z obj.</t>
  </si>
  <si>
    <t>Základ 0%</t>
  </si>
  <si>
    <t>Základ 12%</t>
  </si>
  <si>
    <t>DPH 12%</t>
  </si>
  <si>
    <t>Celkem bez DPH</t>
  </si>
  <si>
    <t>Základ 21%</t>
  </si>
  <si>
    <t>DPH 21%</t>
  </si>
  <si>
    <t>Celkem včetně DPH</t>
  </si>
  <si>
    <t>Projektant</t>
  </si>
  <si>
    <t>Objednatel</t>
  </si>
  <si>
    <t>Zhotovitel</t>
  </si>
  <si>
    <t>Datum, razítko a podpis</t>
  </si>
  <si>
    <t>Vedlejší a ostatní rozpočtové náklady</t>
  </si>
  <si>
    <t>Vedlejší rozpočtové náklady VRN</t>
  </si>
  <si>
    <t>Doplňkové náklady DN</t>
  </si>
  <si>
    <t>Kč</t>
  </si>
  <si>
    <t>Základna</t>
  </si>
  <si>
    <t>Celkem DN</t>
  </si>
  <si>
    <t>Celkem NUS</t>
  </si>
  <si>
    <t>Celkem VRN</t>
  </si>
  <si>
    <t>Ostatní rozpočtové náklady ORN</t>
  </si>
  <si>
    <t>Ostatní rozpočtové náklady (ORN)</t>
  </si>
  <si>
    <t>Celkem ORN</t>
  </si>
  <si>
    <t>Krycí list slepého rozpočtu (01_1 - WC_Stavba)</t>
  </si>
  <si>
    <t>Vedlejší a ostatní rozpočtové náklady (01_1 - WC_Stavba)</t>
  </si>
  <si>
    <t>Krycí list slepého rozpočtu (01_2 - WC_ÚT)</t>
  </si>
  <si>
    <t>Vedlejší a ostatní rozpočtové náklady (01_2 - WC_ÚT)</t>
  </si>
  <si>
    <t>Krycí list slepého rozpočtu (01_3 - WC_ZTI)</t>
  </si>
  <si>
    <t>Vedlejší a ostatní rozpočtové náklady (01_3 - WC_ZTI)</t>
  </si>
  <si>
    <t>Krycí list slepého rozpočtu (02_1 - Malá Informatika_Stavba)</t>
  </si>
  <si>
    <t>Vedlejší a ostatní rozpočtové náklady (02_1 - Malá Informatika_Stavba)</t>
  </si>
  <si>
    <t>Krycí list slepého rozpočtu (02_2 - Malá Informatika_ZTI)</t>
  </si>
  <si>
    <t>Vedlejší a ostatní rozpočtové náklady (02_2 - Malá Informatika_ZTI)</t>
  </si>
  <si>
    <t>Krycí list slepého rozpočtu (03_1 - Velká Informatika_Stavba)</t>
  </si>
  <si>
    <t>Vedlejší a ostatní rozpočtové náklady (03_1 - Velká Informatika_Stavba)</t>
  </si>
  <si>
    <t>Krycí list slepého rozpočtu (03_2 - Velká Informatika_ZTI)</t>
  </si>
  <si>
    <t>Vedlejší a ostatní rozpočtové náklady (03_2 - Velká Informatika_ZTI)</t>
  </si>
  <si>
    <t>Krycí list slepého rozpočtu (04_1 - Přírodověda_Stavba)</t>
  </si>
  <si>
    <t>Vedlejší a ostatní rozpočtové náklady (04_1 - Přírodověda_Stavba)</t>
  </si>
  <si>
    <t>Krycí list slepého rozpočtu (04_2 - Přírodověda_ZTI)</t>
  </si>
  <si>
    <t>Vedlejší a ostatní rozpočtové náklady (04_2 - Přírodověda_ZTI)</t>
  </si>
  <si>
    <t>Krycí list slepého rozpočtu (05_01 - Projekt elektroinstalace)</t>
  </si>
  <si>
    <t>Vedlejší a ostatní rozpočtové náklady (05_01 - Projekt elektroinstalace)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</si>
</sst>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name val="Calibri"/>
      <family val="2"/>
    </font>
    <font>
      <sz val="10"/>
      <name val="Arial"/>
      <family val="2"/>
    </font>
    <font>
      <sz val="18"/>
      <color rgb="FF000000"/>
      <name val="Arial"/>
      <family val="2"/>
    </font>
    <font>
      <b/>
      <sz val="10"/>
      <color rgb="FF000000"/>
      <name val="Arial"/>
      <family val="2"/>
    </font>
    <font>
      <sz val="10"/>
      <color rgb="FF000000"/>
      <name val="Arial"/>
      <family val="2"/>
    </font>
    <font>
      <i/>
      <sz val="10"/>
      <color rgb="FF000000"/>
      <name val="Arial"/>
      <family val="2"/>
    </font>
    <font>
      <i/>
      <sz val="10"/>
      <color rgb="FF008000"/>
      <name val="Arial"/>
      <family val="2"/>
    </font>
    <font>
      <sz val="11"/>
      <name val="Arial"/>
      <family val="2"/>
    </font>
    <font>
      <sz val="10"/>
      <color rgb="FF0080C0"/>
      <name val="Arial"/>
      <family val="2"/>
    </font>
    <font>
      <i/>
      <sz val="8"/>
      <color rgb="FF000000"/>
      <name val="Arial"/>
      <family val="2"/>
    </font>
    <font>
      <b/>
      <sz val="18"/>
      <color rgb="FF000000"/>
      <name val="Arial"/>
      <family val="2"/>
    </font>
    <font>
      <b/>
      <sz val="20"/>
      <color rgb="FF000000"/>
      <name val="Arial"/>
      <family val="2"/>
    </font>
    <font>
      <b/>
      <sz val="11"/>
      <color rgb="FF000000"/>
      <name val="Arial"/>
      <family val="2"/>
    </font>
    <font>
      <b/>
      <sz val="12"/>
      <color rgb="FF000000"/>
      <name val="Arial"/>
      <family val="2"/>
    </font>
    <font>
      <sz val="12"/>
      <color rgb="FF000000"/>
      <name val="Arial"/>
      <family val="2"/>
    </font>
  </fonts>
  <fills count="4">
    <fill>
      <patternFill/>
    </fill>
    <fill>
      <patternFill patternType="gray125"/>
    </fill>
    <fill>
      <patternFill patternType="solid">
        <fgColor rgb="FFC0C0C0"/>
        <bgColor indexed="64"/>
      </patternFill>
    </fill>
    <fill>
      <patternFill patternType="solid">
        <fgColor rgb="FFFFFFFF"/>
        <bgColor indexed="64"/>
      </patternFill>
    </fill>
  </fills>
  <borders count="36">
    <border>
      <left/>
      <right/>
      <top/>
      <bottom/>
      <diagonal/>
    </border>
    <border>
      <left style="thin">
        <color rgb="FF000000"/>
      </left>
      <right/>
      <top/>
      <bottom/>
    </border>
    <border>
      <left style="thin">
        <color rgb="FF000000"/>
      </left>
      <right style="thin">
        <color rgb="FF000000"/>
      </right>
      <top style="medium">
        <color rgb="FF000000"/>
      </top>
      <bottom/>
    </border>
    <border>
      <left/>
      <right style="thin">
        <color rgb="FF000000"/>
      </right>
      <top style="medium">
        <color rgb="FF000000"/>
      </top>
      <bottom/>
    </border>
    <border>
      <left/>
      <right/>
      <top style="medium">
        <color rgb="FF000000"/>
      </top>
      <bottom/>
    </border>
    <border>
      <left style="thin">
        <color rgb="FF000000"/>
      </left>
      <right style="thin">
        <color rgb="FF000000"/>
      </right>
      <top/>
      <bottom style="medium">
        <color rgb="FF000000"/>
      </bottom>
    </border>
    <border>
      <left/>
      <right style="thin">
        <color rgb="FF000000"/>
      </right>
      <top/>
      <bottom style="medium">
        <color rgb="FF000000"/>
      </bottom>
    </border>
    <border>
      <left/>
      <right/>
      <top/>
      <bottom style="medium">
        <color rgb="FF000000"/>
      </bottom>
    </border>
    <border>
      <left style="medium">
        <color rgb="FF000000"/>
      </left>
      <right style="thin">
        <color rgb="FF000000"/>
      </right>
      <top/>
      <bottom style="medium">
        <color rgb="FF000000"/>
      </bottom>
    </border>
    <border>
      <left/>
      <right style="medium">
        <color rgb="FF000000"/>
      </right>
      <top/>
      <bottom style="medium">
        <color rgb="FF000000"/>
      </bottom>
    </border>
    <border>
      <left/>
      <right style="thin">
        <color rgb="FF000000"/>
      </right>
      <top/>
      <bottom/>
    </border>
    <border>
      <left style="thin">
        <color rgb="FFC0C0C0"/>
      </left>
      <right/>
      <top/>
      <bottom/>
    </border>
    <border>
      <left/>
      <right style="thin">
        <color rgb="FFC0C0C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right style="medium">
        <color rgb="FF000000"/>
      </right>
      <top style="medium">
        <color rgb="FF000000"/>
      </top>
      <bottom style="thin">
        <color rgb="FF000000"/>
      </bottom>
    </border>
    <border>
      <left/>
      <right style="medium">
        <color rgb="FF000000"/>
      </right>
      <top style="medium">
        <color rgb="FF000000"/>
      </top>
      <bottom style="medium">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medium">
        <color rgb="FF000000"/>
      </left>
      <right/>
      <top style="medium">
        <color rgb="FF000000"/>
      </top>
      <bottom style="thin">
        <color rgb="FF000000"/>
      </bottom>
    </border>
    <border>
      <left/>
      <right/>
      <top style="medium">
        <color rgb="FF000000"/>
      </top>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style="medium">
        <color rgb="FF000000"/>
      </left>
      <right/>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62">
    <xf numFmtId="0" fontId="0" fillId="0" borderId="0" xfId="0"/>
    <xf numFmtId="4" fontId="3" fillId="2" borderId="0" xfId="0" applyNumberFormat="1" applyFont="1" applyFill="1" applyAlignment="1">
      <alignment horizontal="right" vertical="center"/>
    </xf>
    <xf numFmtId="0" fontId="4" fillId="0" borderId="1" xfId="0" applyFont="1" applyBorder="1" applyAlignment="1">
      <alignment horizontal="left" vertical="center"/>
    </xf>
    <xf numFmtId="0" fontId="4" fillId="0" borderId="0" xfId="0" applyFont="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2" borderId="0" xfId="0" applyFont="1" applyFill="1" applyAlignment="1">
      <alignment horizontal="right" vertical="center"/>
    </xf>
    <xf numFmtId="0" fontId="3" fillId="0" borderId="0" xfId="0" applyFont="1" applyAlignment="1">
      <alignment horizontal="righ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4" fillId="2" borderId="1" xfId="0" applyFont="1" applyFill="1" applyBorder="1" applyAlignment="1">
      <alignment horizontal="left" vertical="center"/>
    </xf>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4" fontId="3" fillId="2" borderId="0" xfId="0" applyNumberFormat="1" applyFont="1" applyFill="1" applyBorder="1" applyAlignment="1">
      <alignment horizontal="right" vertical="center"/>
    </xf>
    <xf numFmtId="0" fontId="3" fillId="2" borderId="10" xfId="0" applyFont="1" applyFill="1" applyBorder="1" applyAlignment="1">
      <alignment horizontal="right" vertical="center"/>
    </xf>
    <xf numFmtId="0" fontId="4" fillId="2" borderId="1" xfId="0" applyFont="1" applyFill="1" applyBorder="1" applyAlignment="1">
      <alignment horizontal="left" vertical="center"/>
    </xf>
    <xf numFmtId="0" fontId="3" fillId="2" borderId="0" xfId="0" applyFont="1" applyFill="1" applyAlignment="1">
      <alignment horizontal="left" vertical="center"/>
    </xf>
    <xf numFmtId="0" fontId="4" fillId="2" borderId="0" xfId="0" applyFont="1" applyFill="1" applyAlignment="1">
      <alignment horizontal="left" vertical="center"/>
    </xf>
    <xf numFmtId="0" fontId="3" fillId="2" borderId="10" xfId="0" applyFont="1" applyFill="1" applyBorder="1" applyAlignment="1">
      <alignment horizontal="right" vertical="center"/>
    </xf>
    <xf numFmtId="4" fontId="4" fillId="0" borderId="0" xfId="0" applyNumberFormat="1" applyFont="1" applyAlignment="1">
      <alignment horizontal="right" vertical="center"/>
    </xf>
    <xf numFmtId="0" fontId="4" fillId="0" borderId="10" xfId="0" applyFont="1" applyBorder="1" applyAlignment="1">
      <alignment horizontal="right" vertical="center"/>
    </xf>
    <xf numFmtId="0" fontId="4" fillId="0" borderId="0" xfId="0" applyFont="1" applyAlignment="1">
      <alignment horizontal="right" vertical="center"/>
    </xf>
    <xf numFmtId="0" fontId="0" fillId="0" borderId="1" xfId="0" applyBorder="1"/>
    <xf numFmtId="0" fontId="5" fillId="0" borderId="0" xfId="0" applyFont="1" applyAlignment="1">
      <alignment horizontal="left" vertical="center"/>
    </xf>
    <xf numFmtId="0" fontId="6" fillId="0" borderId="0" xfId="0" applyFont="1" applyAlignment="1">
      <alignment horizontal="left" vertical="center"/>
    </xf>
    <xf numFmtId="4" fontId="6" fillId="0" borderId="0" xfId="0" applyNumberFormat="1" applyFont="1" applyAlignment="1">
      <alignment horizontal="right" vertical="center"/>
    </xf>
    <xf numFmtId="0" fontId="0" fillId="0" borderId="10" xfId="0" applyBorder="1"/>
    <xf numFmtId="0" fontId="5" fillId="0" borderId="0" xfId="0" applyFont="1" applyAlignment="1">
      <alignment horizontal="right" vertical="center"/>
    </xf>
    <xf numFmtId="0" fontId="4" fillId="2" borderId="1" xfId="0" applyFont="1" applyFill="1" applyBorder="1" applyAlignment="1">
      <alignment horizontal="left" vertical="center"/>
    </xf>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4" fontId="3" fillId="2" borderId="0" xfId="0" applyNumberFormat="1" applyFont="1" applyFill="1" applyBorder="1" applyAlignment="1">
      <alignment horizontal="right" vertical="center"/>
    </xf>
    <xf numFmtId="0" fontId="3" fillId="2" borderId="10" xfId="0" applyFont="1" applyFill="1" applyBorder="1" applyAlignment="1">
      <alignment horizontal="right" vertical="center"/>
    </xf>
    <xf numFmtId="0" fontId="4" fillId="3" borderId="11" xfId="0" applyFont="1" applyFill="1" applyBorder="1" applyAlignment="1">
      <alignment horizontal="left" vertical="center"/>
    </xf>
    <xf numFmtId="0" fontId="4" fillId="3" borderId="0" xfId="0" applyFont="1" applyFill="1" applyBorder="1" applyAlignment="1">
      <alignment horizontal="left" vertical="center"/>
    </xf>
    <xf numFmtId="4" fontId="4" fillId="3" borderId="0" xfId="0" applyNumberFormat="1" applyFont="1" applyFill="1" applyBorder="1" applyAlignment="1">
      <alignment horizontal="right" vertical="center"/>
    </xf>
    <xf numFmtId="0" fontId="4" fillId="3" borderId="12" xfId="0" applyFont="1" applyFill="1" applyBorder="1" applyAlignment="1">
      <alignment horizontal="right" vertical="center"/>
    </xf>
    <xf numFmtId="0" fontId="0" fillId="0" borderId="1" xfId="0" applyBorder="1"/>
    <xf numFmtId="0" fontId="7" fillId="3" borderId="11" xfId="0" applyFont="1" applyFill="1" applyBorder="1"/>
    <xf numFmtId="0" fontId="7" fillId="3" borderId="0" xfId="0" applyFont="1" applyFill="1" applyBorder="1"/>
    <xf numFmtId="0" fontId="6" fillId="3" borderId="0" xfId="0" applyFont="1" applyFill="1" applyBorder="1" applyAlignment="1">
      <alignment horizontal="left" vertical="center"/>
    </xf>
    <xf numFmtId="0" fontId="5" fillId="3" borderId="0" xfId="0" applyFont="1" applyFill="1" applyBorder="1" applyAlignment="1">
      <alignment horizontal="left" vertical="center"/>
    </xf>
    <xf numFmtId="4" fontId="6" fillId="3" borderId="0" xfId="0" applyNumberFormat="1" applyFont="1" applyFill="1" applyBorder="1" applyAlignment="1">
      <alignment horizontal="right" vertical="center"/>
    </xf>
    <xf numFmtId="0" fontId="7" fillId="3" borderId="12" xfId="0" applyFont="1" applyFill="1" applyBorder="1"/>
    <xf numFmtId="0" fontId="7" fillId="3" borderId="11" xfId="0" applyFont="1" applyFill="1" applyBorder="1"/>
    <xf numFmtId="0" fontId="7" fillId="3" borderId="0" xfId="0" applyFont="1" applyFill="1" applyBorder="1"/>
    <xf numFmtId="0" fontId="6" fillId="3" borderId="0" xfId="0" applyFont="1" applyFill="1" applyBorder="1" applyAlignment="1">
      <alignment horizontal="left" vertical="center"/>
    </xf>
    <xf numFmtId="0" fontId="5" fillId="3" borderId="0" xfId="0" applyFont="1" applyFill="1" applyBorder="1" applyAlignment="1">
      <alignment horizontal="left" vertical="center"/>
    </xf>
    <xf numFmtId="4" fontId="6" fillId="3" borderId="0" xfId="0" applyNumberFormat="1" applyFont="1" applyFill="1" applyBorder="1" applyAlignment="1">
      <alignment horizontal="right" vertical="center"/>
    </xf>
    <xf numFmtId="0" fontId="7" fillId="3" borderId="12" xfId="0" applyFont="1" applyFill="1" applyBorder="1"/>
    <xf numFmtId="0" fontId="0" fillId="0" borderId="1" xfId="0" applyBorder="1"/>
    <xf numFmtId="0" fontId="5" fillId="0" borderId="0" xfId="0" applyFont="1" applyBorder="1" applyAlignment="1">
      <alignment horizontal="right" vertical="center"/>
    </xf>
    <xf numFmtId="0" fontId="8" fillId="0" borderId="1" xfId="0" applyFont="1" applyBorder="1" applyAlignment="1">
      <alignment horizontal="left" vertical="center"/>
    </xf>
    <xf numFmtId="0" fontId="8" fillId="0" borderId="0" xfId="0" applyFont="1" applyAlignment="1">
      <alignment horizontal="left" vertical="center"/>
    </xf>
    <xf numFmtId="4" fontId="8" fillId="0" borderId="0" xfId="0" applyNumberFormat="1" applyFont="1" applyAlignment="1">
      <alignment horizontal="right" vertical="center"/>
    </xf>
    <xf numFmtId="0" fontId="8" fillId="0" borderId="10" xfId="0" applyFont="1" applyBorder="1" applyAlignment="1">
      <alignment horizontal="right" vertical="center"/>
    </xf>
    <xf numFmtId="0" fontId="8" fillId="0" borderId="0" xfId="0" applyFont="1" applyAlignment="1">
      <alignment horizontal="right" vertical="center"/>
    </xf>
    <xf numFmtId="0" fontId="5" fillId="0" borderId="0" xfId="0" applyFont="1" applyBorder="1" applyAlignment="1">
      <alignment horizontal="right" vertical="center"/>
    </xf>
    <xf numFmtId="0" fontId="4" fillId="3" borderId="11" xfId="0" applyFont="1" applyFill="1" applyBorder="1" applyAlignment="1">
      <alignment horizontal="left" vertical="center"/>
    </xf>
    <xf numFmtId="0" fontId="4" fillId="3" borderId="0" xfId="0" applyFont="1" applyFill="1" applyBorder="1" applyAlignment="1">
      <alignment horizontal="left" vertical="center"/>
    </xf>
    <xf numFmtId="4" fontId="4" fillId="3" borderId="0" xfId="0" applyNumberFormat="1" applyFont="1" applyFill="1" applyBorder="1" applyAlignment="1">
      <alignment horizontal="right" vertical="center"/>
    </xf>
    <xf numFmtId="0" fontId="4" fillId="3" borderId="12" xfId="0" applyFont="1" applyFill="1" applyBorder="1" applyAlignment="1">
      <alignment horizontal="right" vertical="center"/>
    </xf>
    <xf numFmtId="0" fontId="4" fillId="3" borderId="11" xfId="0" applyFont="1" applyFill="1" applyBorder="1" applyAlignment="1">
      <alignment horizontal="left" vertical="center"/>
    </xf>
    <xf numFmtId="0" fontId="3" fillId="3" borderId="0" xfId="0" applyFont="1" applyFill="1" applyBorder="1" applyAlignment="1">
      <alignment horizontal="left" vertical="center"/>
    </xf>
    <xf numFmtId="0" fontId="4" fillId="3" borderId="0" xfId="0" applyFont="1" applyFill="1" applyBorder="1" applyAlignment="1">
      <alignment horizontal="left" vertical="center"/>
    </xf>
    <xf numFmtId="4" fontId="3" fillId="3" borderId="0" xfId="0" applyNumberFormat="1" applyFont="1" applyFill="1" applyBorder="1" applyAlignment="1">
      <alignment horizontal="right" vertical="center"/>
    </xf>
    <xf numFmtId="0" fontId="3" fillId="3" borderId="12" xfId="0" applyFont="1" applyFill="1" applyBorder="1" applyAlignment="1">
      <alignment horizontal="right" vertical="center"/>
    </xf>
    <xf numFmtId="0" fontId="4" fillId="3" borderId="11" xfId="0" applyFont="1" applyFill="1" applyBorder="1" applyAlignment="1">
      <alignment horizontal="left" vertical="center"/>
    </xf>
    <xf numFmtId="0" fontId="3" fillId="3" borderId="0" xfId="0" applyFont="1" applyFill="1" applyBorder="1" applyAlignment="1">
      <alignment horizontal="left" vertical="center"/>
    </xf>
    <xf numFmtId="0" fontId="4" fillId="3" borderId="0" xfId="0" applyFont="1" applyFill="1" applyBorder="1" applyAlignment="1">
      <alignment horizontal="left" vertical="center"/>
    </xf>
    <xf numFmtId="4" fontId="3" fillId="3" borderId="0" xfId="0" applyNumberFormat="1" applyFont="1" applyFill="1" applyBorder="1" applyAlignment="1">
      <alignment horizontal="right" vertical="center"/>
    </xf>
    <xf numFmtId="0" fontId="3" fillId="3" borderId="12" xfId="0" applyFont="1" applyFill="1" applyBorder="1" applyAlignment="1">
      <alignment horizontal="right" vertical="center"/>
    </xf>
    <xf numFmtId="0" fontId="8" fillId="3" borderId="11" xfId="0" applyFont="1" applyFill="1" applyBorder="1" applyAlignment="1">
      <alignment horizontal="left" vertical="center"/>
    </xf>
    <xf numFmtId="0" fontId="8" fillId="3" borderId="0" xfId="0" applyFont="1" applyFill="1" applyBorder="1" applyAlignment="1">
      <alignment horizontal="left" vertical="center"/>
    </xf>
    <xf numFmtId="4" fontId="8" fillId="3" borderId="0" xfId="0" applyNumberFormat="1" applyFont="1" applyFill="1" applyBorder="1" applyAlignment="1">
      <alignment horizontal="right" vertical="center"/>
    </xf>
    <xf numFmtId="0" fontId="8" fillId="3" borderId="12" xfId="0" applyFont="1" applyFill="1" applyBorder="1" applyAlignment="1">
      <alignment horizontal="right" vertical="center"/>
    </xf>
    <xf numFmtId="0" fontId="4" fillId="2" borderId="1" xfId="0" applyFont="1" applyFill="1" applyBorder="1" applyAlignment="1">
      <alignment horizontal="left" vertical="center"/>
    </xf>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4" fontId="3" fillId="2" borderId="0" xfId="0" applyNumberFormat="1" applyFont="1" applyFill="1" applyBorder="1" applyAlignment="1">
      <alignment horizontal="right" vertical="center"/>
    </xf>
    <xf numFmtId="0" fontId="3" fillId="2" borderId="10" xfId="0" applyFont="1" applyFill="1" applyBorder="1" applyAlignment="1">
      <alignment horizontal="right" vertical="center"/>
    </xf>
    <xf numFmtId="0" fontId="8" fillId="3" borderId="11" xfId="0" applyFont="1" applyFill="1" applyBorder="1" applyAlignment="1">
      <alignment horizontal="left" vertical="center"/>
    </xf>
    <xf numFmtId="0" fontId="8" fillId="3" borderId="0" xfId="0" applyFont="1" applyFill="1" applyBorder="1" applyAlignment="1">
      <alignment horizontal="left" vertical="center"/>
    </xf>
    <xf numFmtId="4" fontId="8" fillId="3" borderId="0" xfId="0" applyNumberFormat="1" applyFont="1" applyFill="1" applyBorder="1" applyAlignment="1">
      <alignment horizontal="right" vertical="center"/>
    </xf>
    <xf numFmtId="0" fontId="8" fillId="3" borderId="12" xfId="0" applyFont="1" applyFill="1" applyBorder="1" applyAlignment="1">
      <alignment horizontal="right" vertical="center"/>
    </xf>
    <xf numFmtId="0" fontId="4" fillId="2" borderId="1" xfId="0" applyFont="1" applyFill="1" applyBorder="1" applyAlignment="1">
      <alignment horizontal="left" vertical="center"/>
    </xf>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4" fontId="3" fillId="2" borderId="0" xfId="0" applyNumberFormat="1" applyFont="1" applyFill="1" applyBorder="1" applyAlignment="1">
      <alignment horizontal="right" vertical="center"/>
    </xf>
    <xf numFmtId="0" fontId="3" fillId="2" borderId="10" xfId="0" applyFont="1" applyFill="1" applyBorder="1" applyAlignment="1">
      <alignment horizontal="right" vertical="center"/>
    </xf>
    <xf numFmtId="0" fontId="0" fillId="0" borderId="1" xfId="0" applyBorder="1"/>
    <xf numFmtId="0" fontId="5" fillId="0" borderId="0" xfId="0" applyFont="1" applyBorder="1" applyAlignment="1">
      <alignment horizontal="right" vertical="center"/>
    </xf>
    <xf numFmtId="0" fontId="5" fillId="0" borderId="0" xfId="0" applyFont="1" applyBorder="1" applyAlignment="1">
      <alignment horizontal="left" vertical="center"/>
    </xf>
    <xf numFmtId="0" fontId="4" fillId="0" borderId="1" xfId="0" applyFont="1" applyBorder="1" applyAlignment="1">
      <alignment horizontal="left" vertical="center"/>
    </xf>
    <xf numFmtId="0" fontId="4" fillId="0" borderId="0" xfId="0" applyFont="1" applyBorder="1" applyAlignment="1">
      <alignment horizontal="left" vertical="center"/>
    </xf>
    <xf numFmtId="4" fontId="4" fillId="0" borderId="0" xfId="0" applyNumberFormat="1" applyFont="1" applyBorder="1" applyAlignment="1">
      <alignment horizontal="right" vertical="center"/>
    </xf>
    <xf numFmtId="0" fontId="4" fillId="0" borderId="10" xfId="0" applyFont="1" applyBorder="1" applyAlignment="1">
      <alignment horizontal="right" vertical="center"/>
    </xf>
    <xf numFmtId="0" fontId="6" fillId="0" borderId="0" xfId="0" applyFont="1" applyBorder="1" applyAlignment="1">
      <alignment horizontal="left" vertical="center"/>
    </xf>
    <xf numFmtId="4" fontId="6" fillId="0" borderId="0" xfId="0" applyNumberFormat="1" applyFont="1" applyBorder="1" applyAlignment="1">
      <alignment horizontal="right" vertical="center"/>
    </xf>
    <xf numFmtId="0" fontId="0" fillId="0" borderId="10" xfId="0" applyBorder="1"/>
    <xf numFmtId="0" fontId="4" fillId="0" borderId="1" xfId="0" applyFont="1" applyBorder="1" applyAlignment="1">
      <alignment horizontal="left" vertical="center"/>
    </xf>
    <xf numFmtId="0" fontId="4" fillId="0" borderId="0" xfId="0" applyFont="1" applyBorder="1" applyAlignment="1">
      <alignment horizontal="left" vertical="center"/>
    </xf>
    <xf numFmtId="4" fontId="4" fillId="0" borderId="0" xfId="0" applyNumberFormat="1" applyFont="1" applyBorder="1" applyAlignment="1">
      <alignment horizontal="right" vertical="center"/>
    </xf>
    <xf numFmtId="0" fontId="4" fillId="0" borderId="10" xfId="0" applyFont="1" applyBorder="1" applyAlignment="1">
      <alignment horizontal="righ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4" fontId="4" fillId="0" borderId="14" xfId="0" applyNumberFormat="1" applyFont="1" applyBorder="1" applyAlignment="1">
      <alignment horizontal="right" vertical="center"/>
    </xf>
    <xf numFmtId="0" fontId="4" fillId="0" borderId="15" xfId="0" applyFont="1" applyBorder="1" applyAlignment="1">
      <alignment horizontal="right" vertical="center"/>
    </xf>
    <xf numFmtId="4" fontId="3" fillId="0" borderId="0" xfId="0" applyNumberFormat="1" applyFont="1" applyBorder="1" applyAlignment="1">
      <alignment horizontal="right" vertical="center"/>
    </xf>
    <xf numFmtId="0" fontId="9" fillId="0" borderId="0" xfId="0" applyFont="1" applyAlignment="1">
      <alignment horizontal="left"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3" fillId="0" borderId="18" xfId="0" applyFont="1" applyBorder="1" applyAlignment="1">
      <alignment horizontal="left" vertical="center"/>
    </xf>
    <xf numFmtId="0" fontId="14" fillId="0" borderId="15" xfId="0" applyFont="1" applyBorder="1" applyAlignment="1">
      <alignment horizontal="left" vertical="center"/>
    </xf>
    <xf numFmtId="4" fontId="14" fillId="0" borderId="15" xfId="0" applyNumberFormat="1" applyFont="1" applyBorder="1" applyAlignment="1">
      <alignment horizontal="right" vertical="center"/>
    </xf>
    <xf numFmtId="0" fontId="14" fillId="0" borderId="15" xfId="0" applyFont="1" applyBorder="1" applyAlignment="1">
      <alignment horizontal="right" vertical="center"/>
    </xf>
    <xf numFmtId="0" fontId="13" fillId="0" borderId="19" xfId="0" applyFont="1" applyBorder="1" applyAlignment="1">
      <alignment horizontal="left" vertical="center"/>
    </xf>
    <xf numFmtId="4" fontId="14" fillId="0" borderId="10" xfId="0" applyNumberFormat="1" applyFont="1" applyBorder="1" applyAlignment="1">
      <alignment horizontal="right" vertical="center"/>
    </xf>
    <xf numFmtId="0" fontId="14" fillId="0" borderId="10" xfId="0" applyFont="1" applyBorder="1" applyAlignment="1">
      <alignment horizontal="right" vertical="center"/>
    </xf>
    <xf numFmtId="4" fontId="14" fillId="0" borderId="17" xfId="0" applyNumberFormat="1" applyFont="1" applyBorder="1" applyAlignment="1">
      <alignment horizontal="right" vertical="center"/>
    </xf>
    <xf numFmtId="4" fontId="13" fillId="2" borderId="17" xfId="0" applyNumberFormat="1" applyFont="1" applyFill="1" applyBorder="1" applyAlignment="1">
      <alignment horizontal="right" vertical="center"/>
    </xf>
    <xf numFmtId="4" fontId="13" fillId="2" borderId="15" xfId="0" applyNumberFormat="1" applyFont="1" applyFill="1" applyBorder="1" applyAlignment="1">
      <alignment horizontal="right" vertical="center"/>
    </xf>
    <xf numFmtId="0" fontId="9" fillId="0" borderId="0" xfId="0" applyFont="1" applyBorder="1" applyAlignment="1">
      <alignment horizontal="left" vertical="center"/>
    </xf>
    <xf numFmtId="0" fontId="3" fillId="0" borderId="20" xfId="0" applyFont="1" applyBorder="1" applyAlignment="1">
      <alignment horizontal="right" vertical="center"/>
    </xf>
    <xf numFmtId="4" fontId="4" fillId="0" borderId="15" xfId="0" applyNumberFormat="1" applyFont="1" applyBorder="1" applyAlignment="1">
      <alignment horizontal="right" vertical="center"/>
    </xf>
    <xf numFmtId="0" fontId="4" fillId="0" borderId="15" xfId="0" applyFont="1" applyBorder="1" applyAlignment="1">
      <alignment horizontal="left" vertical="center"/>
    </xf>
    <xf numFmtId="4" fontId="4" fillId="0" borderId="10" xfId="0" applyNumberFormat="1" applyFont="1" applyBorder="1" applyAlignment="1">
      <alignment horizontal="right" vertical="center"/>
    </xf>
    <xf numFmtId="0" fontId="4" fillId="0" borderId="10" xfId="0" applyFont="1" applyBorder="1" applyAlignment="1">
      <alignment horizontal="left" vertical="center"/>
    </xf>
    <xf numFmtId="0" fontId="3" fillId="0" borderId="21" xfId="0" applyFont="1" applyBorder="1" applyAlignment="1">
      <alignment horizontal="left" vertical="center"/>
    </xf>
    <xf numFmtId="0" fontId="3" fillId="0" borderId="21" xfId="0" applyFont="1" applyBorder="1" applyAlignment="1">
      <alignment horizontal="right" vertical="center"/>
    </xf>
    <xf numFmtId="4" fontId="3" fillId="0" borderId="21" xfId="0" applyNumberFormat="1" applyFont="1" applyBorder="1" applyAlignment="1">
      <alignment horizontal="right" vertical="center"/>
    </xf>
    <xf numFmtId="0" fontId="2" fillId="0" borderId="0" xfId="0" applyFont="1" applyBorder="1" applyAlignment="1">
      <alignment horizontal="center" vertical="center"/>
    </xf>
    <xf numFmtId="0" fontId="4" fillId="0" borderId="22" xfId="0" applyFont="1" applyBorder="1" applyAlignment="1">
      <alignment horizontal="left" vertical="center" wrapText="1"/>
    </xf>
    <xf numFmtId="0" fontId="4" fillId="0" borderId="23" xfId="0" applyFont="1" applyBorder="1" applyAlignment="1">
      <alignment horizontal="left" vertical="center"/>
    </xf>
    <xf numFmtId="0" fontId="4" fillId="0" borderId="1" xfId="0" applyFont="1" applyBorder="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0" xfId="0" applyFont="1" applyBorder="1" applyAlignment="1">
      <alignment horizontal="left" vertical="center"/>
    </xf>
    <xf numFmtId="0" fontId="4" fillId="0" borderId="23" xfId="0" applyFont="1" applyBorder="1" applyAlignment="1">
      <alignment horizontal="left" vertical="center" wrapText="1"/>
    </xf>
    <xf numFmtId="0" fontId="4" fillId="0" borderId="0" xfId="0" applyFont="1" applyAlignment="1">
      <alignment horizontal="left" vertical="center" wrapText="1"/>
    </xf>
    <xf numFmtId="0" fontId="3" fillId="0" borderId="23" xfId="0" applyFont="1" applyBorder="1" applyAlignment="1">
      <alignment horizontal="left" vertical="center" wrapText="1"/>
    </xf>
    <xf numFmtId="0" fontId="3" fillId="0" borderId="23" xfId="0" applyFont="1" applyBorder="1" applyAlignment="1">
      <alignment horizontal="left" vertical="center"/>
    </xf>
    <xf numFmtId="0" fontId="3" fillId="0" borderId="0" xfId="0" applyFont="1" applyAlignment="1">
      <alignment horizontal="left" vertical="center"/>
    </xf>
    <xf numFmtId="0" fontId="4" fillId="0" borderId="24" xfId="0" applyFont="1" applyBorder="1" applyAlignment="1">
      <alignment horizontal="left" vertical="center"/>
    </xf>
    <xf numFmtId="0" fontId="4" fillId="0" borderId="10" xfId="0" applyFont="1" applyBorder="1" applyAlignment="1">
      <alignment horizontal="left" vertical="center"/>
    </xf>
    <xf numFmtId="0" fontId="4" fillId="0" borderId="10"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0" xfId="0" applyFont="1" applyBorder="1" applyAlignment="1">
      <alignment horizontal="center"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10" xfId="0" applyFont="1" applyBorder="1" applyAlignment="1">
      <alignment horizontal="left"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4" fillId="3" borderId="0" xfId="0" applyFont="1" applyFill="1" applyBorder="1" applyAlignment="1">
      <alignment horizontal="left" vertical="center" wrapText="1"/>
    </xf>
    <xf numFmtId="0" fontId="4" fillId="3" borderId="0" xfId="0" applyFont="1" applyFill="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8" fillId="0" borderId="0" xfId="0" applyFont="1" applyAlignment="1">
      <alignment horizontal="left" vertical="center" wrapText="1"/>
    </xf>
    <xf numFmtId="0" fontId="8" fillId="0" borderId="0" xfId="0" applyFont="1" applyAlignment="1">
      <alignment horizontal="left" vertical="center"/>
    </xf>
    <xf numFmtId="0" fontId="4" fillId="3" borderId="0" xfId="0" applyFont="1" applyFill="1" applyBorder="1" applyAlignment="1">
      <alignment horizontal="left" vertical="center" wrapText="1"/>
    </xf>
    <xf numFmtId="0" fontId="4" fillId="3" borderId="0" xfId="0" applyFont="1" applyFill="1" applyBorder="1" applyAlignment="1">
      <alignment horizontal="left" vertical="center"/>
    </xf>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xf>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xf>
    <xf numFmtId="0" fontId="8" fillId="3" borderId="0" xfId="0" applyFont="1" applyFill="1" applyBorder="1" applyAlignment="1">
      <alignment horizontal="left" vertical="center" wrapText="1"/>
    </xf>
    <xf numFmtId="0" fontId="8" fillId="3"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8" fillId="3" borderId="0" xfId="0" applyFont="1" applyFill="1" applyBorder="1" applyAlignment="1">
      <alignment horizontal="left" vertical="center" wrapText="1"/>
    </xf>
    <xf numFmtId="0" fontId="8" fillId="3"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14" xfId="0" applyFont="1" applyBorder="1" applyAlignment="1">
      <alignment horizontal="left" vertical="center" wrapText="1"/>
    </xf>
    <xf numFmtId="0" fontId="4" fillId="0" borderId="14" xfId="0" applyFont="1" applyBorder="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horizontal="center" vertical="center" wrapText="1"/>
    </xf>
    <xf numFmtId="0" fontId="4" fillId="0" borderId="13" xfId="0" applyFont="1" applyBorder="1" applyAlignment="1">
      <alignment horizontal="left" vertical="center"/>
    </xf>
    <xf numFmtId="1" fontId="4" fillId="0" borderId="10" xfId="0" applyNumberFormat="1" applyFont="1" applyBorder="1" applyAlignment="1">
      <alignment horizontal="left" vertical="center"/>
    </xf>
    <xf numFmtId="0" fontId="4" fillId="0" borderId="10" xfId="0" applyFont="1" applyBorder="1" applyAlignment="1">
      <alignment horizontal="left" vertical="center" wrapText="1"/>
    </xf>
    <xf numFmtId="0" fontId="4" fillId="0" borderId="15" xfId="0" applyFont="1" applyBorder="1" applyAlignment="1">
      <alignment horizontal="left" vertical="center"/>
    </xf>
    <xf numFmtId="0" fontId="10" fillId="0" borderId="0" xfId="0" applyFont="1" applyBorder="1" applyAlignment="1">
      <alignment horizontal="center" vertical="center"/>
    </xf>
    <xf numFmtId="0" fontId="12" fillId="0" borderId="27" xfId="0" applyFont="1" applyBorder="1" applyAlignment="1">
      <alignment horizontal="left" vertical="center"/>
    </xf>
    <xf numFmtId="0" fontId="12" fillId="0" borderId="17" xfId="0" applyFont="1" applyBorder="1" applyAlignment="1">
      <alignment horizontal="left" vertical="center"/>
    </xf>
    <xf numFmtId="0" fontId="13" fillId="0" borderId="13" xfId="0" applyFont="1" applyBorder="1" applyAlignment="1">
      <alignment horizontal="left" vertical="center"/>
    </xf>
    <xf numFmtId="0" fontId="13" fillId="0" borderId="15" xfId="0" applyFont="1" applyBorder="1" applyAlignment="1">
      <alignment horizontal="left" vertical="center"/>
    </xf>
    <xf numFmtId="0" fontId="13" fillId="0" borderId="1" xfId="0" applyFont="1" applyBorder="1" applyAlignment="1">
      <alignment horizontal="left" vertical="center"/>
    </xf>
    <xf numFmtId="0" fontId="13" fillId="0" borderId="10" xfId="0" applyFont="1" applyBorder="1" applyAlignment="1">
      <alignment horizontal="left" vertical="center"/>
    </xf>
    <xf numFmtId="0" fontId="13" fillId="0" borderId="28" xfId="0" applyFont="1" applyBorder="1" applyAlignment="1">
      <alignment horizontal="left" vertical="center"/>
    </xf>
    <xf numFmtId="0" fontId="13" fillId="0" borderId="17" xfId="0" applyFont="1" applyBorder="1" applyAlignment="1">
      <alignment horizontal="left" vertical="center"/>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14" fillId="0" borderId="0" xfId="0" applyFont="1" applyBorder="1" applyAlignment="1">
      <alignment horizontal="left" vertical="center"/>
    </xf>
    <xf numFmtId="0" fontId="14" fillId="0" borderId="10" xfId="0" applyFont="1" applyBorder="1" applyAlignment="1">
      <alignment horizontal="left" vertical="center"/>
    </xf>
    <xf numFmtId="0" fontId="13" fillId="0" borderId="27" xfId="0" applyFont="1" applyBorder="1" applyAlignment="1">
      <alignment horizontal="left" vertical="center"/>
    </xf>
    <xf numFmtId="0" fontId="13" fillId="0" borderId="14" xfId="0" applyFont="1" applyBorder="1" applyAlignment="1">
      <alignment horizontal="left" vertical="center"/>
    </xf>
    <xf numFmtId="0" fontId="13" fillId="2" borderId="28" xfId="0" applyFont="1" applyFill="1" applyBorder="1" applyAlignment="1">
      <alignment horizontal="left" vertical="center"/>
    </xf>
    <xf numFmtId="0" fontId="13" fillId="2" borderId="27" xfId="0" applyFont="1" applyFill="1" applyBorder="1" applyAlignment="1">
      <alignment horizontal="left" vertical="center"/>
    </xf>
    <xf numFmtId="0" fontId="13" fillId="2" borderId="13" xfId="0" applyFont="1" applyFill="1" applyBorder="1" applyAlignment="1">
      <alignment horizontal="left" vertical="center"/>
    </xf>
    <xf numFmtId="0" fontId="13" fillId="2" borderId="14" xfId="0" applyFont="1" applyFill="1" applyBorder="1" applyAlignment="1">
      <alignment horizontal="left" vertical="center"/>
    </xf>
    <xf numFmtId="0" fontId="13" fillId="2" borderId="27" xfId="0" applyFont="1" applyFill="1" applyBorder="1" applyAlignment="1">
      <alignment horizontal="left" vertical="center"/>
    </xf>
    <xf numFmtId="0" fontId="13" fillId="2" borderId="14" xfId="0" applyFont="1" applyFill="1" applyBorder="1" applyAlignment="1">
      <alignment horizontal="left" vertical="center"/>
    </xf>
    <xf numFmtId="0" fontId="14" fillId="0" borderId="29" xfId="0" applyFont="1" applyBorder="1" applyAlignment="1">
      <alignment horizontal="left" vertical="center"/>
    </xf>
    <xf numFmtId="0" fontId="14" fillId="0" borderId="4" xfId="0" applyFont="1" applyBorder="1" applyAlignment="1">
      <alignment horizontal="left" vertical="center"/>
    </xf>
    <xf numFmtId="0" fontId="14" fillId="0" borderId="30" xfId="0" applyFont="1" applyBorder="1" applyAlignment="1">
      <alignment horizontal="left" vertical="center"/>
    </xf>
    <xf numFmtId="0" fontId="14" fillId="0" borderId="31" xfId="0" applyFont="1" applyBorder="1" applyAlignment="1">
      <alignment horizontal="left" vertical="center"/>
    </xf>
    <xf numFmtId="0" fontId="14" fillId="0" borderId="0" xfId="0" applyFont="1" applyAlignment="1">
      <alignment horizontal="left" vertical="center"/>
    </xf>
    <xf numFmtId="0" fontId="14" fillId="0" borderId="32" xfId="0" applyFont="1" applyBorder="1" applyAlignment="1">
      <alignment horizontal="left" vertical="center"/>
    </xf>
    <xf numFmtId="0" fontId="14" fillId="0" borderId="33" xfId="0" applyFont="1" applyBorder="1" applyAlignment="1">
      <alignment horizontal="left" vertical="center"/>
    </xf>
    <xf numFmtId="0" fontId="14" fillId="0" borderId="7" xfId="0" applyFont="1" applyBorder="1" applyAlignment="1">
      <alignment horizontal="left" vertical="center"/>
    </xf>
    <xf numFmtId="0" fontId="14" fillId="0" borderId="9" xfId="0" applyFont="1" applyBorder="1" applyAlignment="1">
      <alignment horizontal="left" vertical="center"/>
    </xf>
    <xf numFmtId="0" fontId="14" fillId="0" borderId="4" xfId="0" applyFont="1" applyBorder="1" applyAlignment="1">
      <alignment horizontal="left" vertical="center"/>
    </xf>
    <xf numFmtId="0" fontId="14" fillId="0" borderId="0" xfId="0" applyFont="1" applyBorder="1" applyAlignment="1">
      <alignment horizontal="left" vertical="center"/>
    </xf>
    <xf numFmtId="0" fontId="14" fillId="0" borderId="7" xfId="0" applyFont="1" applyBorder="1" applyAlignment="1">
      <alignment horizontal="left" vertical="center"/>
    </xf>
    <xf numFmtId="0" fontId="13" fillId="0" borderId="0"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0"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21" xfId="0" applyFont="1" applyBorder="1" applyAlignment="1">
      <alignment horizontal="left" vertical="center"/>
    </xf>
    <xf numFmtId="0" fontId="13" fillId="0" borderId="34" xfId="0" applyFont="1" applyBorder="1" applyAlignment="1">
      <alignment horizontal="left" vertical="center"/>
    </xf>
    <xf numFmtId="0" fontId="13" fillId="0" borderId="35" xfId="0" applyFont="1" applyBorder="1" applyAlignment="1">
      <alignment horizontal="left" vertical="center"/>
    </xf>
    <xf numFmtId="0" fontId="13" fillId="0" borderId="21" xfId="0" applyFont="1" applyBorder="1" applyAlignment="1">
      <alignment horizontal="left" vertical="center"/>
    </xf>
    <xf numFmtId="4" fontId="13" fillId="0" borderId="35" xfId="0" applyNumberFormat="1" applyFont="1" applyBorder="1" applyAlignment="1">
      <alignment horizontal="right" vertical="center"/>
    </xf>
    <xf numFmtId="0" fontId="13" fillId="0" borderId="35" xfId="0" applyFont="1" applyBorder="1" applyAlignment="1">
      <alignment horizontal="right" vertical="center"/>
    </xf>
    <xf numFmtId="0" fontId="13" fillId="0" borderId="21" xfId="0"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2" name="Obrázek 1"/>
        <xdr:cNvPicPr preferRelativeResize="1">
          <a:picLocks noChangeAspect="1"/>
        </xdr:cNvPicPr>
      </xdr:nvPicPr>
      <xdr:blipFill>
        <a:blip r:embed="rId1"/>
        <a:stretch>
          <a:fillRect/>
        </a:stretch>
      </xdr:blipFill>
      <xdr:spPr>
        <a:xfrm>
          <a:off x="0" y="0"/>
          <a:ext cx="666750" cy="666750"/>
        </a:xfrm>
        <a:prstGeom prst="rect">
          <a:avLst/>
        </a:prstGeom>
        <a:noFill/>
        <a:ln w="9525">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2" name="Obrázek 1"/>
        <xdr:cNvPicPr preferRelativeResize="1">
          <a:picLocks noChangeAspect="1"/>
        </xdr:cNvPicPr>
      </xdr:nvPicPr>
      <xdr:blipFill>
        <a:blip r:embed="rId1"/>
        <a:stretch>
          <a:fillRect/>
        </a:stretch>
      </xdr:blipFill>
      <xdr:spPr>
        <a:xfrm>
          <a:off x="0" y="0"/>
          <a:ext cx="666750" cy="666750"/>
        </a:xfrm>
        <a:prstGeom prst="rect">
          <a:avLst/>
        </a:prstGeom>
        <a:noFill/>
        <a:ln w="9525">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2" name="Obrázek 1"/>
        <xdr:cNvPicPr preferRelativeResize="1">
          <a:picLocks noChangeAspect="1"/>
        </xdr:cNvPicPr>
      </xdr:nvPicPr>
      <xdr:blipFill>
        <a:blip r:embed="rId1"/>
        <a:stretch>
          <a:fillRect/>
        </a:stretch>
      </xdr:blipFill>
      <xdr:spPr>
        <a:xfrm>
          <a:off x="0" y="0"/>
          <a:ext cx="666750" cy="666750"/>
        </a:xfrm>
        <a:prstGeom prst="rect">
          <a:avLst/>
        </a:prstGeom>
        <a:noFill/>
        <a:ln w="9525">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2" name="Obrázek 1"/>
        <xdr:cNvPicPr preferRelativeResize="1">
          <a:picLocks noChangeAspect="1"/>
        </xdr:cNvPicPr>
      </xdr:nvPicPr>
      <xdr:blipFill>
        <a:blip r:embed="rId1"/>
        <a:stretch>
          <a:fillRect/>
        </a:stretch>
      </xdr:blipFill>
      <xdr:spPr>
        <a:xfrm>
          <a:off x="0" y="0"/>
          <a:ext cx="666750" cy="666750"/>
        </a:xfrm>
        <a:prstGeom prst="rect">
          <a:avLst/>
        </a:prstGeom>
        <a:noFill/>
        <a:ln w="9525">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2" name="Obrázek 1"/>
        <xdr:cNvPicPr preferRelativeResize="1">
          <a:picLocks noChangeAspect="1"/>
        </xdr:cNvPicPr>
      </xdr:nvPicPr>
      <xdr:blipFill>
        <a:blip r:embed="rId1"/>
        <a:stretch>
          <a:fillRect/>
        </a:stretch>
      </xdr:blipFill>
      <xdr:spPr>
        <a:xfrm>
          <a:off x="0" y="0"/>
          <a:ext cx="666750" cy="666750"/>
        </a:xfrm>
        <a:prstGeom prst="rect">
          <a:avLst/>
        </a:prstGeom>
        <a:noFill/>
        <a:ln w="9525">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2" name="Obrázek 1"/>
        <xdr:cNvPicPr preferRelativeResize="1">
          <a:picLocks noChangeAspect="1"/>
        </xdr:cNvPicPr>
      </xdr:nvPicPr>
      <xdr:blipFill>
        <a:blip r:embed="rId1"/>
        <a:stretch>
          <a:fillRect/>
        </a:stretch>
      </xdr:blipFill>
      <xdr:spPr>
        <a:xfrm>
          <a:off x="0" y="0"/>
          <a:ext cx="666750" cy="666750"/>
        </a:xfrm>
        <a:prstGeom prst="rect">
          <a:avLst/>
        </a:prstGeom>
        <a:noFill/>
        <a:ln w="9525">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2" name="Obrázek 1"/>
        <xdr:cNvPicPr preferRelativeResize="1">
          <a:picLocks noChangeAspect="1"/>
        </xdr:cNvPicPr>
      </xdr:nvPicPr>
      <xdr:blipFill>
        <a:blip r:embed="rId1"/>
        <a:stretch>
          <a:fillRect/>
        </a:stretch>
      </xdr:blipFill>
      <xdr:spPr>
        <a:xfrm>
          <a:off x="0" y="0"/>
          <a:ext cx="666750" cy="666750"/>
        </a:xfrm>
        <a:prstGeom prst="rect">
          <a:avLst/>
        </a:prstGeom>
        <a:noFill/>
        <a:ln w="9525">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2" name="Obrázek 1"/>
        <xdr:cNvPicPr preferRelativeResize="1">
          <a:picLocks noChangeAspect="1"/>
        </xdr:cNvPicPr>
      </xdr:nvPicPr>
      <xdr:blipFill>
        <a:blip r:embed="rId1"/>
        <a:stretch>
          <a:fillRect/>
        </a:stretch>
      </xdr:blipFill>
      <xdr:spPr>
        <a:xfrm>
          <a:off x="0" y="0"/>
          <a:ext cx="666750" cy="666750"/>
        </a:xfrm>
        <a:prstGeom prst="rect">
          <a:avLst/>
        </a:prstGeom>
        <a:noFill/>
        <a:ln w="9525">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2" name="Obrázek 1"/>
        <xdr:cNvPicPr preferRelativeResize="1">
          <a:picLocks noChangeAspect="1"/>
        </xdr:cNvPicPr>
      </xdr:nvPicPr>
      <xdr:blipFill>
        <a:blip r:embed="rId1"/>
        <a:stretch>
          <a:fillRect/>
        </a:stretch>
      </xdr:blipFill>
      <xdr:spPr>
        <a:xfrm>
          <a:off x="0" y="0"/>
          <a:ext cx="666750" cy="666750"/>
        </a:xfrm>
        <a:prstGeom prst="rect">
          <a:avLst/>
        </a:prstGeom>
        <a:noFill/>
        <a:ln w="9525">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2" name="Obrázek 1"/>
        <xdr:cNvPicPr preferRelativeResize="1">
          <a:picLocks noChangeAspect="1"/>
        </xdr:cNvPicPr>
      </xdr:nvPicPr>
      <xdr:blipFill>
        <a:blip r:embed="rId1"/>
        <a:stretch>
          <a:fillRect/>
        </a:stretch>
      </xdr:blipFill>
      <xdr:spPr>
        <a:xfrm>
          <a:off x="0" y="0"/>
          <a:ext cx="666750" cy="666750"/>
        </a:xfrm>
        <a:prstGeom prst="rect">
          <a:avLst/>
        </a:prstGeom>
        <a:noFill/>
        <a:ln w="9525">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2" name="Obrázek 1"/>
        <xdr:cNvPicPr preferRelativeResize="1">
          <a:picLocks noChangeAspect="1"/>
        </xdr:cNvPicPr>
      </xdr:nvPicPr>
      <xdr:blipFill>
        <a:blip r:embed="rId1"/>
        <a:stretch>
          <a:fillRect/>
        </a:stretch>
      </xdr:blipFill>
      <xdr:spPr>
        <a:xfrm>
          <a:off x="0" y="0"/>
          <a:ext cx="666750" cy="66675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2" name="Obrázek 1"/>
        <xdr:cNvPicPr preferRelativeResize="1">
          <a:picLocks noChangeAspect="1"/>
        </xdr:cNvPicPr>
      </xdr:nvPicPr>
      <xdr:blipFill>
        <a:blip r:embed="rId1"/>
        <a:stretch>
          <a:fillRect/>
        </a:stretch>
      </xdr:blipFill>
      <xdr:spPr>
        <a:xfrm>
          <a:off x="0" y="0"/>
          <a:ext cx="666750" cy="666750"/>
        </a:xfrm>
        <a:prstGeom prst="rect">
          <a:avLst/>
        </a:prstGeom>
        <a:noFill/>
        <a:ln w="9525">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2" name="Obrázek 1"/>
        <xdr:cNvPicPr preferRelativeResize="1">
          <a:picLocks noChangeAspect="1"/>
        </xdr:cNvPicPr>
      </xdr:nvPicPr>
      <xdr:blipFill>
        <a:blip r:embed="rId1"/>
        <a:stretch>
          <a:fillRect/>
        </a:stretch>
      </xdr:blipFill>
      <xdr:spPr>
        <a:xfrm>
          <a:off x="0" y="0"/>
          <a:ext cx="666750" cy="666750"/>
        </a:xfrm>
        <a:prstGeom prst="rect">
          <a:avLst/>
        </a:prstGeom>
        <a:noFill/>
        <a:ln w="9525">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2" name="Obrázek 1"/>
        <xdr:cNvPicPr preferRelativeResize="1">
          <a:picLocks noChangeAspect="1"/>
        </xdr:cNvPicPr>
      </xdr:nvPicPr>
      <xdr:blipFill>
        <a:blip r:embed="rId1"/>
        <a:stretch>
          <a:fillRect/>
        </a:stretch>
      </xdr:blipFill>
      <xdr:spPr>
        <a:xfrm>
          <a:off x="0" y="0"/>
          <a:ext cx="666750" cy="666750"/>
        </a:xfrm>
        <a:prstGeom prst="rect">
          <a:avLst/>
        </a:prstGeom>
        <a:noFill/>
        <a:ln w="9525">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400050</xdr:colOff>
      <xdr:row>0</xdr:row>
      <xdr:rowOff>666750</xdr:rowOff>
    </xdr:to>
    <xdr:pic>
      <xdr:nvPicPr>
        <xdr:cNvPr id="2" name="Obrázek 1"/>
        <xdr:cNvPicPr preferRelativeResize="1">
          <a:picLocks noChangeAspect="1"/>
        </xdr:cNvPicPr>
      </xdr:nvPicPr>
      <xdr:blipFill>
        <a:blip r:embed="rId1"/>
        <a:stretch>
          <a:fillRect/>
        </a:stretch>
      </xdr:blipFill>
      <xdr:spPr>
        <a:xfrm>
          <a:off x="0" y="0"/>
          <a:ext cx="666750" cy="666750"/>
        </a:xfrm>
        <a:prstGeom prst="rect">
          <a:avLst/>
        </a:prstGeom>
        <a:noFill/>
        <a:ln w="9525">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2" name="Obrázek 1"/>
        <xdr:cNvPicPr preferRelativeResize="1">
          <a:picLocks noChangeAspect="1"/>
        </xdr:cNvPicPr>
      </xdr:nvPicPr>
      <xdr:blipFill>
        <a:blip r:embed="rId1"/>
        <a:stretch>
          <a:fillRect/>
        </a:stretch>
      </xdr:blipFill>
      <xdr:spPr>
        <a:xfrm>
          <a:off x="0" y="0"/>
          <a:ext cx="666750" cy="666750"/>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2" name="Obrázek 1"/>
        <xdr:cNvPicPr preferRelativeResize="1">
          <a:picLocks noChangeAspect="1"/>
        </xdr:cNvPicPr>
      </xdr:nvPicPr>
      <xdr:blipFill>
        <a:blip r:embed="rId1"/>
        <a:stretch>
          <a:fillRect/>
        </a:stretch>
      </xdr:blipFill>
      <xdr:spPr>
        <a:xfrm>
          <a:off x="0" y="0"/>
          <a:ext cx="666750" cy="666750"/>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2" name="Obrázek 1"/>
        <xdr:cNvPicPr preferRelativeResize="1">
          <a:picLocks noChangeAspect="1"/>
        </xdr:cNvPicPr>
      </xdr:nvPicPr>
      <xdr:blipFill>
        <a:blip r:embed="rId1"/>
        <a:stretch>
          <a:fillRect/>
        </a:stretch>
      </xdr:blipFill>
      <xdr:spPr>
        <a:xfrm>
          <a:off x="0" y="0"/>
          <a:ext cx="666750" cy="666750"/>
        </a:xfrm>
        <a:prstGeom prst="rect">
          <a:avLst/>
        </a:prstGeom>
        <a:noFill/>
        <a:ln w="9525">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2" name="Obrázek 1"/>
        <xdr:cNvPicPr preferRelativeResize="1">
          <a:picLocks noChangeAspect="1"/>
        </xdr:cNvPicPr>
      </xdr:nvPicPr>
      <xdr:blipFill>
        <a:blip r:embed="rId1"/>
        <a:stretch>
          <a:fillRect/>
        </a:stretch>
      </xdr:blipFill>
      <xdr:spPr>
        <a:xfrm>
          <a:off x="0" y="0"/>
          <a:ext cx="666750" cy="666750"/>
        </a:xfrm>
        <a:prstGeom prst="rect">
          <a:avLst/>
        </a:prstGeom>
        <a:noFill/>
        <a:ln w="9525">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2" name="Obrázek 1"/>
        <xdr:cNvPicPr preferRelativeResize="1">
          <a:picLocks noChangeAspect="1"/>
        </xdr:cNvPicPr>
      </xdr:nvPicPr>
      <xdr:blipFill>
        <a:blip r:embed="rId1"/>
        <a:stretch>
          <a:fillRect/>
        </a:stretch>
      </xdr:blipFill>
      <xdr:spPr>
        <a:xfrm>
          <a:off x="0" y="0"/>
          <a:ext cx="666750" cy="666750"/>
        </a:xfrm>
        <a:prstGeom prst="rect">
          <a:avLst/>
        </a:prstGeom>
        <a:noFill/>
        <a:ln w="9525">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2" name="Obrázek 1"/>
        <xdr:cNvPicPr preferRelativeResize="1">
          <a:picLocks noChangeAspect="1"/>
        </xdr:cNvPicPr>
      </xdr:nvPicPr>
      <xdr:blipFill>
        <a:blip r:embed="rId1"/>
        <a:stretch>
          <a:fillRect/>
        </a:stretch>
      </xdr:blipFill>
      <xdr:spPr>
        <a:xfrm>
          <a:off x="0" y="0"/>
          <a:ext cx="666750" cy="666750"/>
        </a:xfrm>
        <a:prstGeom prst="rect">
          <a:avLst/>
        </a:prstGeom>
        <a:noFill/>
        <a:ln w="9525">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2" name="Obrázek 1"/>
        <xdr:cNvPicPr preferRelativeResize="1">
          <a:picLocks noChangeAspect="1"/>
        </xdr:cNvPicPr>
      </xdr:nvPicPr>
      <xdr:blipFill>
        <a:blip r:embed="rId1"/>
        <a:stretch>
          <a:fillRect/>
        </a:stretch>
      </xdr:blipFill>
      <xdr:spPr>
        <a:xfrm>
          <a:off x="0" y="0"/>
          <a:ext cx="666750" cy="666750"/>
        </a:xfrm>
        <a:prstGeom prst="rect">
          <a:avLst/>
        </a:prstGeom>
        <a:noFill/>
        <a:ln w="9525">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2" name="Obrázek 1"/>
        <xdr:cNvPicPr preferRelativeResize="1">
          <a:picLocks noChangeAspect="1"/>
        </xdr:cNvPicPr>
      </xdr:nvPicPr>
      <xdr:blipFill>
        <a:blip r:embed="rId1"/>
        <a:stretch>
          <a:fillRect/>
        </a:stretch>
      </xdr:blipFill>
      <xdr:spPr>
        <a:xfrm>
          <a:off x="0" y="0"/>
          <a:ext cx="666750" cy="666750"/>
        </a:xfrm>
        <a:prstGeom prst="rect">
          <a:avLst/>
        </a:prstGeom>
        <a:noFill/>
        <a:ln w="9525">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7"/>
  <sheetViews>
    <sheetView workbookViewId="0" topLeftCell="A1">
      <selection activeCell="A37" sqref="A37:I37"/>
    </sheetView>
  </sheetViews>
  <sheetFormatPr defaultColWidth="12.140625" defaultRowHeight="15" customHeight="1"/>
  <cols>
    <col min="1" max="1" width="9.140625" style="0" customWidth="1"/>
    <col min="2" max="2" width="12.8515625" style="0" customWidth="1"/>
    <col min="3" max="3" width="27.140625" style="0" customWidth="1"/>
    <col min="4" max="4" width="10.00390625" style="0" customWidth="1"/>
    <col min="5" max="5" width="14.00390625" style="0" customWidth="1"/>
    <col min="6" max="6" width="27.140625" style="0" customWidth="1"/>
    <col min="7" max="7" width="9.140625" style="0" customWidth="1"/>
    <col min="8" max="8" width="12.8515625" style="0" customWidth="1"/>
    <col min="9" max="9" width="27.140625" style="0" customWidth="1"/>
  </cols>
  <sheetData>
    <row r="1" spans="1:9" ht="54.75" customHeight="1">
      <c r="A1" s="205" t="s">
        <v>1869</v>
      </c>
      <c r="B1" s="139"/>
      <c r="C1" s="139"/>
      <c r="D1" s="139"/>
      <c r="E1" s="139"/>
      <c r="F1" s="139"/>
      <c r="G1" s="139"/>
      <c r="H1" s="139"/>
      <c r="I1" s="139"/>
    </row>
    <row r="2" spans="1:9" ht="15">
      <c r="A2" s="140" t="s">
        <v>1</v>
      </c>
      <c r="B2" s="141"/>
      <c r="C2" s="149" t="str">
        <f>'Stavební rozpočet'!D2</f>
        <v>Vybudování a rekonstrukce odborných učeben v ZŠ TGM</v>
      </c>
      <c r="D2" s="150"/>
      <c r="E2" s="147" t="s">
        <v>5</v>
      </c>
      <c r="F2" s="147" t="str">
        <f>'Stavební rozpočet'!J2</f>
        <v>Město ivančice</v>
      </c>
      <c r="G2" s="141"/>
      <c r="H2" s="147" t="s">
        <v>1870</v>
      </c>
      <c r="I2" s="152" t="s">
        <v>1871</v>
      </c>
    </row>
    <row r="3" spans="1:9" ht="15" customHeight="1">
      <c r="A3" s="142"/>
      <c r="B3" s="143"/>
      <c r="C3" s="151"/>
      <c r="D3" s="151"/>
      <c r="E3" s="143"/>
      <c r="F3" s="143"/>
      <c r="G3" s="143"/>
      <c r="H3" s="143"/>
      <c r="I3" s="153"/>
    </row>
    <row r="4" spans="1:9" ht="15">
      <c r="A4" s="144" t="s">
        <v>7</v>
      </c>
      <c r="B4" s="143"/>
      <c r="C4" s="148" t="str">
        <f>'Stavební rozpočet'!D4</f>
        <v>Stavební úpravy</v>
      </c>
      <c r="D4" s="143"/>
      <c r="E4" s="148" t="s">
        <v>11</v>
      </c>
      <c r="F4" s="148" t="str">
        <f>'Stavební rozpočet'!J4</f>
        <v>Tomáš Sýkora</v>
      </c>
      <c r="G4" s="143"/>
      <c r="H4" s="148" t="s">
        <v>1870</v>
      </c>
      <c r="I4" s="153" t="s">
        <v>1872</v>
      </c>
    </row>
    <row r="5" spans="1:9" ht="15" customHeight="1">
      <c r="A5" s="142"/>
      <c r="B5" s="143"/>
      <c r="C5" s="143"/>
      <c r="D5" s="143"/>
      <c r="E5" s="143"/>
      <c r="F5" s="143"/>
      <c r="G5" s="143"/>
      <c r="H5" s="143"/>
      <c r="I5" s="153"/>
    </row>
    <row r="6" spans="1:9" ht="15">
      <c r="A6" s="144" t="s">
        <v>13</v>
      </c>
      <c r="B6" s="143"/>
      <c r="C6" s="148" t="str">
        <f>'Stavební rozpočet'!D6</f>
        <v>ZŠ TGM Ivančice; Na Brněnce 1, 664 91 Ivančice</v>
      </c>
      <c r="D6" s="143"/>
      <c r="E6" s="148" t="s">
        <v>16</v>
      </c>
      <c r="F6" s="148" t="str">
        <f>'Stavební rozpočet'!J6</f>
        <v> </v>
      </c>
      <c r="G6" s="143"/>
      <c r="H6" s="148" t="s">
        <v>1870</v>
      </c>
      <c r="I6" s="153" t="s">
        <v>52</v>
      </c>
    </row>
    <row r="7" spans="1:9" ht="15" customHeight="1">
      <c r="A7" s="142"/>
      <c r="B7" s="143"/>
      <c r="C7" s="143"/>
      <c r="D7" s="143"/>
      <c r="E7" s="143"/>
      <c r="F7" s="143"/>
      <c r="G7" s="143"/>
      <c r="H7" s="143"/>
      <c r="I7" s="153"/>
    </row>
    <row r="8" spans="1:9" ht="15">
      <c r="A8" s="144" t="s">
        <v>9</v>
      </c>
      <c r="B8" s="143"/>
      <c r="C8" s="148" t="str">
        <f>'Stavební rozpočet'!H4</f>
        <v>22.09.2023</v>
      </c>
      <c r="D8" s="143"/>
      <c r="E8" s="148" t="s">
        <v>15</v>
      </c>
      <c r="F8" s="148" t="str">
        <f>'Stavební rozpočet'!H6</f>
        <v xml:space="preserve"> </v>
      </c>
      <c r="G8" s="143"/>
      <c r="H8" s="143" t="s">
        <v>1873</v>
      </c>
      <c r="I8" s="207">
        <v>563</v>
      </c>
    </row>
    <row r="9" spans="1:9" ht="15">
      <c r="A9" s="142"/>
      <c r="B9" s="143"/>
      <c r="C9" s="143"/>
      <c r="D9" s="143"/>
      <c r="E9" s="143"/>
      <c r="F9" s="143"/>
      <c r="G9" s="143"/>
      <c r="H9" s="143"/>
      <c r="I9" s="153"/>
    </row>
    <row r="10" spans="1:9" ht="15">
      <c r="A10" s="144" t="s">
        <v>18</v>
      </c>
      <c r="B10" s="143"/>
      <c r="C10" s="148" t="str">
        <f>'Stavební rozpočet'!D8</f>
        <v>8013212</v>
      </c>
      <c r="D10" s="143"/>
      <c r="E10" s="148" t="s">
        <v>21</v>
      </c>
      <c r="F10" s="148" t="str">
        <f>'Stavební rozpočet'!J8</f>
        <v>Tomáš Sýkora</v>
      </c>
      <c r="G10" s="143"/>
      <c r="H10" s="143" t="s">
        <v>1874</v>
      </c>
      <c r="I10" s="208" t="str">
        <f>'Stavební rozpočet'!H8</f>
        <v>22.09.2023</v>
      </c>
    </row>
    <row r="11" spans="1:9" ht="15">
      <c r="A11" s="206"/>
      <c r="B11" s="203"/>
      <c r="C11" s="203"/>
      <c r="D11" s="203"/>
      <c r="E11" s="203"/>
      <c r="F11" s="203"/>
      <c r="G11" s="203"/>
      <c r="H11" s="203"/>
      <c r="I11" s="209"/>
    </row>
    <row r="12" spans="1:9" ht="23.25">
      <c r="A12" s="210" t="s">
        <v>1875</v>
      </c>
      <c r="B12" s="210"/>
      <c r="C12" s="210"/>
      <c r="D12" s="210"/>
      <c r="E12" s="210"/>
      <c r="F12" s="210"/>
      <c r="G12" s="210"/>
      <c r="H12" s="210"/>
      <c r="I12" s="210"/>
    </row>
    <row r="13" spans="1:9" ht="26.25" customHeight="1">
      <c r="A13" s="118" t="s">
        <v>1876</v>
      </c>
      <c r="B13" s="211" t="s">
        <v>1877</v>
      </c>
      <c r="C13" s="212"/>
      <c r="D13" s="119" t="s">
        <v>1878</v>
      </c>
      <c r="E13" s="211" t="s">
        <v>1879</v>
      </c>
      <c r="F13" s="212"/>
      <c r="G13" s="119" t="s">
        <v>1880</v>
      </c>
      <c r="H13" s="211" t="s">
        <v>1881</v>
      </c>
      <c r="I13" s="212"/>
    </row>
    <row r="14" spans="1:9" ht="15.75">
      <c r="A14" s="120" t="s">
        <v>1882</v>
      </c>
      <c r="B14" s="121" t="s">
        <v>1883</v>
      </c>
      <c r="C14" s="122">
        <f>SUM('Stavební rozpočet'!AB12:AB1282)</f>
        <v>0</v>
      </c>
      <c r="D14" s="219" t="s">
        <v>1884</v>
      </c>
      <c r="E14" s="220"/>
      <c r="F14" s="122">
        <f>VORN!I15</f>
        <v>0</v>
      </c>
      <c r="G14" s="219" t="s">
        <v>1885</v>
      </c>
      <c r="H14" s="220"/>
      <c r="I14" s="123">
        <f>VORN!I21</f>
        <v>0</v>
      </c>
    </row>
    <row r="15" spans="1:9" ht="15.75">
      <c r="A15" s="124" t="s">
        <v>52</v>
      </c>
      <c r="B15" s="121" t="s">
        <v>37</v>
      </c>
      <c r="C15" s="122">
        <f>SUM('Stavební rozpočet'!AC12:AC1282)</f>
        <v>0</v>
      </c>
      <c r="D15" s="219" t="s">
        <v>1886</v>
      </c>
      <c r="E15" s="220"/>
      <c r="F15" s="122">
        <f>VORN!I16</f>
        <v>0</v>
      </c>
      <c r="G15" s="219" t="s">
        <v>1887</v>
      </c>
      <c r="H15" s="220"/>
      <c r="I15" s="123">
        <f>VORN!I22</f>
        <v>0</v>
      </c>
    </row>
    <row r="16" spans="1:9" ht="15.75">
      <c r="A16" s="120" t="s">
        <v>1888</v>
      </c>
      <c r="B16" s="121" t="s">
        <v>1883</v>
      </c>
      <c r="C16" s="122">
        <f>SUM('Stavební rozpočet'!AD12:AD1282)</f>
        <v>0</v>
      </c>
      <c r="D16" s="219" t="s">
        <v>1889</v>
      </c>
      <c r="E16" s="220"/>
      <c r="F16" s="122">
        <f>VORN!I17</f>
        <v>0</v>
      </c>
      <c r="G16" s="219" t="s">
        <v>1890</v>
      </c>
      <c r="H16" s="220"/>
      <c r="I16" s="123">
        <f>VORN!I23</f>
        <v>0</v>
      </c>
    </row>
    <row r="17" spans="1:9" ht="15.75">
      <c r="A17" s="124" t="s">
        <v>52</v>
      </c>
      <c r="B17" s="121" t="s">
        <v>37</v>
      </c>
      <c r="C17" s="122">
        <f>SUM('Stavební rozpočet'!AE12:AE1282)</f>
        <v>0</v>
      </c>
      <c r="D17" s="219" t="s">
        <v>52</v>
      </c>
      <c r="E17" s="220"/>
      <c r="F17" s="123" t="s">
        <v>52</v>
      </c>
      <c r="G17" s="219" t="s">
        <v>1891</v>
      </c>
      <c r="H17" s="220"/>
      <c r="I17" s="123">
        <f>VORN!I24</f>
        <v>0</v>
      </c>
    </row>
    <row r="18" spans="1:9" ht="15.75">
      <c r="A18" s="120" t="s">
        <v>1892</v>
      </c>
      <c r="B18" s="121" t="s">
        <v>1883</v>
      </c>
      <c r="C18" s="122">
        <f>SUM('Stavební rozpočet'!AF12:AF1282)</f>
        <v>0</v>
      </c>
      <c r="D18" s="219" t="s">
        <v>52</v>
      </c>
      <c r="E18" s="220"/>
      <c r="F18" s="123" t="s">
        <v>52</v>
      </c>
      <c r="G18" s="219" t="s">
        <v>1893</v>
      </c>
      <c r="H18" s="220"/>
      <c r="I18" s="123">
        <f>VORN!I25</f>
        <v>0</v>
      </c>
    </row>
    <row r="19" spans="1:9" ht="15.75">
      <c r="A19" s="124" t="s">
        <v>52</v>
      </c>
      <c r="B19" s="121" t="s">
        <v>37</v>
      </c>
      <c r="C19" s="122">
        <f>SUM('Stavební rozpočet'!AG12:AG1282)</f>
        <v>0</v>
      </c>
      <c r="D19" s="219" t="s">
        <v>52</v>
      </c>
      <c r="E19" s="220"/>
      <c r="F19" s="123" t="s">
        <v>52</v>
      </c>
      <c r="G19" s="219" t="s">
        <v>1894</v>
      </c>
      <c r="H19" s="220"/>
      <c r="I19" s="123">
        <f>VORN!I26</f>
        <v>0</v>
      </c>
    </row>
    <row r="20" spans="1:9" ht="15.75">
      <c r="A20" s="213" t="s">
        <v>1895</v>
      </c>
      <c r="B20" s="214"/>
      <c r="C20" s="122">
        <f>SUM('Stavební rozpočet'!AH12:AH1282)</f>
        <v>0</v>
      </c>
      <c r="D20" s="219" t="s">
        <v>52</v>
      </c>
      <c r="E20" s="220"/>
      <c r="F20" s="123" t="s">
        <v>52</v>
      </c>
      <c r="G20" s="219" t="s">
        <v>52</v>
      </c>
      <c r="H20" s="220"/>
      <c r="I20" s="123" t="s">
        <v>52</v>
      </c>
    </row>
    <row r="21" spans="1:9" ht="15.75">
      <c r="A21" s="215" t="s">
        <v>1896</v>
      </c>
      <c r="B21" s="216"/>
      <c r="C21" s="125">
        <f>SUM('Stavební rozpočet'!Z12:Z1282)</f>
        <v>0</v>
      </c>
      <c r="D21" s="221" t="s">
        <v>52</v>
      </c>
      <c r="E21" s="222"/>
      <c r="F21" s="126" t="s">
        <v>52</v>
      </c>
      <c r="G21" s="221" t="s">
        <v>52</v>
      </c>
      <c r="H21" s="222"/>
      <c r="I21" s="126" t="s">
        <v>52</v>
      </c>
    </row>
    <row r="22" spans="1:9" ht="16.5" customHeight="1">
      <c r="A22" s="217" t="s">
        <v>1897</v>
      </c>
      <c r="B22" s="218"/>
      <c r="C22" s="127">
        <f>SUM(C14:C21)</f>
        <v>0</v>
      </c>
      <c r="D22" s="223" t="s">
        <v>1898</v>
      </c>
      <c r="E22" s="218"/>
      <c r="F22" s="127">
        <f>SUM(F14:F21)</f>
        <v>0</v>
      </c>
      <c r="G22" s="223" t="s">
        <v>1899</v>
      </c>
      <c r="H22" s="218"/>
      <c r="I22" s="127">
        <f>SUM(I14:I21)</f>
        <v>0</v>
      </c>
    </row>
    <row r="23" spans="4:9" ht="15.75">
      <c r="D23" s="213" t="s">
        <v>1900</v>
      </c>
      <c r="E23" s="214"/>
      <c r="F23" s="122">
        <f>'Krycí list rozpočtu (01_1)'!F22+'Krycí list rozpočtu (01_2)'!F22+'Krycí list rozpočtu (01_3)'!F22+'Krycí list rozpočtu (02_1)'!F22+'Krycí list rozpočtu (02_2)'!F22+'Krycí list rozpočtu (03_1)'!F22+'Krycí list rozpočtu (03_2)'!F22+'Krycí list rozpočtu (04_1)'!F22+'Krycí list rozpočtu (04_2)'!F22+'Krycí list rozpočtu (05_01)'!F22</f>
        <v>0</v>
      </c>
      <c r="G23" s="224" t="s">
        <v>1901</v>
      </c>
      <c r="H23" s="214"/>
      <c r="I23" s="122">
        <f>'Krycí list rozpočtu (01_1)'!I22+'Krycí list rozpočtu (01_2)'!I22+'Krycí list rozpočtu (01_3)'!I22+'Krycí list rozpočtu (02_1)'!I22+'Krycí list rozpočtu (02_2)'!I22+'Krycí list rozpočtu (03_1)'!I22+'Krycí list rozpočtu (03_2)'!I22+'Krycí list rozpočtu (04_1)'!I22+'Krycí list rozpočtu (04_2)'!I22+'Krycí list rozpočtu (05_01)'!I22</f>
        <v>0</v>
      </c>
    </row>
    <row r="24" spans="7:9" ht="15.75">
      <c r="G24" s="213" t="s">
        <v>1902</v>
      </c>
      <c r="H24" s="214"/>
      <c r="I24" s="125">
        <f>vorn_sum</f>
        <v>0</v>
      </c>
    </row>
    <row r="25" spans="7:9" ht="15.75">
      <c r="G25" s="213" t="s">
        <v>1903</v>
      </c>
      <c r="H25" s="214"/>
      <c r="I25" s="127">
        <f>'Krycí list rozpočtu (01_1)'!I23+'Krycí list rozpočtu (01_2)'!I23+'Krycí list rozpočtu (01_3)'!I23+'Krycí list rozpočtu (02_1)'!I23+'Krycí list rozpočtu (02_2)'!I23+'Krycí list rozpočtu (03_1)'!I23+'Krycí list rozpočtu (03_2)'!I23+'Krycí list rozpočtu (04_1)'!I23+'Krycí list rozpočtu (04_2)'!I23+'Krycí list rozpočtu (05_01)'!I23</f>
        <v>0</v>
      </c>
    </row>
    <row r="27" spans="1:3" ht="15.75">
      <c r="A27" s="225" t="s">
        <v>1904</v>
      </c>
      <c r="B27" s="226"/>
      <c r="C27" s="128">
        <f>SUM('Stavební rozpočet'!AJ12:AJ1282)</f>
        <v>0</v>
      </c>
    </row>
    <row r="28" spans="1:9" ht="15.75">
      <c r="A28" s="227" t="s">
        <v>1905</v>
      </c>
      <c r="B28" s="228"/>
      <c r="C28" s="129">
        <f>SUM('Stavební rozpočet'!AK12:AK1282)</f>
        <v>0</v>
      </c>
      <c r="D28" s="229" t="s">
        <v>1906</v>
      </c>
      <c r="E28" s="226"/>
      <c r="F28" s="128">
        <f>ROUND(C28*(12/100),2)</f>
        <v>0</v>
      </c>
      <c r="G28" s="229" t="s">
        <v>1907</v>
      </c>
      <c r="H28" s="226"/>
      <c r="I28" s="128">
        <f>SUM(C27:C29)</f>
        <v>0</v>
      </c>
    </row>
    <row r="29" spans="1:9" ht="15.75">
      <c r="A29" s="227" t="s">
        <v>1908</v>
      </c>
      <c r="B29" s="228"/>
      <c r="C29" s="129">
        <f>SUM('Stavební rozpočet'!AL12:AL1282)+(F22+I22+F23+I23+I24+I25)</f>
        <v>0</v>
      </c>
      <c r="D29" s="230" t="s">
        <v>1909</v>
      </c>
      <c r="E29" s="228"/>
      <c r="F29" s="129">
        <f>ROUND(C29*(21/100),2)</f>
        <v>0</v>
      </c>
      <c r="G29" s="230" t="s">
        <v>1910</v>
      </c>
      <c r="H29" s="228"/>
      <c r="I29" s="129">
        <f>SUM(F28:F29)+I28</f>
        <v>0</v>
      </c>
    </row>
    <row r="31" spans="1:9" ht="15">
      <c r="A31" s="231" t="s">
        <v>1911</v>
      </c>
      <c r="B31" s="232"/>
      <c r="C31" s="233"/>
      <c r="D31" s="240" t="s">
        <v>1912</v>
      </c>
      <c r="E31" s="232"/>
      <c r="F31" s="233"/>
      <c r="G31" s="240" t="s">
        <v>1913</v>
      </c>
      <c r="H31" s="232"/>
      <c r="I31" s="233"/>
    </row>
    <row r="32" spans="1:9" ht="15">
      <c r="A32" s="234" t="s">
        <v>52</v>
      </c>
      <c r="B32" s="235"/>
      <c r="C32" s="236"/>
      <c r="D32" s="241" t="s">
        <v>52</v>
      </c>
      <c r="E32" s="235"/>
      <c r="F32" s="236"/>
      <c r="G32" s="241" t="s">
        <v>52</v>
      </c>
      <c r="H32" s="235"/>
      <c r="I32" s="236"/>
    </row>
    <row r="33" spans="1:9" ht="15">
      <c r="A33" s="234" t="s">
        <v>52</v>
      </c>
      <c r="B33" s="235"/>
      <c r="C33" s="236"/>
      <c r="D33" s="241" t="s">
        <v>52</v>
      </c>
      <c r="E33" s="235"/>
      <c r="F33" s="236"/>
      <c r="G33" s="241" t="s">
        <v>52</v>
      </c>
      <c r="H33" s="235"/>
      <c r="I33" s="236"/>
    </row>
    <row r="34" spans="1:9" ht="15">
      <c r="A34" s="234" t="s">
        <v>52</v>
      </c>
      <c r="B34" s="235"/>
      <c r="C34" s="236"/>
      <c r="D34" s="241" t="s">
        <v>52</v>
      </c>
      <c r="E34" s="235"/>
      <c r="F34" s="236"/>
      <c r="G34" s="241" t="s">
        <v>52</v>
      </c>
      <c r="H34" s="235"/>
      <c r="I34" s="236"/>
    </row>
    <row r="35" spans="1:9" ht="15">
      <c r="A35" s="237" t="s">
        <v>1914</v>
      </c>
      <c r="B35" s="238"/>
      <c r="C35" s="239"/>
      <c r="D35" s="242" t="s">
        <v>1914</v>
      </c>
      <c r="E35" s="238"/>
      <c r="F35" s="239"/>
      <c r="G35" s="242" t="s">
        <v>1914</v>
      </c>
      <c r="H35" s="238"/>
      <c r="I35" s="239"/>
    </row>
    <row r="36" ht="15">
      <c r="A36" s="130" t="s">
        <v>1868</v>
      </c>
    </row>
    <row r="37" spans="1:9" ht="12.75" customHeight="1">
      <c r="A37" s="148" t="s">
        <v>52</v>
      </c>
      <c r="B37" s="143"/>
      <c r="C37" s="143"/>
      <c r="D37" s="143"/>
      <c r="E37" s="143"/>
      <c r="F37" s="143"/>
      <c r="G37" s="143"/>
      <c r="H37" s="143"/>
      <c r="I37" s="143"/>
    </row>
  </sheetData>
  <mergeCells count="83">
    <mergeCell ref="A37:I37"/>
    <mergeCell ref="G31:I31"/>
    <mergeCell ref="G32:I32"/>
    <mergeCell ref="G33:I33"/>
    <mergeCell ref="G34:I34"/>
    <mergeCell ref="G35:I35"/>
    <mergeCell ref="D31:F31"/>
    <mergeCell ref="D32:F32"/>
    <mergeCell ref="D33:F33"/>
    <mergeCell ref="D34:F34"/>
    <mergeCell ref="D35:F35"/>
    <mergeCell ref="A31:C31"/>
    <mergeCell ref="A32:C32"/>
    <mergeCell ref="A33:C33"/>
    <mergeCell ref="A34:C34"/>
    <mergeCell ref="A35:C35"/>
    <mergeCell ref="G24:H24"/>
    <mergeCell ref="G25:H25"/>
    <mergeCell ref="A27:B27"/>
    <mergeCell ref="A28:B28"/>
    <mergeCell ref="A29:B29"/>
    <mergeCell ref="D28:E28"/>
    <mergeCell ref="D29:E29"/>
    <mergeCell ref="G28:H28"/>
    <mergeCell ref="G29:H29"/>
    <mergeCell ref="D23:E23"/>
    <mergeCell ref="G14:H14"/>
    <mergeCell ref="G15:H15"/>
    <mergeCell ref="G16:H16"/>
    <mergeCell ref="G17:H17"/>
    <mergeCell ref="G18:H18"/>
    <mergeCell ref="G19:H19"/>
    <mergeCell ref="G20:H20"/>
    <mergeCell ref="G21:H21"/>
    <mergeCell ref="G22:H22"/>
    <mergeCell ref="G23:H23"/>
    <mergeCell ref="A20:B20"/>
    <mergeCell ref="A21:B21"/>
    <mergeCell ref="A22:B22"/>
    <mergeCell ref="D14:E14"/>
    <mergeCell ref="D15:E15"/>
    <mergeCell ref="D16:E16"/>
    <mergeCell ref="D17:E17"/>
    <mergeCell ref="D18:E18"/>
    <mergeCell ref="D19:E19"/>
    <mergeCell ref="D20:E20"/>
    <mergeCell ref="D21:E21"/>
    <mergeCell ref="D22:E22"/>
    <mergeCell ref="I10:I11"/>
    <mergeCell ref="A12:I12"/>
    <mergeCell ref="B13:C13"/>
    <mergeCell ref="E13:F13"/>
    <mergeCell ref="H13:I13"/>
    <mergeCell ref="F10:G11"/>
    <mergeCell ref="H2:H3"/>
    <mergeCell ref="H4:H5"/>
    <mergeCell ref="H6:H7"/>
    <mergeCell ref="H8:H9"/>
    <mergeCell ref="H10:H11"/>
    <mergeCell ref="A10:B11"/>
    <mergeCell ref="E2:E3"/>
    <mergeCell ref="E4:E5"/>
    <mergeCell ref="E6:E7"/>
    <mergeCell ref="E8:E9"/>
    <mergeCell ref="E10:E11"/>
    <mergeCell ref="C2:D3"/>
    <mergeCell ref="C4:D5"/>
    <mergeCell ref="C6:D7"/>
    <mergeCell ref="C8:D9"/>
    <mergeCell ref="C10:D11"/>
    <mergeCell ref="A1:I1"/>
    <mergeCell ref="A2:B3"/>
    <mergeCell ref="A4:B5"/>
    <mergeCell ref="A6:B7"/>
    <mergeCell ref="A8:B9"/>
    <mergeCell ref="F2:G3"/>
    <mergeCell ref="F4:G5"/>
    <mergeCell ref="F6:G7"/>
    <mergeCell ref="F8:G9"/>
    <mergeCell ref="I2:I3"/>
    <mergeCell ref="I4:I5"/>
    <mergeCell ref="I6:I7"/>
    <mergeCell ref="I8:I9"/>
  </mergeCells>
  <printOptions/>
  <pageMargins left="0.393999993801117" right="0.393999993801117" top="0.591000020503998" bottom="0.591000020503998" header="0" footer="0"/>
  <pageSetup fitToHeight="1" fitToWidth="1" horizontalDpi="600" verticalDpi="600"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36"/>
  <sheetViews>
    <sheetView workbookViewId="0" topLeftCell="A1">
      <selection activeCell="A36" sqref="A36:E36"/>
    </sheetView>
  </sheetViews>
  <sheetFormatPr defaultColWidth="12.140625" defaultRowHeight="15" customHeight="1"/>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7.140625" style="0" customWidth="1"/>
    <col min="9" max="9" width="22.8515625" style="0" customWidth="1"/>
  </cols>
  <sheetData>
    <row r="1" spans="1:9" ht="54.75" customHeight="1">
      <c r="A1" s="205" t="s">
        <v>1933</v>
      </c>
      <c r="B1" s="139"/>
      <c r="C1" s="139"/>
      <c r="D1" s="139"/>
      <c r="E1" s="139"/>
      <c r="F1" s="139"/>
      <c r="G1" s="139"/>
      <c r="H1" s="139"/>
      <c r="I1" s="139"/>
    </row>
    <row r="2" spans="1:9" ht="15">
      <c r="A2" s="140" t="s">
        <v>1</v>
      </c>
      <c r="B2" s="141"/>
      <c r="C2" s="149" t="str">
        <f>'Stavební rozpočet'!D2</f>
        <v>Vybudování a rekonstrukce odborných učeben v ZŠ TGM</v>
      </c>
      <c r="D2" s="150"/>
      <c r="E2" s="147" t="s">
        <v>5</v>
      </c>
      <c r="F2" s="147" t="str">
        <f>'Stavební rozpočet'!J2</f>
        <v>Město ivančice</v>
      </c>
      <c r="G2" s="141"/>
      <c r="H2" s="147" t="s">
        <v>1870</v>
      </c>
      <c r="I2" s="152" t="s">
        <v>1871</v>
      </c>
    </row>
    <row r="3" spans="1:9" ht="15" customHeight="1">
      <c r="A3" s="142"/>
      <c r="B3" s="143"/>
      <c r="C3" s="151"/>
      <c r="D3" s="151"/>
      <c r="E3" s="143"/>
      <c r="F3" s="143"/>
      <c r="G3" s="143"/>
      <c r="H3" s="143"/>
      <c r="I3" s="153"/>
    </row>
    <row r="4" spans="1:9" ht="15">
      <c r="A4" s="144" t="s">
        <v>7</v>
      </c>
      <c r="B4" s="143"/>
      <c r="C4" s="148" t="str">
        <f>'Stavební rozpočet'!D4</f>
        <v>Stavební úpravy</v>
      </c>
      <c r="D4" s="143"/>
      <c r="E4" s="148" t="s">
        <v>11</v>
      </c>
      <c r="F4" s="148" t="str">
        <f>'Stavební rozpočet'!J4</f>
        <v>Tomáš Sýkora</v>
      </c>
      <c r="G4" s="143"/>
      <c r="H4" s="148" t="s">
        <v>1870</v>
      </c>
      <c r="I4" s="153" t="s">
        <v>1872</v>
      </c>
    </row>
    <row r="5" spans="1:9" ht="15" customHeight="1">
      <c r="A5" s="142"/>
      <c r="B5" s="143"/>
      <c r="C5" s="143"/>
      <c r="D5" s="143"/>
      <c r="E5" s="143"/>
      <c r="F5" s="143"/>
      <c r="G5" s="143"/>
      <c r="H5" s="143"/>
      <c r="I5" s="153"/>
    </row>
    <row r="6" spans="1:9" ht="15">
      <c r="A6" s="144" t="s">
        <v>13</v>
      </c>
      <c r="B6" s="143"/>
      <c r="C6" s="148" t="str">
        <f>'Stavební rozpočet'!D6</f>
        <v>ZŠ TGM Ivančice; Na Brněnce 1, 664 91 Ivančice</v>
      </c>
      <c r="D6" s="143"/>
      <c r="E6" s="148" t="s">
        <v>16</v>
      </c>
      <c r="F6" s="148" t="str">
        <f>'Stavební rozpočet'!J6</f>
        <v> </v>
      </c>
      <c r="G6" s="143"/>
      <c r="H6" s="148" t="s">
        <v>1870</v>
      </c>
      <c r="I6" s="153" t="s">
        <v>52</v>
      </c>
    </row>
    <row r="7" spans="1:9" ht="15" customHeight="1">
      <c r="A7" s="142"/>
      <c r="B7" s="143"/>
      <c r="C7" s="143"/>
      <c r="D7" s="143"/>
      <c r="E7" s="143"/>
      <c r="F7" s="143"/>
      <c r="G7" s="143"/>
      <c r="H7" s="143"/>
      <c r="I7" s="153"/>
    </row>
    <row r="8" spans="1:9" ht="15">
      <c r="A8" s="144" t="s">
        <v>9</v>
      </c>
      <c r="B8" s="143"/>
      <c r="C8" s="148" t="str">
        <f>'Stavební rozpočet'!H4</f>
        <v>22.09.2023</v>
      </c>
      <c r="D8" s="143"/>
      <c r="E8" s="148" t="s">
        <v>15</v>
      </c>
      <c r="F8" s="148" t="str">
        <f>'Stavební rozpočet'!H6</f>
        <v xml:space="preserve"> </v>
      </c>
      <c r="G8" s="143"/>
      <c r="H8" s="143" t="s">
        <v>1873</v>
      </c>
      <c r="I8" s="207">
        <v>58</v>
      </c>
    </row>
    <row r="9" spans="1:9" ht="15">
      <c r="A9" s="142"/>
      <c r="B9" s="143"/>
      <c r="C9" s="143"/>
      <c r="D9" s="143"/>
      <c r="E9" s="143"/>
      <c r="F9" s="143"/>
      <c r="G9" s="143"/>
      <c r="H9" s="143"/>
      <c r="I9" s="153"/>
    </row>
    <row r="10" spans="1:9" ht="15">
      <c r="A10" s="144" t="s">
        <v>18</v>
      </c>
      <c r="B10" s="143"/>
      <c r="C10" s="148" t="str">
        <f>'Stavební rozpočet'!D8</f>
        <v>8013212</v>
      </c>
      <c r="D10" s="143"/>
      <c r="E10" s="148" t="s">
        <v>21</v>
      </c>
      <c r="F10" s="148" t="str">
        <f>'Stavební rozpočet'!J8</f>
        <v>Tomáš Sýkora</v>
      </c>
      <c r="G10" s="143"/>
      <c r="H10" s="143" t="s">
        <v>1874</v>
      </c>
      <c r="I10" s="208" t="str">
        <f>'Stavební rozpočet'!H8</f>
        <v>22.09.2023</v>
      </c>
    </row>
    <row r="11" spans="1:9" ht="15">
      <c r="A11" s="206"/>
      <c r="B11" s="203"/>
      <c r="C11" s="203"/>
      <c r="D11" s="203"/>
      <c r="E11" s="203"/>
      <c r="F11" s="203"/>
      <c r="G11" s="203"/>
      <c r="H11" s="203"/>
      <c r="I11" s="209"/>
    </row>
    <row r="13" spans="1:5" ht="15.75">
      <c r="A13" s="243" t="s">
        <v>1916</v>
      </c>
      <c r="B13" s="243"/>
      <c r="C13" s="243"/>
      <c r="D13" s="243"/>
      <c r="E13" s="243"/>
    </row>
    <row r="14" spans="1:9" ht="15">
      <c r="A14" s="244" t="s">
        <v>1917</v>
      </c>
      <c r="B14" s="245"/>
      <c r="C14" s="245"/>
      <c r="D14" s="245"/>
      <c r="E14" s="246"/>
      <c r="F14" s="131" t="s">
        <v>1918</v>
      </c>
      <c r="G14" s="131" t="s">
        <v>951</v>
      </c>
      <c r="H14" s="131" t="s">
        <v>1919</v>
      </c>
      <c r="I14" s="131" t="s">
        <v>1918</v>
      </c>
    </row>
    <row r="15" spans="1:9" ht="15">
      <c r="A15" s="247" t="s">
        <v>1884</v>
      </c>
      <c r="B15" s="248"/>
      <c r="C15" s="248"/>
      <c r="D15" s="248"/>
      <c r="E15" s="249"/>
      <c r="F15" s="132">
        <v>0</v>
      </c>
      <c r="G15" s="133" t="s">
        <v>52</v>
      </c>
      <c r="H15" s="133" t="s">
        <v>52</v>
      </c>
      <c r="I15" s="132">
        <f>F15</f>
        <v>0</v>
      </c>
    </row>
    <row r="16" spans="1:9" ht="15">
      <c r="A16" s="247" t="s">
        <v>1886</v>
      </c>
      <c r="B16" s="248"/>
      <c r="C16" s="248"/>
      <c r="D16" s="248"/>
      <c r="E16" s="249"/>
      <c r="F16" s="132">
        <v>0</v>
      </c>
      <c r="G16" s="133" t="s">
        <v>52</v>
      </c>
      <c r="H16" s="133" t="s">
        <v>52</v>
      </c>
      <c r="I16" s="132">
        <f>F16</f>
        <v>0</v>
      </c>
    </row>
    <row r="17" spans="1:9" ht="15">
      <c r="A17" s="250" t="s">
        <v>1889</v>
      </c>
      <c r="B17" s="251"/>
      <c r="C17" s="251"/>
      <c r="D17" s="251"/>
      <c r="E17" s="252"/>
      <c r="F17" s="134">
        <v>0</v>
      </c>
      <c r="G17" s="135" t="s">
        <v>52</v>
      </c>
      <c r="H17" s="135" t="s">
        <v>52</v>
      </c>
      <c r="I17" s="134">
        <f>F17</f>
        <v>0</v>
      </c>
    </row>
    <row r="18" spans="1:9" ht="15">
      <c r="A18" s="253" t="s">
        <v>1920</v>
      </c>
      <c r="B18" s="254"/>
      <c r="C18" s="254"/>
      <c r="D18" s="254"/>
      <c r="E18" s="255"/>
      <c r="F18" s="136" t="s">
        <v>52</v>
      </c>
      <c r="G18" s="137" t="s">
        <v>52</v>
      </c>
      <c r="H18" s="137" t="s">
        <v>52</v>
      </c>
      <c r="I18" s="138">
        <f>SUM(I15:I17)</f>
        <v>0</v>
      </c>
    </row>
    <row r="20" spans="1:9" ht="15">
      <c r="A20" s="244" t="s">
        <v>1881</v>
      </c>
      <c r="B20" s="245"/>
      <c r="C20" s="245"/>
      <c r="D20" s="245"/>
      <c r="E20" s="246"/>
      <c r="F20" s="131" t="s">
        <v>1918</v>
      </c>
      <c r="G20" s="131" t="s">
        <v>951</v>
      </c>
      <c r="H20" s="131" t="s">
        <v>1919</v>
      </c>
      <c r="I20" s="131" t="s">
        <v>1918</v>
      </c>
    </row>
    <row r="21" spans="1:9" ht="15">
      <c r="A21" s="247" t="s">
        <v>1885</v>
      </c>
      <c r="B21" s="248"/>
      <c r="C21" s="248"/>
      <c r="D21" s="248"/>
      <c r="E21" s="249"/>
      <c r="F21" s="132">
        <v>0</v>
      </c>
      <c r="G21" s="133" t="s">
        <v>52</v>
      </c>
      <c r="H21" s="133" t="s">
        <v>52</v>
      </c>
      <c r="I21" s="132">
        <f aca="true" t="shared" si="0" ref="I21:I26">F21</f>
        <v>0</v>
      </c>
    </row>
    <row r="22" spans="1:9" ht="15">
      <c r="A22" s="247" t="s">
        <v>1887</v>
      </c>
      <c r="B22" s="248"/>
      <c r="C22" s="248"/>
      <c r="D22" s="248"/>
      <c r="E22" s="249"/>
      <c r="F22" s="132">
        <v>0</v>
      </c>
      <c r="G22" s="133" t="s">
        <v>52</v>
      </c>
      <c r="H22" s="133" t="s">
        <v>52</v>
      </c>
      <c r="I22" s="132">
        <f t="shared" si="0"/>
        <v>0</v>
      </c>
    </row>
    <row r="23" spans="1:9" ht="15">
      <c r="A23" s="247" t="s">
        <v>1890</v>
      </c>
      <c r="B23" s="248"/>
      <c r="C23" s="248"/>
      <c r="D23" s="248"/>
      <c r="E23" s="249"/>
      <c r="F23" s="132">
        <v>0</v>
      </c>
      <c r="G23" s="133" t="s">
        <v>52</v>
      </c>
      <c r="H23" s="133" t="s">
        <v>52</v>
      </c>
      <c r="I23" s="132">
        <f t="shared" si="0"/>
        <v>0</v>
      </c>
    </row>
    <row r="24" spans="1:9" ht="15">
      <c r="A24" s="247" t="s">
        <v>1891</v>
      </c>
      <c r="B24" s="248"/>
      <c r="C24" s="248"/>
      <c r="D24" s="248"/>
      <c r="E24" s="249"/>
      <c r="F24" s="132">
        <v>0</v>
      </c>
      <c r="G24" s="133" t="s">
        <v>52</v>
      </c>
      <c r="H24" s="133" t="s">
        <v>52</v>
      </c>
      <c r="I24" s="132">
        <f t="shared" si="0"/>
        <v>0</v>
      </c>
    </row>
    <row r="25" spans="1:9" ht="15">
      <c r="A25" s="247" t="s">
        <v>1893</v>
      </c>
      <c r="B25" s="248"/>
      <c r="C25" s="248"/>
      <c r="D25" s="248"/>
      <c r="E25" s="249"/>
      <c r="F25" s="132">
        <v>0</v>
      </c>
      <c r="G25" s="133" t="s">
        <v>52</v>
      </c>
      <c r="H25" s="133" t="s">
        <v>52</v>
      </c>
      <c r="I25" s="132">
        <f t="shared" si="0"/>
        <v>0</v>
      </c>
    </row>
    <row r="26" spans="1:9" ht="15">
      <c r="A26" s="250" t="s">
        <v>1894</v>
      </c>
      <c r="B26" s="251"/>
      <c r="C26" s="251"/>
      <c r="D26" s="251"/>
      <c r="E26" s="252"/>
      <c r="F26" s="134">
        <v>0</v>
      </c>
      <c r="G26" s="135" t="s">
        <v>52</v>
      </c>
      <c r="H26" s="135" t="s">
        <v>52</v>
      </c>
      <c r="I26" s="134">
        <f t="shared" si="0"/>
        <v>0</v>
      </c>
    </row>
    <row r="27" spans="1:9" ht="15">
      <c r="A27" s="253" t="s">
        <v>1921</v>
      </c>
      <c r="B27" s="254"/>
      <c r="C27" s="254"/>
      <c r="D27" s="254"/>
      <c r="E27" s="255"/>
      <c r="F27" s="136" t="s">
        <v>52</v>
      </c>
      <c r="G27" s="137" t="s">
        <v>52</v>
      </c>
      <c r="H27" s="137" t="s">
        <v>52</v>
      </c>
      <c r="I27" s="138">
        <f>SUM(I21:I26)</f>
        <v>0</v>
      </c>
    </row>
    <row r="29" spans="1:9" ht="15.75">
      <c r="A29" s="256" t="s">
        <v>1922</v>
      </c>
      <c r="B29" s="257"/>
      <c r="C29" s="257"/>
      <c r="D29" s="257"/>
      <c r="E29" s="258"/>
      <c r="F29" s="259">
        <f>I18+I27</f>
        <v>0</v>
      </c>
      <c r="G29" s="260"/>
      <c r="H29" s="260"/>
      <c r="I29" s="261"/>
    </row>
    <row r="33" spans="1:5" ht="15.75">
      <c r="A33" s="243" t="s">
        <v>1923</v>
      </c>
      <c r="B33" s="243"/>
      <c r="C33" s="243"/>
      <c r="D33" s="243"/>
      <c r="E33" s="243"/>
    </row>
    <row r="34" spans="1:9" ht="15">
      <c r="A34" s="244" t="s">
        <v>1924</v>
      </c>
      <c r="B34" s="245"/>
      <c r="C34" s="245"/>
      <c r="D34" s="245"/>
      <c r="E34" s="246"/>
      <c r="F34" s="131" t="s">
        <v>1918</v>
      </c>
      <c r="G34" s="131" t="s">
        <v>951</v>
      </c>
      <c r="H34" s="131" t="s">
        <v>1919</v>
      </c>
      <c r="I34" s="131" t="s">
        <v>1918</v>
      </c>
    </row>
    <row r="35" spans="1:9" ht="15">
      <c r="A35" s="250" t="s">
        <v>52</v>
      </c>
      <c r="B35" s="251"/>
      <c r="C35" s="251"/>
      <c r="D35" s="251"/>
      <c r="E35" s="252"/>
      <c r="F35" s="134">
        <v>0</v>
      </c>
      <c r="G35" s="135" t="s">
        <v>52</v>
      </c>
      <c r="H35" s="135" t="s">
        <v>52</v>
      </c>
      <c r="I35" s="134">
        <f>F35</f>
        <v>0</v>
      </c>
    </row>
    <row r="36" spans="1:9" ht="15">
      <c r="A36" s="253" t="s">
        <v>1925</v>
      </c>
      <c r="B36" s="254"/>
      <c r="C36" s="254"/>
      <c r="D36" s="254"/>
      <c r="E36" s="255"/>
      <c r="F36" s="136" t="s">
        <v>52</v>
      </c>
      <c r="G36" s="137" t="s">
        <v>52</v>
      </c>
      <c r="H36" s="137" t="s">
        <v>52</v>
      </c>
      <c r="I36" s="138">
        <f>SUM(I35:I35)</f>
        <v>0</v>
      </c>
    </row>
  </sheetData>
  <mergeCells count="51">
    <mergeCell ref="A36:E36"/>
    <mergeCell ref="A29:E29"/>
    <mergeCell ref="F29:I29"/>
    <mergeCell ref="A33:E33"/>
    <mergeCell ref="A34:E34"/>
    <mergeCell ref="A35:E35"/>
    <mergeCell ref="A23:E23"/>
    <mergeCell ref="A24:E24"/>
    <mergeCell ref="A25:E25"/>
    <mergeCell ref="A26:E26"/>
    <mergeCell ref="A27:E27"/>
    <mergeCell ref="A17:E17"/>
    <mergeCell ref="A18:E18"/>
    <mergeCell ref="A20:E20"/>
    <mergeCell ref="A21:E21"/>
    <mergeCell ref="A22:E22"/>
    <mergeCell ref="I10:I11"/>
    <mergeCell ref="A13:E13"/>
    <mergeCell ref="A14:E14"/>
    <mergeCell ref="A15:E15"/>
    <mergeCell ref="A16:E16"/>
    <mergeCell ref="H10:H11"/>
    <mergeCell ref="C2:D3"/>
    <mergeCell ref="C4:D5"/>
    <mergeCell ref="C6:D7"/>
    <mergeCell ref="C8:D9"/>
    <mergeCell ref="C10:D11"/>
    <mergeCell ref="F2:G3"/>
    <mergeCell ref="F4:G5"/>
    <mergeCell ref="F6:G7"/>
    <mergeCell ref="F8:G9"/>
    <mergeCell ref="F10:G11"/>
    <mergeCell ref="A10:B11"/>
    <mergeCell ref="E2:E3"/>
    <mergeCell ref="E4:E5"/>
    <mergeCell ref="E6:E7"/>
    <mergeCell ref="E8:E9"/>
    <mergeCell ref="E10:E11"/>
    <mergeCell ref="A1:I1"/>
    <mergeCell ref="A2:B3"/>
    <mergeCell ref="A4:B5"/>
    <mergeCell ref="A6:B7"/>
    <mergeCell ref="A8:B9"/>
    <mergeCell ref="H2:H3"/>
    <mergeCell ref="H4:H5"/>
    <mergeCell ref="H6:H7"/>
    <mergeCell ref="H8:H9"/>
    <mergeCell ref="I2:I3"/>
    <mergeCell ref="I4:I5"/>
    <mergeCell ref="I6:I7"/>
    <mergeCell ref="I8:I9"/>
  </mergeCells>
  <printOptions/>
  <pageMargins left="0.393999993801117" right="0.393999993801117" top="0.591000020503998" bottom="0.591000020503998" header="0" footer="0"/>
  <pageSetup fitToHeight="0" fitToWidth="1" horizontalDpi="600" verticalDpi="600"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35"/>
  <sheetViews>
    <sheetView workbookViewId="0" topLeftCell="A1">
      <selection activeCell="A35" sqref="A35:I35"/>
    </sheetView>
  </sheetViews>
  <sheetFormatPr defaultColWidth="12.140625" defaultRowHeight="15" customHeight="1"/>
  <cols>
    <col min="1" max="1" width="9.140625" style="0" customWidth="1"/>
    <col min="2" max="2" width="12.8515625" style="0" customWidth="1"/>
    <col min="3" max="3" width="27.140625" style="0" customWidth="1"/>
    <col min="4" max="4" width="10.00390625" style="0" customWidth="1"/>
    <col min="5" max="5" width="14.00390625" style="0" customWidth="1"/>
    <col min="6" max="6" width="27.140625" style="0" customWidth="1"/>
    <col min="7" max="7" width="9.140625" style="0" customWidth="1"/>
    <col min="8" max="8" width="12.8515625" style="0" customWidth="1"/>
    <col min="9" max="9" width="27.140625" style="0" customWidth="1"/>
  </cols>
  <sheetData>
    <row r="1" spans="1:9" ht="54.75" customHeight="1">
      <c r="A1" s="205" t="s">
        <v>1934</v>
      </c>
      <c r="B1" s="139"/>
      <c r="C1" s="139"/>
      <c r="D1" s="139"/>
      <c r="E1" s="139"/>
      <c r="F1" s="139"/>
      <c r="G1" s="139"/>
      <c r="H1" s="139"/>
      <c r="I1" s="139"/>
    </row>
    <row r="2" spans="1:9" ht="15">
      <c r="A2" s="140" t="s">
        <v>1</v>
      </c>
      <c r="B2" s="141"/>
      <c r="C2" s="149" t="str">
        <f>'Stavební rozpočet'!D2</f>
        <v>Vybudování a rekonstrukce odborných učeben v ZŠ TGM</v>
      </c>
      <c r="D2" s="150"/>
      <c r="E2" s="147" t="s">
        <v>5</v>
      </c>
      <c r="F2" s="147" t="str">
        <f>'Stavební rozpočet'!J2</f>
        <v>Město ivančice</v>
      </c>
      <c r="G2" s="141"/>
      <c r="H2" s="147" t="s">
        <v>1870</v>
      </c>
      <c r="I2" s="152" t="s">
        <v>1871</v>
      </c>
    </row>
    <row r="3" spans="1:9" ht="15" customHeight="1">
      <c r="A3" s="142"/>
      <c r="B3" s="143"/>
      <c r="C3" s="151"/>
      <c r="D3" s="151"/>
      <c r="E3" s="143"/>
      <c r="F3" s="143"/>
      <c r="G3" s="143"/>
      <c r="H3" s="143"/>
      <c r="I3" s="153"/>
    </row>
    <row r="4" spans="1:9" ht="15">
      <c r="A4" s="144" t="s">
        <v>7</v>
      </c>
      <c r="B4" s="143"/>
      <c r="C4" s="148" t="str">
        <f>'Stavební rozpočet'!D4</f>
        <v>Stavební úpravy</v>
      </c>
      <c r="D4" s="143"/>
      <c r="E4" s="148" t="s">
        <v>11</v>
      </c>
      <c r="F4" s="148" t="str">
        <f>'Stavební rozpočet'!J4</f>
        <v>Tomáš Sýkora</v>
      </c>
      <c r="G4" s="143"/>
      <c r="H4" s="148" t="s">
        <v>1870</v>
      </c>
      <c r="I4" s="153" t="s">
        <v>1872</v>
      </c>
    </row>
    <row r="5" spans="1:9" ht="15" customHeight="1">
      <c r="A5" s="142"/>
      <c r="B5" s="143"/>
      <c r="C5" s="143"/>
      <c r="D5" s="143"/>
      <c r="E5" s="143"/>
      <c r="F5" s="143"/>
      <c r="G5" s="143"/>
      <c r="H5" s="143"/>
      <c r="I5" s="153"/>
    </row>
    <row r="6" spans="1:9" ht="15">
      <c r="A6" s="144" t="s">
        <v>13</v>
      </c>
      <c r="B6" s="143"/>
      <c r="C6" s="148" t="str">
        <f>'Stavební rozpočet'!D6</f>
        <v>ZŠ TGM Ivančice; Na Brněnce 1, 664 91 Ivančice</v>
      </c>
      <c r="D6" s="143"/>
      <c r="E6" s="148" t="s">
        <v>16</v>
      </c>
      <c r="F6" s="148" t="str">
        <f>'Stavební rozpočet'!J6</f>
        <v> </v>
      </c>
      <c r="G6" s="143"/>
      <c r="H6" s="148" t="s">
        <v>1870</v>
      </c>
      <c r="I6" s="153" t="s">
        <v>52</v>
      </c>
    </row>
    <row r="7" spans="1:9" ht="15" customHeight="1">
      <c r="A7" s="142"/>
      <c r="B7" s="143"/>
      <c r="C7" s="143"/>
      <c r="D7" s="143"/>
      <c r="E7" s="143"/>
      <c r="F7" s="143"/>
      <c r="G7" s="143"/>
      <c r="H7" s="143"/>
      <c r="I7" s="153"/>
    </row>
    <row r="8" spans="1:9" ht="15">
      <c r="A8" s="144" t="s">
        <v>9</v>
      </c>
      <c r="B8" s="143"/>
      <c r="C8" s="148" t="str">
        <f>'Stavební rozpočet'!H4</f>
        <v>22.09.2023</v>
      </c>
      <c r="D8" s="143"/>
      <c r="E8" s="148" t="s">
        <v>15</v>
      </c>
      <c r="F8" s="148" t="str">
        <f>'Stavební rozpočet'!H6</f>
        <v xml:space="preserve"> </v>
      </c>
      <c r="G8" s="143"/>
      <c r="H8" s="143" t="s">
        <v>1873</v>
      </c>
      <c r="I8" s="207">
        <v>45</v>
      </c>
    </row>
    <row r="9" spans="1:9" ht="15">
      <c r="A9" s="142"/>
      <c r="B9" s="143"/>
      <c r="C9" s="143"/>
      <c r="D9" s="143"/>
      <c r="E9" s="143"/>
      <c r="F9" s="143"/>
      <c r="G9" s="143"/>
      <c r="H9" s="143"/>
      <c r="I9" s="153"/>
    </row>
    <row r="10" spans="1:9" ht="15">
      <c r="A10" s="144" t="s">
        <v>18</v>
      </c>
      <c r="B10" s="143"/>
      <c r="C10" s="148" t="str">
        <f>'Stavební rozpočet'!D8</f>
        <v>8013212</v>
      </c>
      <c r="D10" s="143"/>
      <c r="E10" s="148" t="s">
        <v>21</v>
      </c>
      <c r="F10" s="148" t="str">
        <f>'Stavební rozpočet'!J8</f>
        <v>Tomáš Sýkora</v>
      </c>
      <c r="G10" s="143"/>
      <c r="H10" s="143" t="s">
        <v>1874</v>
      </c>
      <c r="I10" s="208" t="str">
        <f>'Stavební rozpočet'!H8</f>
        <v>22.09.2023</v>
      </c>
    </row>
    <row r="11" spans="1:9" ht="15">
      <c r="A11" s="206"/>
      <c r="B11" s="203"/>
      <c r="C11" s="203"/>
      <c r="D11" s="203"/>
      <c r="E11" s="203"/>
      <c r="F11" s="203"/>
      <c r="G11" s="203"/>
      <c r="H11" s="203"/>
      <c r="I11" s="209"/>
    </row>
    <row r="12" spans="1:9" ht="23.25">
      <c r="A12" s="210" t="s">
        <v>1875</v>
      </c>
      <c r="B12" s="210"/>
      <c r="C12" s="210"/>
      <c r="D12" s="210"/>
      <c r="E12" s="210"/>
      <c r="F12" s="210"/>
      <c r="G12" s="210"/>
      <c r="H12" s="210"/>
      <c r="I12" s="210"/>
    </row>
    <row r="13" spans="1:9" ht="26.25" customHeight="1">
      <c r="A13" s="118" t="s">
        <v>1876</v>
      </c>
      <c r="B13" s="211" t="s">
        <v>1877</v>
      </c>
      <c r="C13" s="212"/>
      <c r="D13" s="119" t="s">
        <v>1878</v>
      </c>
      <c r="E13" s="211" t="s">
        <v>1879</v>
      </c>
      <c r="F13" s="212"/>
      <c r="G13" s="119" t="s">
        <v>1880</v>
      </c>
      <c r="H13" s="211" t="s">
        <v>1881</v>
      </c>
      <c r="I13" s="212"/>
    </row>
    <row r="14" spans="1:9" ht="15.75">
      <c r="A14" s="120" t="s">
        <v>1882</v>
      </c>
      <c r="B14" s="121" t="s">
        <v>1883</v>
      </c>
      <c r="C14" s="122">
        <f>SUMIF('Stavební rozpočet'!AI12:AI1282,"02_2",'Stavební rozpočet'!AB12:AB1282)</f>
        <v>0</v>
      </c>
      <c r="D14" s="219" t="s">
        <v>1884</v>
      </c>
      <c r="E14" s="220"/>
      <c r="F14" s="122">
        <f>'VORN objektu (02_2)'!I15</f>
        <v>0</v>
      </c>
      <c r="G14" s="219" t="s">
        <v>1885</v>
      </c>
      <c r="H14" s="220"/>
      <c r="I14" s="123">
        <f>'VORN objektu (02_2)'!I21</f>
        <v>0</v>
      </c>
    </row>
    <row r="15" spans="1:9" ht="15.75">
      <c r="A15" s="124" t="s">
        <v>52</v>
      </c>
      <c r="B15" s="121" t="s">
        <v>37</v>
      </c>
      <c r="C15" s="122">
        <f>SUMIF('Stavební rozpočet'!AI12:AI1282,"02_2",'Stavební rozpočet'!AC12:AC1282)</f>
        <v>0</v>
      </c>
      <c r="D15" s="219" t="s">
        <v>1886</v>
      </c>
      <c r="E15" s="220"/>
      <c r="F15" s="122">
        <f>'VORN objektu (02_2)'!I16</f>
        <v>0</v>
      </c>
      <c r="G15" s="219" t="s">
        <v>1887</v>
      </c>
      <c r="H15" s="220"/>
      <c r="I15" s="123">
        <f>'VORN objektu (02_2)'!I22</f>
        <v>0</v>
      </c>
    </row>
    <row r="16" spans="1:9" ht="15.75">
      <c r="A16" s="120" t="s">
        <v>1888</v>
      </c>
      <c r="B16" s="121" t="s">
        <v>1883</v>
      </c>
      <c r="C16" s="122">
        <f>SUMIF('Stavební rozpočet'!AI12:AI1282,"02_2",'Stavební rozpočet'!AD12:AD1282)</f>
        <v>0</v>
      </c>
      <c r="D16" s="219" t="s">
        <v>1889</v>
      </c>
      <c r="E16" s="220"/>
      <c r="F16" s="122">
        <f>'VORN objektu (02_2)'!I17</f>
        <v>0</v>
      </c>
      <c r="G16" s="219" t="s">
        <v>1890</v>
      </c>
      <c r="H16" s="220"/>
      <c r="I16" s="123">
        <f>'VORN objektu (02_2)'!I23</f>
        <v>0</v>
      </c>
    </row>
    <row r="17" spans="1:9" ht="15.75">
      <c r="A17" s="124" t="s">
        <v>52</v>
      </c>
      <c r="B17" s="121" t="s">
        <v>37</v>
      </c>
      <c r="C17" s="122">
        <f>SUMIF('Stavební rozpočet'!AI12:AI1282,"02_2",'Stavební rozpočet'!AE12:AE1282)</f>
        <v>0</v>
      </c>
      <c r="D17" s="219" t="s">
        <v>52</v>
      </c>
      <c r="E17" s="220"/>
      <c r="F17" s="123" t="s">
        <v>52</v>
      </c>
      <c r="G17" s="219" t="s">
        <v>1891</v>
      </c>
      <c r="H17" s="220"/>
      <c r="I17" s="123">
        <f>'VORN objektu (02_2)'!I24</f>
        <v>0</v>
      </c>
    </row>
    <row r="18" spans="1:9" ht="15.75">
      <c r="A18" s="120" t="s">
        <v>1892</v>
      </c>
      <c r="B18" s="121" t="s">
        <v>1883</v>
      </c>
      <c r="C18" s="122">
        <f>SUMIF('Stavební rozpočet'!AI12:AI1282,"02_2",'Stavební rozpočet'!AF12:AF1282)</f>
        <v>0</v>
      </c>
      <c r="D18" s="219" t="s">
        <v>52</v>
      </c>
      <c r="E18" s="220"/>
      <c r="F18" s="123" t="s">
        <v>52</v>
      </c>
      <c r="G18" s="219" t="s">
        <v>1893</v>
      </c>
      <c r="H18" s="220"/>
      <c r="I18" s="123">
        <f>'VORN objektu (02_2)'!I25</f>
        <v>0</v>
      </c>
    </row>
    <row r="19" spans="1:9" ht="15.75">
      <c r="A19" s="124" t="s">
        <v>52</v>
      </c>
      <c r="B19" s="121" t="s">
        <v>37</v>
      </c>
      <c r="C19" s="122">
        <f>SUMIF('Stavební rozpočet'!AI12:AI1282,"02_2",'Stavební rozpočet'!AG12:AG1282)</f>
        <v>0</v>
      </c>
      <c r="D19" s="219" t="s">
        <v>52</v>
      </c>
      <c r="E19" s="220"/>
      <c r="F19" s="123" t="s">
        <v>52</v>
      </c>
      <c r="G19" s="219" t="s">
        <v>1894</v>
      </c>
      <c r="H19" s="220"/>
      <c r="I19" s="123">
        <f>'VORN objektu (02_2)'!I26</f>
        <v>0</v>
      </c>
    </row>
    <row r="20" spans="1:9" ht="15.75">
      <c r="A20" s="213" t="s">
        <v>1895</v>
      </c>
      <c r="B20" s="214"/>
      <c r="C20" s="122">
        <f>SUMIF('Stavební rozpočet'!AI12:AI1282,"02_2",'Stavební rozpočet'!AH12:AH1282)</f>
        <v>0</v>
      </c>
      <c r="D20" s="219" t="s">
        <v>52</v>
      </c>
      <c r="E20" s="220"/>
      <c r="F20" s="123" t="s">
        <v>52</v>
      </c>
      <c r="G20" s="219" t="s">
        <v>52</v>
      </c>
      <c r="H20" s="220"/>
      <c r="I20" s="123" t="s">
        <v>52</v>
      </c>
    </row>
    <row r="21" spans="1:9" ht="15.75">
      <c r="A21" s="215" t="s">
        <v>1896</v>
      </c>
      <c r="B21" s="216"/>
      <c r="C21" s="122">
        <f>SUMIF('Stavební rozpočet'!AI12:AI1282,"02_2",'Stavební rozpočet'!Z12:Z1282)</f>
        <v>0</v>
      </c>
      <c r="D21" s="221" t="s">
        <v>52</v>
      </c>
      <c r="E21" s="222"/>
      <c r="F21" s="126" t="s">
        <v>52</v>
      </c>
      <c r="G21" s="221" t="s">
        <v>52</v>
      </c>
      <c r="H21" s="222"/>
      <c r="I21" s="126" t="s">
        <v>52</v>
      </c>
    </row>
    <row r="22" spans="1:9" ht="16.5" customHeight="1">
      <c r="A22" s="217" t="s">
        <v>1897</v>
      </c>
      <c r="B22" s="218"/>
      <c r="C22" s="122">
        <f>SUM(C14:C21)</f>
        <v>0</v>
      </c>
      <c r="D22" s="223" t="s">
        <v>1898</v>
      </c>
      <c r="E22" s="218"/>
      <c r="F22" s="127">
        <f>SUM(F14:F21)</f>
        <v>0</v>
      </c>
      <c r="G22" s="223" t="s">
        <v>1899</v>
      </c>
      <c r="H22" s="218"/>
      <c r="I22" s="127">
        <f>SUM(I14:I21)</f>
        <v>0</v>
      </c>
    </row>
    <row r="23" spans="7:9" ht="15.75">
      <c r="G23" s="213" t="s">
        <v>1902</v>
      </c>
      <c r="H23" s="214"/>
      <c r="I23" s="122">
        <f>'VORN objektu (02_2)'!I36</f>
        <v>0</v>
      </c>
    </row>
    <row r="25" spans="1:3" ht="15.75">
      <c r="A25" s="225" t="s">
        <v>1904</v>
      </c>
      <c r="B25" s="226"/>
      <c r="C25" s="128">
        <f>('Stavební rozpočet'!AS599+'Stavební rozpočet'!AS606+'Stavební rozpočet'!AS627+'Stavební rozpočet'!AS640+'Stavební rozpočet'!AS642+'Stavební rozpočet'!AS644+'Stavební rozpočet'!AS646)</f>
        <v>0</v>
      </c>
    </row>
    <row r="26" spans="1:9" ht="15.75">
      <c r="A26" s="227" t="s">
        <v>1905</v>
      </c>
      <c r="B26" s="228"/>
      <c r="C26" s="129">
        <f>('Stavební rozpočet'!AT599+'Stavební rozpočet'!AT606+'Stavební rozpočet'!AT627+'Stavební rozpočet'!AT640+'Stavební rozpočet'!AT642+'Stavební rozpočet'!AT644+'Stavební rozpočet'!AT646)</f>
        <v>0</v>
      </c>
      <c r="D26" s="229" t="s">
        <v>1906</v>
      </c>
      <c r="E26" s="226"/>
      <c r="F26" s="128">
        <f>ROUND(C26*(12/100),2)</f>
        <v>0</v>
      </c>
      <c r="G26" s="229" t="s">
        <v>1907</v>
      </c>
      <c r="H26" s="226"/>
      <c r="I26" s="128">
        <f>SUM(C25:C27)</f>
        <v>0</v>
      </c>
    </row>
    <row r="27" spans="1:9" ht="15.75">
      <c r="A27" s="227" t="s">
        <v>1908</v>
      </c>
      <c r="B27" s="228"/>
      <c r="C27" s="129">
        <f>('Stavební rozpočet'!AU599+'Stavební rozpočet'!AU606+'Stavební rozpočet'!AU627+'Stavební rozpočet'!AU640+'Stavební rozpočet'!AU642+'Stavební rozpočet'!AU644+'Stavební rozpočet'!AU646)+(F22+I22+F23+I23+I24)</f>
        <v>0</v>
      </c>
      <c r="D27" s="230" t="s">
        <v>1909</v>
      </c>
      <c r="E27" s="228"/>
      <c r="F27" s="129">
        <f>ROUND(C27*(21/100),2)</f>
        <v>0</v>
      </c>
      <c r="G27" s="230" t="s">
        <v>1910</v>
      </c>
      <c r="H27" s="228"/>
      <c r="I27" s="129">
        <f>SUM(F26:F27)+I26</f>
        <v>0</v>
      </c>
    </row>
    <row r="29" spans="1:9" ht="15">
      <c r="A29" s="231" t="s">
        <v>1911</v>
      </c>
      <c r="B29" s="232"/>
      <c r="C29" s="233"/>
      <c r="D29" s="240" t="s">
        <v>1912</v>
      </c>
      <c r="E29" s="232"/>
      <c r="F29" s="233"/>
      <c r="G29" s="240" t="s">
        <v>1913</v>
      </c>
      <c r="H29" s="232"/>
      <c r="I29" s="233"/>
    </row>
    <row r="30" spans="1:9" ht="15">
      <c r="A30" s="234" t="s">
        <v>52</v>
      </c>
      <c r="B30" s="235"/>
      <c r="C30" s="236"/>
      <c r="D30" s="241" t="s">
        <v>52</v>
      </c>
      <c r="E30" s="235"/>
      <c r="F30" s="236"/>
      <c r="G30" s="241" t="s">
        <v>52</v>
      </c>
      <c r="H30" s="235"/>
      <c r="I30" s="236"/>
    </row>
    <row r="31" spans="1:9" ht="15">
      <c r="A31" s="234" t="s">
        <v>52</v>
      </c>
      <c r="B31" s="235"/>
      <c r="C31" s="236"/>
      <c r="D31" s="241" t="s">
        <v>52</v>
      </c>
      <c r="E31" s="235"/>
      <c r="F31" s="236"/>
      <c r="G31" s="241" t="s">
        <v>52</v>
      </c>
      <c r="H31" s="235"/>
      <c r="I31" s="236"/>
    </row>
    <row r="32" spans="1:9" ht="15">
      <c r="A32" s="234" t="s">
        <v>52</v>
      </c>
      <c r="B32" s="235"/>
      <c r="C32" s="236"/>
      <c r="D32" s="241" t="s">
        <v>52</v>
      </c>
      <c r="E32" s="235"/>
      <c r="F32" s="236"/>
      <c r="G32" s="241" t="s">
        <v>52</v>
      </c>
      <c r="H32" s="235"/>
      <c r="I32" s="236"/>
    </row>
    <row r="33" spans="1:9" ht="15">
      <c r="A33" s="237" t="s">
        <v>1914</v>
      </c>
      <c r="B33" s="238"/>
      <c r="C33" s="239"/>
      <c r="D33" s="242" t="s">
        <v>1914</v>
      </c>
      <c r="E33" s="238"/>
      <c r="F33" s="239"/>
      <c r="G33" s="242" t="s">
        <v>1914</v>
      </c>
      <c r="H33" s="238"/>
      <c r="I33" s="239"/>
    </row>
    <row r="34" ht="15">
      <c r="A34" s="130" t="s">
        <v>1868</v>
      </c>
    </row>
    <row r="35" spans="1:9" ht="12.75" customHeight="1">
      <c r="A35" s="148" t="s">
        <v>52</v>
      </c>
      <c r="B35" s="143"/>
      <c r="C35" s="143"/>
      <c r="D35" s="143"/>
      <c r="E35" s="143"/>
      <c r="F35" s="143"/>
      <c r="G35" s="143"/>
      <c r="H35" s="143"/>
      <c r="I35" s="143"/>
    </row>
  </sheetData>
  <mergeCells count="80">
    <mergeCell ref="G32:I32"/>
    <mergeCell ref="G33:I33"/>
    <mergeCell ref="A35:I35"/>
    <mergeCell ref="A32:C32"/>
    <mergeCell ref="A33:C33"/>
    <mergeCell ref="D29:F29"/>
    <mergeCell ref="D30:F30"/>
    <mergeCell ref="D31:F31"/>
    <mergeCell ref="D32:F32"/>
    <mergeCell ref="D33:F33"/>
    <mergeCell ref="G26:H26"/>
    <mergeCell ref="G27:H27"/>
    <mergeCell ref="A29:C29"/>
    <mergeCell ref="A30:C30"/>
    <mergeCell ref="A31:C31"/>
    <mergeCell ref="G29:I29"/>
    <mergeCell ref="G30:I30"/>
    <mergeCell ref="G31:I31"/>
    <mergeCell ref="A25:B25"/>
    <mergeCell ref="A26:B26"/>
    <mergeCell ref="A27:B27"/>
    <mergeCell ref="D26:E26"/>
    <mergeCell ref="D27:E27"/>
    <mergeCell ref="G19:H19"/>
    <mergeCell ref="G20:H20"/>
    <mergeCell ref="G21:H21"/>
    <mergeCell ref="G22:H22"/>
    <mergeCell ref="G23:H23"/>
    <mergeCell ref="G14:H14"/>
    <mergeCell ref="G15:H15"/>
    <mergeCell ref="G16:H16"/>
    <mergeCell ref="G17:H17"/>
    <mergeCell ref="G18:H18"/>
    <mergeCell ref="A20:B20"/>
    <mergeCell ref="A21:B21"/>
    <mergeCell ref="A22:B22"/>
    <mergeCell ref="D14:E14"/>
    <mergeCell ref="D15:E15"/>
    <mergeCell ref="D16:E16"/>
    <mergeCell ref="D17:E17"/>
    <mergeCell ref="D18:E18"/>
    <mergeCell ref="D19:E19"/>
    <mergeCell ref="D20:E20"/>
    <mergeCell ref="D21:E21"/>
    <mergeCell ref="D22:E22"/>
    <mergeCell ref="I10:I11"/>
    <mergeCell ref="A12:I12"/>
    <mergeCell ref="B13:C13"/>
    <mergeCell ref="E13:F13"/>
    <mergeCell ref="H13:I13"/>
    <mergeCell ref="F10:G11"/>
    <mergeCell ref="H2:H3"/>
    <mergeCell ref="H4:H5"/>
    <mergeCell ref="H6:H7"/>
    <mergeCell ref="H8:H9"/>
    <mergeCell ref="H10:H11"/>
    <mergeCell ref="A10:B11"/>
    <mergeCell ref="E2:E3"/>
    <mergeCell ref="E4:E5"/>
    <mergeCell ref="E6:E7"/>
    <mergeCell ref="E8:E9"/>
    <mergeCell ref="E10:E11"/>
    <mergeCell ref="C2:D3"/>
    <mergeCell ref="C4:D5"/>
    <mergeCell ref="C6:D7"/>
    <mergeCell ref="C8:D9"/>
    <mergeCell ref="C10:D11"/>
    <mergeCell ref="A1:I1"/>
    <mergeCell ref="A2:B3"/>
    <mergeCell ref="A4:B5"/>
    <mergeCell ref="A6:B7"/>
    <mergeCell ref="A8:B9"/>
    <mergeCell ref="F2:G3"/>
    <mergeCell ref="F4:G5"/>
    <mergeCell ref="F6:G7"/>
    <mergeCell ref="F8:G9"/>
    <mergeCell ref="I2:I3"/>
    <mergeCell ref="I4:I5"/>
    <mergeCell ref="I6:I7"/>
    <mergeCell ref="I8:I9"/>
  </mergeCells>
  <printOptions/>
  <pageMargins left="0.393999993801117" right="0.393999993801117" top="0.591000020503998" bottom="0.591000020503998" header="0" footer="0"/>
  <pageSetup fitToHeight="1" fitToWidth="1" horizontalDpi="600" verticalDpi="600" orientation="landscape"/>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36"/>
  <sheetViews>
    <sheetView workbookViewId="0" topLeftCell="A1">
      <selection activeCell="A36" sqref="A36:E36"/>
    </sheetView>
  </sheetViews>
  <sheetFormatPr defaultColWidth="12.140625" defaultRowHeight="15" customHeight="1"/>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7.140625" style="0" customWidth="1"/>
    <col min="9" max="9" width="22.8515625" style="0" customWidth="1"/>
  </cols>
  <sheetData>
    <row r="1" spans="1:9" ht="54.75" customHeight="1">
      <c r="A1" s="205" t="s">
        <v>1935</v>
      </c>
      <c r="B1" s="139"/>
      <c r="C1" s="139"/>
      <c r="D1" s="139"/>
      <c r="E1" s="139"/>
      <c r="F1" s="139"/>
      <c r="G1" s="139"/>
      <c r="H1" s="139"/>
      <c r="I1" s="139"/>
    </row>
    <row r="2" spans="1:9" ht="15">
      <c r="A2" s="140" t="s">
        <v>1</v>
      </c>
      <c r="B2" s="141"/>
      <c r="C2" s="149" t="str">
        <f>'Stavební rozpočet'!D2</f>
        <v>Vybudování a rekonstrukce odborných učeben v ZŠ TGM</v>
      </c>
      <c r="D2" s="150"/>
      <c r="E2" s="147" t="s">
        <v>5</v>
      </c>
      <c r="F2" s="147" t="str">
        <f>'Stavební rozpočet'!J2</f>
        <v>Město ivančice</v>
      </c>
      <c r="G2" s="141"/>
      <c r="H2" s="147" t="s">
        <v>1870</v>
      </c>
      <c r="I2" s="152" t="s">
        <v>1871</v>
      </c>
    </row>
    <row r="3" spans="1:9" ht="15" customHeight="1">
      <c r="A3" s="142"/>
      <c r="B3" s="143"/>
      <c r="C3" s="151"/>
      <c r="D3" s="151"/>
      <c r="E3" s="143"/>
      <c r="F3" s="143"/>
      <c r="G3" s="143"/>
      <c r="H3" s="143"/>
      <c r="I3" s="153"/>
    </row>
    <row r="4" spans="1:9" ht="15">
      <c r="A4" s="144" t="s">
        <v>7</v>
      </c>
      <c r="B4" s="143"/>
      <c r="C4" s="148" t="str">
        <f>'Stavební rozpočet'!D4</f>
        <v>Stavební úpravy</v>
      </c>
      <c r="D4" s="143"/>
      <c r="E4" s="148" t="s">
        <v>11</v>
      </c>
      <c r="F4" s="148" t="str">
        <f>'Stavební rozpočet'!J4</f>
        <v>Tomáš Sýkora</v>
      </c>
      <c r="G4" s="143"/>
      <c r="H4" s="148" t="s">
        <v>1870</v>
      </c>
      <c r="I4" s="153" t="s">
        <v>1872</v>
      </c>
    </row>
    <row r="5" spans="1:9" ht="15" customHeight="1">
      <c r="A5" s="142"/>
      <c r="B5" s="143"/>
      <c r="C5" s="143"/>
      <c r="D5" s="143"/>
      <c r="E5" s="143"/>
      <c r="F5" s="143"/>
      <c r="G5" s="143"/>
      <c r="H5" s="143"/>
      <c r="I5" s="153"/>
    </row>
    <row r="6" spans="1:9" ht="15">
      <c r="A6" s="144" t="s">
        <v>13</v>
      </c>
      <c r="B6" s="143"/>
      <c r="C6" s="148" t="str">
        <f>'Stavební rozpočet'!D6</f>
        <v>ZŠ TGM Ivančice; Na Brněnce 1, 664 91 Ivančice</v>
      </c>
      <c r="D6" s="143"/>
      <c r="E6" s="148" t="s">
        <v>16</v>
      </c>
      <c r="F6" s="148" t="str">
        <f>'Stavební rozpočet'!J6</f>
        <v> </v>
      </c>
      <c r="G6" s="143"/>
      <c r="H6" s="148" t="s">
        <v>1870</v>
      </c>
      <c r="I6" s="153" t="s">
        <v>52</v>
      </c>
    </row>
    <row r="7" spans="1:9" ht="15" customHeight="1">
      <c r="A7" s="142"/>
      <c r="B7" s="143"/>
      <c r="C7" s="143"/>
      <c r="D7" s="143"/>
      <c r="E7" s="143"/>
      <c r="F7" s="143"/>
      <c r="G7" s="143"/>
      <c r="H7" s="143"/>
      <c r="I7" s="153"/>
    </row>
    <row r="8" spans="1:9" ht="15">
      <c r="A8" s="144" t="s">
        <v>9</v>
      </c>
      <c r="B8" s="143"/>
      <c r="C8" s="148" t="str">
        <f>'Stavební rozpočet'!H4</f>
        <v>22.09.2023</v>
      </c>
      <c r="D8" s="143"/>
      <c r="E8" s="148" t="s">
        <v>15</v>
      </c>
      <c r="F8" s="148" t="str">
        <f>'Stavební rozpočet'!H6</f>
        <v xml:space="preserve"> </v>
      </c>
      <c r="G8" s="143"/>
      <c r="H8" s="143" t="s">
        <v>1873</v>
      </c>
      <c r="I8" s="207">
        <v>45</v>
      </c>
    </row>
    <row r="9" spans="1:9" ht="15">
      <c r="A9" s="142"/>
      <c r="B9" s="143"/>
      <c r="C9" s="143"/>
      <c r="D9" s="143"/>
      <c r="E9" s="143"/>
      <c r="F9" s="143"/>
      <c r="G9" s="143"/>
      <c r="H9" s="143"/>
      <c r="I9" s="153"/>
    </row>
    <row r="10" spans="1:9" ht="15">
      <c r="A10" s="144" t="s">
        <v>18</v>
      </c>
      <c r="B10" s="143"/>
      <c r="C10" s="148" t="str">
        <f>'Stavební rozpočet'!D8</f>
        <v>8013212</v>
      </c>
      <c r="D10" s="143"/>
      <c r="E10" s="148" t="s">
        <v>21</v>
      </c>
      <c r="F10" s="148" t="str">
        <f>'Stavební rozpočet'!J8</f>
        <v>Tomáš Sýkora</v>
      </c>
      <c r="G10" s="143"/>
      <c r="H10" s="143" t="s">
        <v>1874</v>
      </c>
      <c r="I10" s="208" t="str">
        <f>'Stavební rozpočet'!H8</f>
        <v>22.09.2023</v>
      </c>
    </row>
    <row r="11" spans="1:9" ht="15">
      <c r="A11" s="206"/>
      <c r="B11" s="203"/>
      <c r="C11" s="203"/>
      <c r="D11" s="203"/>
      <c r="E11" s="203"/>
      <c r="F11" s="203"/>
      <c r="G11" s="203"/>
      <c r="H11" s="203"/>
      <c r="I11" s="209"/>
    </row>
    <row r="13" spans="1:5" ht="15.75">
      <c r="A13" s="243" t="s">
        <v>1916</v>
      </c>
      <c r="B13" s="243"/>
      <c r="C13" s="243"/>
      <c r="D13" s="243"/>
      <c r="E13" s="243"/>
    </row>
    <row r="14" spans="1:9" ht="15">
      <c r="A14" s="244" t="s">
        <v>1917</v>
      </c>
      <c r="B14" s="245"/>
      <c r="C14" s="245"/>
      <c r="D14" s="245"/>
      <c r="E14" s="246"/>
      <c r="F14" s="131" t="s">
        <v>1918</v>
      </c>
      <c r="G14" s="131" t="s">
        <v>951</v>
      </c>
      <c r="H14" s="131" t="s">
        <v>1919</v>
      </c>
      <c r="I14" s="131" t="s">
        <v>1918</v>
      </c>
    </row>
    <row r="15" spans="1:9" ht="15">
      <c r="A15" s="247" t="s">
        <v>1884</v>
      </c>
      <c r="B15" s="248"/>
      <c r="C15" s="248"/>
      <c r="D15" s="248"/>
      <c r="E15" s="249"/>
      <c r="F15" s="132">
        <v>0</v>
      </c>
      <c r="G15" s="133" t="s">
        <v>52</v>
      </c>
      <c r="H15" s="133" t="s">
        <v>52</v>
      </c>
      <c r="I15" s="132">
        <f>F15</f>
        <v>0</v>
      </c>
    </row>
    <row r="16" spans="1:9" ht="15">
      <c r="A16" s="247" t="s">
        <v>1886</v>
      </c>
      <c r="B16" s="248"/>
      <c r="C16" s="248"/>
      <c r="D16" s="248"/>
      <c r="E16" s="249"/>
      <c r="F16" s="132">
        <v>0</v>
      </c>
      <c r="G16" s="133" t="s">
        <v>52</v>
      </c>
      <c r="H16" s="133" t="s">
        <v>52</v>
      </c>
      <c r="I16" s="132">
        <f>F16</f>
        <v>0</v>
      </c>
    </row>
    <row r="17" spans="1:9" ht="15">
      <c r="A17" s="250" t="s">
        <v>1889</v>
      </c>
      <c r="B17" s="251"/>
      <c r="C17" s="251"/>
      <c r="D17" s="251"/>
      <c r="E17" s="252"/>
      <c r="F17" s="134">
        <v>0</v>
      </c>
      <c r="G17" s="135" t="s">
        <v>52</v>
      </c>
      <c r="H17" s="135" t="s">
        <v>52</v>
      </c>
      <c r="I17" s="134">
        <f>F17</f>
        <v>0</v>
      </c>
    </row>
    <row r="18" spans="1:9" ht="15">
      <c r="A18" s="253" t="s">
        <v>1920</v>
      </c>
      <c r="B18" s="254"/>
      <c r="C18" s="254"/>
      <c r="D18" s="254"/>
      <c r="E18" s="255"/>
      <c r="F18" s="136" t="s">
        <v>52</v>
      </c>
      <c r="G18" s="137" t="s">
        <v>52</v>
      </c>
      <c r="H18" s="137" t="s">
        <v>52</v>
      </c>
      <c r="I18" s="138">
        <f>SUM(I15:I17)</f>
        <v>0</v>
      </c>
    </row>
    <row r="20" spans="1:9" ht="15">
      <c r="A20" s="244" t="s">
        <v>1881</v>
      </c>
      <c r="B20" s="245"/>
      <c r="C20" s="245"/>
      <c r="D20" s="245"/>
      <c r="E20" s="246"/>
      <c r="F20" s="131" t="s">
        <v>1918</v>
      </c>
      <c r="G20" s="131" t="s">
        <v>951</v>
      </c>
      <c r="H20" s="131" t="s">
        <v>1919</v>
      </c>
      <c r="I20" s="131" t="s">
        <v>1918</v>
      </c>
    </row>
    <row r="21" spans="1:9" ht="15">
      <c r="A21" s="247" t="s">
        <v>1885</v>
      </c>
      <c r="B21" s="248"/>
      <c r="C21" s="248"/>
      <c r="D21" s="248"/>
      <c r="E21" s="249"/>
      <c r="F21" s="132">
        <v>0</v>
      </c>
      <c r="G21" s="133" t="s">
        <v>52</v>
      </c>
      <c r="H21" s="133" t="s">
        <v>52</v>
      </c>
      <c r="I21" s="132">
        <f aca="true" t="shared" si="0" ref="I21:I26">F21</f>
        <v>0</v>
      </c>
    </row>
    <row r="22" spans="1:9" ht="15">
      <c r="A22" s="247" t="s">
        <v>1887</v>
      </c>
      <c r="B22" s="248"/>
      <c r="C22" s="248"/>
      <c r="D22" s="248"/>
      <c r="E22" s="249"/>
      <c r="F22" s="132">
        <v>0</v>
      </c>
      <c r="G22" s="133" t="s">
        <v>52</v>
      </c>
      <c r="H22" s="133" t="s">
        <v>52</v>
      </c>
      <c r="I22" s="132">
        <f t="shared" si="0"/>
        <v>0</v>
      </c>
    </row>
    <row r="23" spans="1:9" ht="15">
      <c r="A23" s="247" t="s">
        <v>1890</v>
      </c>
      <c r="B23" s="248"/>
      <c r="C23" s="248"/>
      <c r="D23" s="248"/>
      <c r="E23" s="249"/>
      <c r="F23" s="132">
        <v>0</v>
      </c>
      <c r="G23" s="133" t="s">
        <v>52</v>
      </c>
      <c r="H23" s="133" t="s">
        <v>52</v>
      </c>
      <c r="I23" s="132">
        <f t="shared" si="0"/>
        <v>0</v>
      </c>
    </row>
    <row r="24" spans="1:9" ht="15">
      <c r="A24" s="247" t="s">
        <v>1891</v>
      </c>
      <c r="B24" s="248"/>
      <c r="C24" s="248"/>
      <c r="D24" s="248"/>
      <c r="E24" s="249"/>
      <c r="F24" s="132">
        <v>0</v>
      </c>
      <c r="G24" s="133" t="s">
        <v>52</v>
      </c>
      <c r="H24" s="133" t="s">
        <v>52</v>
      </c>
      <c r="I24" s="132">
        <f t="shared" si="0"/>
        <v>0</v>
      </c>
    </row>
    <row r="25" spans="1:9" ht="15">
      <c r="A25" s="247" t="s">
        <v>1893</v>
      </c>
      <c r="B25" s="248"/>
      <c r="C25" s="248"/>
      <c r="D25" s="248"/>
      <c r="E25" s="249"/>
      <c r="F25" s="132">
        <v>0</v>
      </c>
      <c r="G25" s="133" t="s">
        <v>52</v>
      </c>
      <c r="H25" s="133" t="s">
        <v>52</v>
      </c>
      <c r="I25" s="132">
        <f t="shared" si="0"/>
        <v>0</v>
      </c>
    </row>
    <row r="26" spans="1:9" ht="15">
      <c r="A26" s="250" t="s">
        <v>1894</v>
      </c>
      <c r="B26" s="251"/>
      <c r="C26" s="251"/>
      <c r="D26" s="251"/>
      <c r="E26" s="252"/>
      <c r="F26" s="134">
        <v>0</v>
      </c>
      <c r="G26" s="135" t="s">
        <v>52</v>
      </c>
      <c r="H26" s="135" t="s">
        <v>52</v>
      </c>
      <c r="I26" s="134">
        <f t="shared" si="0"/>
        <v>0</v>
      </c>
    </row>
    <row r="27" spans="1:9" ht="15">
      <c r="A27" s="253" t="s">
        <v>1921</v>
      </c>
      <c r="B27" s="254"/>
      <c r="C27" s="254"/>
      <c r="D27" s="254"/>
      <c r="E27" s="255"/>
      <c r="F27" s="136" t="s">
        <v>52</v>
      </c>
      <c r="G27" s="137" t="s">
        <v>52</v>
      </c>
      <c r="H27" s="137" t="s">
        <v>52</v>
      </c>
      <c r="I27" s="138">
        <f>SUM(I21:I26)</f>
        <v>0</v>
      </c>
    </row>
    <row r="29" spans="1:9" ht="15.75">
      <c r="A29" s="256" t="s">
        <v>1922</v>
      </c>
      <c r="B29" s="257"/>
      <c r="C29" s="257"/>
      <c r="D29" s="257"/>
      <c r="E29" s="258"/>
      <c r="F29" s="259">
        <f>I18+I27</f>
        <v>0</v>
      </c>
      <c r="G29" s="260"/>
      <c r="H29" s="260"/>
      <c r="I29" s="261"/>
    </row>
    <row r="33" spans="1:5" ht="15.75">
      <c r="A33" s="243" t="s">
        <v>1923</v>
      </c>
      <c r="B33" s="243"/>
      <c r="C33" s="243"/>
      <c r="D33" s="243"/>
      <c r="E33" s="243"/>
    </row>
    <row r="34" spans="1:9" ht="15">
      <c r="A34" s="244" t="s">
        <v>1924</v>
      </c>
      <c r="B34" s="245"/>
      <c r="C34" s="245"/>
      <c r="D34" s="245"/>
      <c r="E34" s="246"/>
      <c r="F34" s="131" t="s">
        <v>1918</v>
      </c>
      <c r="G34" s="131" t="s">
        <v>951</v>
      </c>
      <c r="H34" s="131" t="s">
        <v>1919</v>
      </c>
      <c r="I34" s="131" t="s">
        <v>1918</v>
      </c>
    </row>
    <row r="35" spans="1:9" ht="15">
      <c r="A35" s="250" t="s">
        <v>52</v>
      </c>
      <c r="B35" s="251"/>
      <c r="C35" s="251"/>
      <c r="D35" s="251"/>
      <c r="E35" s="252"/>
      <c r="F35" s="134">
        <v>0</v>
      </c>
      <c r="G35" s="135" t="s">
        <v>52</v>
      </c>
      <c r="H35" s="135" t="s">
        <v>52</v>
      </c>
      <c r="I35" s="134">
        <f>F35</f>
        <v>0</v>
      </c>
    </row>
    <row r="36" spans="1:9" ht="15">
      <c r="A36" s="253" t="s">
        <v>1925</v>
      </c>
      <c r="B36" s="254"/>
      <c r="C36" s="254"/>
      <c r="D36" s="254"/>
      <c r="E36" s="255"/>
      <c r="F36" s="136" t="s">
        <v>52</v>
      </c>
      <c r="G36" s="137" t="s">
        <v>52</v>
      </c>
      <c r="H36" s="137" t="s">
        <v>52</v>
      </c>
      <c r="I36" s="138">
        <f>SUM(I35:I35)</f>
        <v>0</v>
      </c>
    </row>
  </sheetData>
  <mergeCells count="51">
    <mergeCell ref="A36:E36"/>
    <mergeCell ref="A29:E29"/>
    <mergeCell ref="F29:I29"/>
    <mergeCell ref="A33:E33"/>
    <mergeCell ref="A34:E34"/>
    <mergeCell ref="A35:E35"/>
    <mergeCell ref="A23:E23"/>
    <mergeCell ref="A24:E24"/>
    <mergeCell ref="A25:E25"/>
    <mergeCell ref="A26:E26"/>
    <mergeCell ref="A27:E27"/>
    <mergeCell ref="A17:E17"/>
    <mergeCell ref="A18:E18"/>
    <mergeCell ref="A20:E20"/>
    <mergeCell ref="A21:E21"/>
    <mergeCell ref="A22:E22"/>
    <mergeCell ref="I10:I11"/>
    <mergeCell ref="A13:E13"/>
    <mergeCell ref="A14:E14"/>
    <mergeCell ref="A15:E15"/>
    <mergeCell ref="A16:E16"/>
    <mergeCell ref="H10:H11"/>
    <mergeCell ref="C2:D3"/>
    <mergeCell ref="C4:D5"/>
    <mergeCell ref="C6:D7"/>
    <mergeCell ref="C8:D9"/>
    <mergeCell ref="C10:D11"/>
    <mergeCell ref="F2:G3"/>
    <mergeCell ref="F4:G5"/>
    <mergeCell ref="F6:G7"/>
    <mergeCell ref="F8:G9"/>
    <mergeCell ref="F10:G11"/>
    <mergeCell ref="A10:B11"/>
    <mergeCell ref="E2:E3"/>
    <mergeCell ref="E4:E5"/>
    <mergeCell ref="E6:E7"/>
    <mergeCell ref="E8:E9"/>
    <mergeCell ref="E10:E11"/>
    <mergeCell ref="A1:I1"/>
    <mergeCell ref="A2:B3"/>
    <mergeCell ref="A4:B5"/>
    <mergeCell ref="A6:B7"/>
    <mergeCell ref="A8:B9"/>
    <mergeCell ref="H2:H3"/>
    <mergeCell ref="H4:H5"/>
    <mergeCell ref="H6:H7"/>
    <mergeCell ref="H8:H9"/>
    <mergeCell ref="I2:I3"/>
    <mergeCell ref="I4:I5"/>
    <mergeCell ref="I6:I7"/>
    <mergeCell ref="I8:I9"/>
  </mergeCells>
  <printOptions/>
  <pageMargins left="0.393999993801117" right="0.393999993801117" top="0.591000020503998" bottom="0.591000020503998" header="0" footer="0"/>
  <pageSetup fitToHeight="0" fitToWidth="1" horizontalDpi="600" verticalDpi="600" orientation="landscape"/>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35"/>
  <sheetViews>
    <sheetView workbookViewId="0" topLeftCell="A1">
      <selection activeCell="A35" sqref="A35:I35"/>
    </sheetView>
  </sheetViews>
  <sheetFormatPr defaultColWidth="12.140625" defaultRowHeight="15" customHeight="1"/>
  <cols>
    <col min="1" max="1" width="9.140625" style="0" customWidth="1"/>
    <col min="2" max="2" width="12.8515625" style="0" customWidth="1"/>
    <col min="3" max="3" width="27.140625" style="0" customWidth="1"/>
    <col min="4" max="4" width="10.00390625" style="0" customWidth="1"/>
    <col min="5" max="5" width="14.00390625" style="0" customWidth="1"/>
    <col min="6" max="6" width="27.140625" style="0" customWidth="1"/>
    <col min="7" max="7" width="9.140625" style="0" customWidth="1"/>
    <col min="8" max="8" width="12.8515625" style="0" customWidth="1"/>
    <col min="9" max="9" width="27.140625" style="0" customWidth="1"/>
  </cols>
  <sheetData>
    <row r="1" spans="1:9" ht="54.75" customHeight="1">
      <c r="A1" s="205" t="s">
        <v>1936</v>
      </c>
      <c r="B1" s="139"/>
      <c r="C1" s="139"/>
      <c r="D1" s="139"/>
      <c r="E1" s="139"/>
      <c r="F1" s="139"/>
      <c r="G1" s="139"/>
      <c r="H1" s="139"/>
      <c r="I1" s="139"/>
    </row>
    <row r="2" spans="1:9" ht="15">
      <c r="A2" s="140" t="s">
        <v>1</v>
      </c>
      <c r="B2" s="141"/>
      <c r="C2" s="149" t="str">
        <f>'Stavební rozpočet'!D2</f>
        <v>Vybudování a rekonstrukce odborných učeben v ZŠ TGM</v>
      </c>
      <c r="D2" s="150"/>
      <c r="E2" s="147" t="s">
        <v>5</v>
      </c>
      <c r="F2" s="147" t="str">
        <f>'Stavební rozpočet'!J2</f>
        <v>Město ivančice</v>
      </c>
      <c r="G2" s="141"/>
      <c r="H2" s="147" t="s">
        <v>1870</v>
      </c>
      <c r="I2" s="152" t="s">
        <v>1871</v>
      </c>
    </row>
    <row r="3" spans="1:9" ht="15" customHeight="1">
      <c r="A3" s="142"/>
      <c r="B3" s="143"/>
      <c r="C3" s="151"/>
      <c r="D3" s="151"/>
      <c r="E3" s="143"/>
      <c r="F3" s="143"/>
      <c r="G3" s="143"/>
      <c r="H3" s="143"/>
      <c r="I3" s="153"/>
    </row>
    <row r="4" spans="1:9" ht="15">
      <c r="A4" s="144" t="s">
        <v>7</v>
      </c>
      <c r="B4" s="143"/>
      <c r="C4" s="148" t="str">
        <f>'Stavební rozpočet'!D4</f>
        <v>Stavební úpravy</v>
      </c>
      <c r="D4" s="143"/>
      <c r="E4" s="148" t="s">
        <v>11</v>
      </c>
      <c r="F4" s="148" t="str">
        <f>'Stavební rozpočet'!J4</f>
        <v>Tomáš Sýkora</v>
      </c>
      <c r="G4" s="143"/>
      <c r="H4" s="148" t="s">
        <v>1870</v>
      </c>
      <c r="I4" s="153" t="s">
        <v>1872</v>
      </c>
    </row>
    <row r="5" spans="1:9" ht="15" customHeight="1">
      <c r="A5" s="142"/>
      <c r="B5" s="143"/>
      <c r="C5" s="143"/>
      <c r="D5" s="143"/>
      <c r="E5" s="143"/>
      <c r="F5" s="143"/>
      <c r="G5" s="143"/>
      <c r="H5" s="143"/>
      <c r="I5" s="153"/>
    </row>
    <row r="6" spans="1:9" ht="15">
      <c r="A6" s="144" t="s">
        <v>13</v>
      </c>
      <c r="B6" s="143"/>
      <c r="C6" s="148" t="str">
        <f>'Stavební rozpočet'!D6</f>
        <v>ZŠ TGM Ivančice; Na Brněnce 1, 664 91 Ivančice</v>
      </c>
      <c r="D6" s="143"/>
      <c r="E6" s="148" t="s">
        <v>16</v>
      </c>
      <c r="F6" s="148" t="str">
        <f>'Stavební rozpočet'!J6</f>
        <v> </v>
      </c>
      <c r="G6" s="143"/>
      <c r="H6" s="148" t="s">
        <v>1870</v>
      </c>
      <c r="I6" s="153" t="s">
        <v>52</v>
      </c>
    </row>
    <row r="7" spans="1:9" ht="15" customHeight="1">
      <c r="A7" s="142"/>
      <c r="B7" s="143"/>
      <c r="C7" s="143"/>
      <c r="D7" s="143"/>
      <c r="E7" s="143"/>
      <c r="F7" s="143"/>
      <c r="G7" s="143"/>
      <c r="H7" s="143"/>
      <c r="I7" s="153"/>
    </row>
    <row r="8" spans="1:9" ht="15">
      <c r="A8" s="144" t="s">
        <v>9</v>
      </c>
      <c r="B8" s="143"/>
      <c r="C8" s="148" t="str">
        <f>'Stavební rozpočet'!H4</f>
        <v>22.09.2023</v>
      </c>
      <c r="D8" s="143"/>
      <c r="E8" s="148" t="s">
        <v>15</v>
      </c>
      <c r="F8" s="148" t="str">
        <f>'Stavební rozpočet'!H6</f>
        <v xml:space="preserve"> </v>
      </c>
      <c r="G8" s="143"/>
      <c r="H8" s="143" t="s">
        <v>1873</v>
      </c>
      <c r="I8" s="207">
        <v>60</v>
      </c>
    </row>
    <row r="9" spans="1:9" ht="15">
      <c r="A9" s="142"/>
      <c r="B9" s="143"/>
      <c r="C9" s="143"/>
      <c r="D9" s="143"/>
      <c r="E9" s="143"/>
      <c r="F9" s="143"/>
      <c r="G9" s="143"/>
      <c r="H9" s="143"/>
      <c r="I9" s="153"/>
    </row>
    <row r="10" spans="1:9" ht="15">
      <c r="A10" s="144" t="s">
        <v>18</v>
      </c>
      <c r="B10" s="143"/>
      <c r="C10" s="148" t="str">
        <f>'Stavební rozpočet'!D8</f>
        <v>8013212</v>
      </c>
      <c r="D10" s="143"/>
      <c r="E10" s="148" t="s">
        <v>21</v>
      </c>
      <c r="F10" s="148" t="str">
        <f>'Stavební rozpočet'!J8</f>
        <v>Tomáš Sýkora</v>
      </c>
      <c r="G10" s="143"/>
      <c r="H10" s="143" t="s">
        <v>1874</v>
      </c>
      <c r="I10" s="208" t="str">
        <f>'Stavební rozpočet'!H8</f>
        <v>22.09.2023</v>
      </c>
    </row>
    <row r="11" spans="1:9" ht="15">
      <c r="A11" s="206"/>
      <c r="B11" s="203"/>
      <c r="C11" s="203"/>
      <c r="D11" s="203"/>
      <c r="E11" s="203"/>
      <c r="F11" s="203"/>
      <c r="G11" s="203"/>
      <c r="H11" s="203"/>
      <c r="I11" s="209"/>
    </row>
    <row r="12" spans="1:9" ht="23.25">
      <c r="A12" s="210" t="s">
        <v>1875</v>
      </c>
      <c r="B12" s="210"/>
      <c r="C12" s="210"/>
      <c r="D12" s="210"/>
      <c r="E12" s="210"/>
      <c r="F12" s="210"/>
      <c r="G12" s="210"/>
      <c r="H12" s="210"/>
      <c r="I12" s="210"/>
    </row>
    <row r="13" spans="1:9" ht="26.25" customHeight="1">
      <c r="A13" s="118" t="s">
        <v>1876</v>
      </c>
      <c r="B13" s="211" t="s">
        <v>1877</v>
      </c>
      <c r="C13" s="212"/>
      <c r="D13" s="119" t="s">
        <v>1878</v>
      </c>
      <c r="E13" s="211" t="s">
        <v>1879</v>
      </c>
      <c r="F13" s="212"/>
      <c r="G13" s="119" t="s">
        <v>1880</v>
      </c>
      <c r="H13" s="211" t="s">
        <v>1881</v>
      </c>
      <c r="I13" s="212"/>
    </row>
    <row r="14" spans="1:9" ht="15.75">
      <c r="A14" s="120" t="s">
        <v>1882</v>
      </c>
      <c r="B14" s="121" t="s">
        <v>1883</v>
      </c>
      <c r="C14" s="122">
        <f>SUMIF('Stavební rozpočet'!AI12:AI1282,"03_1",'Stavební rozpočet'!AB12:AB1282)</f>
        <v>0</v>
      </c>
      <c r="D14" s="219" t="s">
        <v>1884</v>
      </c>
      <c r="E14" s="220"/>
      <c r="F14" s="122">
        <f>'VORN objektu (03_1)'!I15</f>
        <v>0</v>
      </c>
      <c r="G14" s="219" t="s">
        <v>1885</v>
      </c>
      <c r="H14" s="220"/>
      <c r="I14" s="123">
        <f>'VORN objektu (03_1)'!I21</f>
        <v>0</v>
      </c>
    </row>
    <row r="15" spans="1:9" ht="15.75">
      <c r="A15" s="124" t="s">
        <v>52</v>
      </c>
      <c r="B15" s="121" t="s">
        <v>37</v>
      </c>
      <c r="C15" s="122">
        <f>SUMIF('Stavební rozpočet'!AI12:AI1282,"03_1",'Stavební rozpočet'!AC12:AC1282)</f>
        <v>0</v>
      </c>
      <c r="D15" s="219" t="s">
        <v>1886</v>
      </c>
      <c r="E15" s="220"/>
      <c r="F15" s="122">
        <f>'VORN objektu (03_1)'!I16</f>
        <v>0</v>
      </c>
      <c r="G15" s="219" t="s">
        <v>1887</v>
      </c>
      <c r="H15" s="220"/>
      <c r="I15" s="123">
        <f>'VORN objektu (03_1)'!I22</f>
        <v>0</v>
      </c>
    </row>
    <row r="16" spans="1:9" ht="15.75">
      <c r="A16" s="120" t="s">
        <v>1888</v>
      </c>
      <c r="B16" s="121" t="s">
        <v>1883</v>
      </c>
      <c r="C16" s="122">
        <f>SUMIF('Stavební rozpočet'!AI12:AI1282,"03_1",'Stavební rozpočet'!AD12:AD1282)</f>
        <v>0</v>
      </c>
      <c r="D16" s="219" t="s">
        <v>1889</v>
      </c>
      <c r="E16" s="220"/>
      <c r="F16" s="122">
        <f>'VORN objektu (03_1)'!I17</f>
        <v>0</v>
      </c>
      <c r="G16" s="219" t="s">
        <v>1890</v>
      </c>
      <c r="H16" s="220"/>
      <c r="I16" s="123">
        <f>'VORN objektu (03_1)'!I23</f>
        <v>0</v>
      </c>
    </row>
    <row r="17" spans="1:9" ht="15.75">
      <c r="A17" s="124" t="s">
        <v>52</v>
      </c>
      <c r="B17" s="121" t="s">
        <v>37</v>
      </c>
      <c r="C17" s="122">
        <f>SUMIF('Stavební rozpočet'!AI12:AI1282,"03_1",'Stavební rozpočet'!AE12:AE1282)</f>
        <v>0</v>
      </c>
      <c r="D17" s="219" t="s">
        <v>52</v>
      </c>
      <c r="E17" s="220"/>
      <c r="F17" s="123" t="s">
        <v>52</v>
      </c>
      <c r="G17" s="219" t="s">
        <v>1891</v>
      </c>
      <c r="H17" s="220"/>
      <c r="I17" s="123">
        <f>'VORN objektu (03_1)'!I24</f>
        <v>0</v>
      </c>
    </row>
    <row r="18" spans="1:9" ht="15.75">
      <c r="A18" s="120" t="s">
        <v>1892</v>
      </c>
      <c r="B18" s="121" t="s">
        <v>1883</v>
      </c>
      <c r="C18" s="122">
        <f>SUMIF('Stavební rozpočet'!AI12:AI1282,"03_1",'Stavební rozpočet'!AF12:AF1282)</f>
        <v>0</v>
      </c>
      <c r="D18" s="219" t="s">
        <v>52</v>
      </c>
      <c r="E18" s="220"/>
      <c r="F18" s="123" t="s">
        <v>52</v>
      </c>
      <c r="G18" s="219" t="s">
        <v>1893</v>
      </c>
      <c r="H18" s="220"/>
      <c r="I18" s="123">
        <f>'VORN objektu (03_1)'!I25</f>
        <v>0</v>
      </c>
    </row>
    <row r="19" spans="1:9" ht="15.75">
      <c r="A19" s="124" t="s">
        <v>52</v>
      </c>
      <c r="B19" s="121" t="s">
        <v>37</v>
      </c>
      <c r="C19" s="122">
        <f>SUMIF('Stavební rozpočet'!AI12:AI1282,"03_1",'Stavební rozpočet'!AG12:AG1282)</f>
        <v>0</v>
      </c>
      <c r="D19" s="219" t="s">
        <v>52</v>
      </c>
      <c r="E19" s="220"/>
      <c r="F19" s="123" t="s">
        <v>52</v>
      </c>
      <c r="G19" s="219" t="s">
        <v>1894</v>
      </c>
      <c r="H19" s="220"/>
      <c r="I19" s="123">
        <f>'VORN objektu (03_1)'!I26</f>
        <v>0</v>
      </c>
    </row>
    <row r="20" spans="1:9" ht="15.75">
      <c r="A20" s="213" t="s">
        <v>1895</v>
      </c>
      <c r="B20" s="214"/>
      <c r="C20" s="122">
        <f>SUMIF('Stavební rozpočet'!AI12:AI1282,"03_1",'Stavební rozpočet'!AH12:AH1282)</f>
        <v>0</v>
      </c>
      <c r="D20" s="219" t="s">
        <v>52</v>
      </c>
      <c r="E20" s="220"/>
      <c r="F20" s="123" t="s">
        <v>52</v>
      </c>
      <c r="G20" s="219" t="s">
        <v>52</v>
      </c>
      <c r="H20" s="220"/>
      <c r="I20" s="123" t="s">
        <v>52</v>
      </c>
    </row>
    <row r="21" spans="1:9" ht="15.75">
      <c r="A21" s="215" t="s">
        <v>1896</v>
      </c>
      <c r="B21" s="216"/>
      <c r="C21" s="122">
        <f>SUMIF('Stavební rozpočet'!AI12:AI1282,"03_1",'Stavební rozpočet'!Z12:Z1282)</f>
        <v>0</v>
      </c>
      <c r="D21" s="221" t="s">
        <v>52</v>
      </c>
      <c r="E21" s="222"/>
      <c r="F21" s="126" t="s">
        <v>52</v>
      </c>
      <c r="G21" s="221" t="s">
        <v>52</v>
      </c>
      <c r="H21" s="222"/>
      <c r="I21" s="126" t="s">
        <v>52</v>
      </c>
    </row>
    <row r="22" spans="1:9" ht="16.5" customHeight="1">
      <c r="A22" s="217" t="s">
        <v>1897</v>
      </c>
      <c r="B22" s="218"/>
      <c r="C22" s="122">
        <f>SUM(C14:C21)</f>
        <v>0</v>
      </c>
      <c r="D22" s="223" t="s">
        <v>1898</v>
      </c>
      <c r="E22" s="218"/>
      <c r="F22" s="127">
        <f>SUM(F14:F21)</f>
        <v>0</v>
      </c>
      <c r="G22" s="223" t="s">
        <v>1899</v>
      </c>
      <c r="H22" s="218"/>
      <c r="I22" s="127">
        <f>SUM(I14:I21)</f>
        <v>0</v>
      </c>
    </row>
    <row r="23" spans="7:9" ht="15.75">
      <c r="G23" s="213" t="s">
        <v>1902</v>
      </c>
      <c r="H23" s="214"/>
      <c r="I23" s="122">
        <f>'VORN objektu (03_1)'!I36</f>
        <v>0</v>
      </c>
    </row>
    <row r="25" spans="1:3" ht="15.75">
      <c r="A25" s="225" t="s">
        <v>1904</v>
      </c>
      <c r="B25" s="226"/>
      <c r="C25" s="128">
        <f>('Stavební rozpočet'!AS652+'Stavební rozpočet'!AS656+'Stavební rozpočet'!AS660+'Stavební rozpočet'!AS673+'Stavební rozpočet'!AS681+'Stavební rozpočet'!AS695+'Stavební rozpočet'!AS726+'Stavební rozpočet'!AS747+'Stavební rozpočet'!AS760+'Stavební rozpočet'!AS783+'Stavební rozpočet'!AS790+'Stavební rozpočet'!AS793+'Stavební rozpočet'!AS798+'Stavební rozpočet'!AS801)</f>
        <v>0</v>
      </c>
    </row>
    <row r="26" spans="1:9" ht="15.75">
      <c r="A26" s="227" t="s">
        <v>1905</v>
      </c>
      <c r="B26" s="228"/>
      <c r="C26" s="129">
        <f>('Stavební rozpočet'!AT652+'Stavební rozpočet'!AT656+'Stavební rozpočet'!AT660+'Stavební rozpočet'!AT673+'Stavební rozpočet'!AT681+'Stavební rozpočet'!AT695+'Stavební rozpočet'!AT726+'Stavební rozpočet'!AT747+'Stavební rozpočet'!AT760+'Stavební rozpočet'!AT783+'Stavební rozpočet'!AT790+'Stavební rozpočet'!AT793+'Stavební rozpočet'!AT798+'Stavební rozpočet'!AT801)</f>
        <v>0</v>
      </c>
      <c r="D26" s="229" t="s">
        <v>1906</v>
      </c>
      <c r="E26" s="226"/>
      <c r="F26" s="128">
        <f>ROUND(C26*(12/100),2)</f>
        <v>0</v>
      </c>
      <c r="G26" s="229" t="s">
        <v>1907</v>
      </c>
      <c r="H26" s="226"/>
      <c r="I26" s="128">
        <f>SUM(C25:C27)</f>
        <v>0</v>
      </c>
    </row>
    <row r="27" spans="1:9" ht="15.75">
      <c r="A27" s="227" t="s">
        <v>1908</v>
      </c>
      <c r="B27" s="228"/>
      <c r="C27" s="129">
        <f>('Stavební rozpočet'!AU652+'Stavební rozpočet'!AU656+'Stavební rozpočet'!AU660+'Stavební rozpočet'!AU673+'Stavební rozpočet'!AU681+'Stavební rozpočet'!AU695+'Stavební rozpočet'!AU726+'Stavební rozpočet'!AU747+'Stavební rozpočet'!AU760+'Stavební rozpočet'!AU783+'Stavební rozpočet'!AU790+'Stavební rozpočet'!AU793+'Stavební rozpočet'!AU798+'Stavební rozpočet'!AU801)+(F22+I22+F23+I23+I24)</f>
        <v>0</v>
      </c>
      <c r="D27" s="230" t="s">
        <v>1909</v>
      </c>
      <c r="E27" s="228"/>
      <c r="F27" s="129">
        <f>ROUND(C27*(21/100),2)</f>
        <v>0</v>
      </c>
      <c r="G27" s="230" t="s">
        <v>1910</v>
      </c>
      <c r="H27" s="228"/>
      <c r="I27" s="129">
        <f>SUM(F26:F27)+I26</f>
        <v>0</v>
      </c>
    </row>
    <row r="29" spans="1:9" ht="15">
      <c r="A29" s="231" t="s">
        <v>1911</v>
      </c>
      <c r="B29" s="232"/>
      <c r="C29" s="233"/>
      <c r="D29" s="240" t="s">
        <v>1912</v>
      </c>
      <c r="E29" s="232"/>
      <c r="F29" s="233"/>
      <c r="G29" s="240" t="s">
        <v>1913</v>
      </c>
      <c r="H29" s="232"/>
      <c r="I29" s="233"/>
    </row>
    <row r="30" spans="1:9" ht="15">
      <c r="A30" s="234" t="s">
        <v>52</v>
      </c>
      <c r="B30" s="235"/>
      <c r="C30" s="236"/>
      <c r="D30" s="241" t="s">
        <v>52</v>
      </c>
      <c r="E30" s="235"/>
      <c r="F30" s="236"/>
      <c r="G30" s="241" t="s">
        <v>52</v>
      </c>
      <c r="H30" s="235"/>
      <c r="I30" s="236"/>
    </row>
    <row r="31" spans="1:9" ht="15">
      <c r="A31" s="234" t="s">
        <v>52</v>
      </c>
      <c r="B31" s="235"/>
      <c r="C31" s="236"/>
      <c r="D31" s="241" t="s">
        <v>52</v>
      </c>
      <c r="E31" s="235"/>
      <c r="F31" s="236"/>
      <c r="G31" s="241" t="s">
        <v>52</v>
      </c>
      <c r="H31" s="235"/>
      <c r="I31" s="236"/>
    </row>
    <row r="32" spans="1:9" ht="15">
      <c r="A32" s="234" t="s">
        <v>52</v>
      </c>
      <c r="B32" s="235"/>
      <c r="C32" s="236"/>
      <c r="D32" s="241" t="s">
        <v>52</v>
      </c>
      <c r="E32" s="235"/>
      <c r="F32" s="236"/>
      <c r="G32" s="241" t="s">
        <v>52</v>
      </c>
      <c r="H32" s="235"/>
      <c r="I32" s="236"/>
    </row>
    <row r="33" spans="1:9" ht="15">
      <c r="A33" s="237" t="s">
        <v>1914</v>
      </c>
      <c r="B33" s="238"/>
      <c r="C33" s="239"/>
      <c r="D33" s="242" t="s">
        <v>1914</v>
      </c>
      <c r="E33" s="238"/>
      <c r="F33" s="239"/>
      <c r="G33" s="242" t="s">
        <v>1914</v>
      </c>
      <c r="H33" s="238"/>
      <c r="I33" s="239"/>
    </row>
    <row r="34" ht="15">
      <c r="A34" s="130" t="s">
        <v>1868</v>
      </c>
    </row>
    <row r="35" spans="1:9" ht="12.75" customHeight="1">
      <c r="A35" s="148" t="s">
        <v>52</v>
      </c>
      <c r="B35" s="143"/>
      <c r="C35" s="143"/>
      <c r="D35" s="143"/>
      <c r="E35" s="143"/>
      <c r="F35" s="143"/>
      <c r="G35" s="143"/>
      <c r="H35" s="143"/>
      <c r="I35" s="143"/>
    </row>
  </sheetData>
  <mergeCells count="80">
    <mergeCell ref="G32:I32"/>
    <mergeCell ref="G33:I33"/>
    <mergeCell ref="A35:I35"/>
    <mergeCell ref="A32:C32"/>
    <mergeCell ref="A33:C33"/>
    <mergeCell ref="D29:F29"/>
    <mergeCell ref="D30:F30"/>
    <mergeCell ref="D31:F31"/>
    <mergeCell ref="D32:F32"/>
    <mergeCell ref="D33:F33"/>
    <mergeCell ref="G26:H26"/>
    <mergeCell ref="G27:H27"/>
    <mergeCell ref="A29:C29"/>
    <mergeCell ref="A30:C30"/>
    <mergeCell ref="A31:C31"/>
    <mergeCell ref="G29:I29"/>
    <mergeCell ref="G30:I30"/>
    <mergeCell ref="G31:I31"/>
    <mergeCell ref="A25:B25"/>
    <mergeCell ref="A26:B26"/>
    <mergeCell ref="A27:B27"/>
    <mergeCell ref="D26:E26"/>
    <mergeCell ref="D27:E27"/>
    <mergeCell ref="G19:H19"/>
    <mergeCell ref="G20:H20"/>
    <mergeCell ref="G21:H21"/>
    <mergeCell ref="G22:H22"/>
    <mergeCell ref="G23:H23"/>
    <mergeCell ref="G14:H14"/>
    <mergeCell ref="G15:H15"/>
    <mergeCell ref="G16:H16"/>
    <mergeCell ref="G17:H17"/>
    <mergeCell ref="G18:H18"/>
    <mergeCell ref="A20:B20"/>
    <mergeCell ref="A21:B21"/>
    <mergeCell ref="A22:B22"/>
    <mergeCell ref="D14:E14"/>
    <mergeCell ref="D15:E15"/>
    <mergeCell ref="D16:E16"/>
    <mergeCell ref="D17:E17"/>
    <mergeCell ref="D18:E18"/>
    <mergeCell ref="D19:E19"/>
    <mergeCell ref="D20:E20"/>
    <mergeCell ref="D21:E21"/>
    <mergeCell ref="D22:E22"/>
    <mergeCell ref="I10:I11"/>
    <mergeCell ref="A12:I12"/>
    <mergeCell ref="B13:C13"/>
    <mergeCell ref="E13:F13"/>
    <mergeCell ref="H13:I13"/>
    <mergeCell ref="F10:G11"/>
    <mergeCell ref="H2:H3"/>
    <mergeCell ref="H4:H5"/>
    <mergeCell ref="H6:H7"/>
    <mergeCell ref="H8:H9"/>
    <mergeCell ref="H10:H11"/>
    <mergeCell ref="A10:B11"/>
    <mergeCell ref="E2:E3"/>
    <mergeCell ref="E4:E5"/>
    <mergeCell ref="E6:E7"/>
    <mergeCell ref="E8:E9"/>
    <mergeCell ref="E10:E11"/>
    <mergeCell ref="C2:D3"/>
    <mergeCell ref="C4:D5"/>
    <mergeCell ref="C6:D7"/>
    <mergeCell ref="C8:D9"/>
    <mergeCell ref="C10:D11"/>
    <mergeCell ref="A1:I1"/>
    <mergeCell ref="A2:B3"/>
    <mergeCell ref="A4:B5"/>
    <mergeCell ref="A6:B7"/>
    <mergeCell ref="A8:B9"/>
    <mergeCell ref="F2:G3"/>
    <mergeCell ref="F4:G5"/>
    <mergeCell ref="F6:G7"/>
    <mergeCell ref="F8:G9"/>
    <mergeCell ref="I2:I3"/>
    <mergeCell ref="I4:I5"/>
    <mergeCell ref="I6:I7"/>
    <mergeCell ref="I8:I9"/>
  </mergeCells>
  <printOptions/>
  <pageMargins left="0.393999993801117" right="0.393999993801117" top="0.591000020503998" bottom="0.591000020503998" header="0" footer="0"/>
  <pageSetup fitToHeight="1" fitToWidth="1" horizontalDpi="600" verticalDpi="600" orientation="landscape"/>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36"/>
  <sheetViews>
    <sheetView workbookViewId="0" topLeftCell="A1">
      <selection activeCell="A36" sqref="A36:E36"/>
    </sheetView>
  </sheetViews>
  <sheetFormatPr defaultColWidth="12.140625" defaultRowHeight="15" customHeight="1"/>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7.140625" style="0" customWidth="1"/>
    <col min="9" max="9" width="22.8515625" style="0" customWidth="1"/>
  </cols>
  <sheetData>
    <row r="1" spans="1:9" ht="54.75" customHeight="1">
      <c r="A1" s="205" t="s">
        <v>1937</v>
      </c>
      <c r="B1" s="139"/>
      <c r="C1" s="139"/>
      <c r="D1" s="139"/>
      <c r="E1" s="139"/>
      <c r="F1" s="139"/>
      <c r="G1" s="139"/>
      <c r="H1" s="139"/>
      <c r="I1" s="139"/>
    </row>
    <row r="2" spans="1:9" ht="15">
      <c r="A2" s="140" t="s">
        <v>1</v>
      </c>
      <c r="B2" s="141"/>
      <c r="C2" s="149" t="str">
        <f>'Stavební rozpočet'!D2</f>
        <v>Vybudování a rekonstrukce odborných učeben v ZŠ TGM</v>
      </c>
      <c r="D2" s="150"/>
      <c r="E2" s="147" t="s">
        <v>5</v>
      </c>
      <c r="F2" s="147" t="str">
        <f>'Stavební rozpočet'!J2</f>
        <v>Město ivančice</v>
      </c>
      <c r="G2" s="141"/>
      <c r="H2" s="147" t="s">
        <v>1870</v>
      </c>
      <c r="I2" s="152" t="s">
        <v>1871</v>
      </c>
    </row>
    <row r="3" spans="1:9" ht="15" customHeight="1">
      <c r="A3" s="142"/>
      <c r="B3" s="143"/>
      <c r="C3" s="151"/>
      <c r="D3" s="151"/>
      <c r="E3" s="143"/>
      <c r="F3" s="143"/>
      <c r="G3" s="143"/>
      <c r="H3" s="143"/>
      <c r="I3" s="153"/>
    </row>
    <row r="4" spans="1:9" ht="15">
      <c r="A4" s="144" t="s">
        <v>7</v>
      </c>
      <c r="B4" s="143"/>
      <c r="C4" s="148" t="str">
        <f>'Stavební rozpočet'!D4</f>
        <v>Stavební úpravy</v>
      </c>
      <c r="D4" s="143"/>
      <c r="E4" s="148" t="s">
        <v>11</v>
      </c>
      <c r="F4" s="148" t="str">
        <f>'Stavební rozpočet'!J4</f>
        <v>Tomáš Sýkora</v>
      </c>
      <c r="G4" s="143"/>
      <c r="H4" s="148" t="s">
        <v>1870</v>
      </c>
      <c r="I4" s="153" t="s">
        <v>1872</v>
      </c>
    </row>
    <row r="5" spans="1:9" ht="15" customHeight="1">
      <c r="A5" s="142"/>
      <c r="B5" s="143"/>
      <c r="C5" s="143"/>
      <c r="D5" s="143"/>
      <c r="E5" s="143"/>
      <c r="F5" s="143"/>
      <c r="G5" s="143"/>
      <c r="H5" s="143"/>
      <c r="I5" s="153"/>
    </row>
    <row r="6" spans="1:9" ht="15">
      <c r="A6" s="144" t="s">
        <v>13</v>
      </c>
      <c r="B6" s="143"/>
      <c r="C6" s="148" t="str">
        <f>'Stavební rozpočet'!D6</f>
        <v>ZŠ TGM Ivančice; Na Brněnce 1, 664 91 Ivančice</v>
      </c>
      <c r="D6" s="143"/>
      <c r="E6" s="148" t="s">
        <v>16</v>
      </c>
      <c r="F6" s="148" t="str">
        <f>'Stavební rozpočet'!J6</f>
        <v> </v>
      </c>
      <c r="G6" s="143"/>
      <c r="H6" s="148" t="s">
        <v>1870</v>
      </c>
      <c r="I6" s="153" t="s">
        <v>52</v>
      </c>
    </row>
    <row r="7" spans="1:9" ht="15" customHeight="1">
      <c r="A7" s="142"/>
      <c r="B7" s="143"/>
      <c r="C7" s="143"/>
      <c r="D7" s="143"/>
      <c r="E7" s="143"/>
      <c r="F7" s="143"/>
      <c r="G7" s="143"/>
      <c r="H7" s="143"/>
      <c r="I7" s="153"/>
    </row>
    <row r="8" spans="1:9" ht="15">
      <c r="A8" s="144" t="s">
        <v>9</v>
      </c>
      <c r="B8" s="143"/>
      <c r="C8" s="148" t="str">
        <f>'Stavební rozpočet'!H4</f>
        <v>22.09.2023</v>
      </c>
      <c r="D8" s="143"/>
      <c r="E8" s="148" t="s">
        <v>15</v>
      </c>
      <c r="F8" s="148" t="str">
        <f>'Stavební rozpočet'!H6</f>
        <v xml:space="preserve"> </v>
      </c>
      <c r="G8" s="143"/>
      <c r="H8" s="143" t="s">
        <v>1873</v>
      </c>
      <c r="I8" s="207">
        <v>60</v>
      </c>
    </row>
    <row r="9" spans="1:9" ht="15">
      <c r="A9" s="142"/>
      <c r="B9" s="143"/>
      <c r="C9" s="143"/>
      <c r="D9" s="143"/>
      <c r="E9" s="143"/>
      <c r="F9" s="143"/>
      <c r="G9" s="143"/>
      <c r="H9" s="143"/>
      <c r="I9" s="153"/>
    </row>
    <row r="10" spans="1:9" ht="15">
      <c r="A10" s="144" t="s">
        <v>18</v>
      </c>
      <c r="B10" s="143"/>
      <c r="C10" s="148" t="str">
        <f>'Stavební rozpočet'!D8</f>
        <v>8013212</v>
      </c>
      <c r="D10" s="143"/>
      <c r="E10" s="148" t="s">
        <v>21</v>
      </c>
      <c r="F10" s="148" t="str">
        <f>'Stavební rozpočet'!J8</f>
        <v>Tomáš Sýkora</v>
      </c>
      <c r="G10" s="143"/>
      <c r="H10" s="143" t="s">
        <v>1874</v>
      </c>
      <c r="I10" s="208" t="str">
        <f>'Stavební rozpočet'!H8</f>
        <v>22.09.2023</v>
      </c>
    </row>
    <row r="11" spans="1:9" ht="15">
      <c r="A11" s="206"/>
      <c r="B11" s="203"/>
      <c r="C11" s="203"/>
      <c r="D11" s="203"/>
      <c r="E11" s="203"/>
      <c r="F11" s="203"/>
      <c r="G11" s="203"/>
      <c r="H11" s="203"/>
      <c r="I11" s="209"/>
    </row>
    <row r="13" spans="1:5" ht="15.75">
      <c r="A13" s="243" t="s">
        <v>1916</v>
      </c>
      <c r="B13" s="243"/>
      <c r="C13" s="243"/>
      <c r="D13" s="243"/>
      <c r="E13" s="243"/>
    </row>
    <row r="14" spans="1:9" ht="15">
      <c r="A14" s="244" t="s">
        <v>1917</v>
      </c>
      <c r="B14" s="245"/>
      <c r="C14" s="245"/>
      <c r="D14" s="245"/>
      <c r="E14" s="246"/>
      <c r="F14" s="131" t="s">
        <v>1918</v>
      </c>
      <c r="G14" s="131" t="s">
        <v>951</v>
      </c>
      <c r="H14" s="131" t="s">
        <v>1919</v>
      </c>
      <c r="I14" s="131" t="s">
        <v>1918</v>
      </c>
    </row>
    <row r="15" spans="1:9" ht="15">
      <c r="A15" s="247" t="s">
        <v>1884</v>
      </c>
      <c r="B15" s="248"/>
      <c r="C15" s="248"/>
      <c r="D15" s="248"/>
      <c r="E15" s="249"/>
      <c r="F15" s="132">
        <v>0</v>
      </c>
      <c r="G15" s="133" t="s">
        <v>52</v>
      </c>
      <c r="H15" s="133" t="s">
        <v>52</v>
      </c>
      <c r="I15" s="132">
        <f>F15</f>
        <v>0</v>
      </c>
    </row>
    <row r="16" spans="1:9" ht="15">
      <c r="A16" s="247" t="s">
        <v>1886</v>
      </c>
      <c r="B16" s="248"/>
      <c r="C16" s="248"/>
      <c r="D16" s="248"/>
      <c r="E16" s="249"/>
      <c r="F16" s="132">
        <v>0</v>
      </c>
      <c r="G16" s="133" t="s">
        <v>52</v>
      </c>
      <c r="H16" s="133" t="s">
        <v>52</v>
      </c>
      <c r="I16" s="132">
        <f>F16</f>
        <v>0</v>
      </c>
    </row>
    <row r="17" spans="1:9" ht="15">
      <c r="A17" s="250" t="s">
        <v>1889</v>
      </c>
      <c r="B17" s="251"/>
      <c r="C17" s="251"/>
      <c r="D17" s="251"/>
      <c r="E17" s="252"/>
      <c r="F17" s="134">
        <v>0</v>
      </c>
      <c r="G17" s="135" t="s">
        <v>52</v>
      </c>
      <c r="H17" s="135" t="s">
        <v>52</v>
      </c>
      <c r="I17" s="134">
        <f>F17</f>
        <v>0</v>
      </c>
    </row>
    <row r="18" spans="1:9" ht="15">
      <c r="A18" s="253" t="s">
        <v>1920</v>
      </c>
      <c r="B18" s="254"/>
      <c r="C18" s="254"/>
      <c r="D18" s="254"/>
      <c r="E18" s="255"/>
      <c r="F18" s="136" t="s">
        <v>52</v>
      </c>
      <c r="G18" s="137" t="s">
        <v>52</v>
      </c>
      <c r="H18" s="137" t="s">
        <v>52</v>
      </c>
      <c r="I18" s="138">
        <f>SUM(I15:I17)</f>
        <v>0</v>
      </c>
    </row>
    <row r="20" spans="1:9" ht="15">
      <c r="A20" s="244" t="s">
        <v>1881</v>
      </c>
      <c r="B20" s="245"/>
      <c r="C20" s="245"/>
      <c r="D20" s="245"/>
      <c r="E20" s="246"/>
      <c r="F20" s="131" t="s">
        <v>1918</v>
      </c>
      <c r="G20" s="131" t="s">
        <v>951</v>
      </c>
      <c r="H20" s="131" t="s">
        <v>1919</v>
      </c>
      <c r="I20" s="131" t="s">
        <v>1918</v>
      </c>
    </row>
    <row r="21" spans="1:9" ht="15">
      <c r="A21" s="247" t="s">
        <v>1885</v>
      </c>
      <c r="B21" s="248"/>
      <c r="C21" s="248"/>
      <c r="D21" s="248"/>
      <c r="E21" s="249"/>
      <c r="F21" s="132">
        <v>0</v>
      </c>
      <c r="G21" s="133" t="s">
        <v>52</v>
      </c>
      <c r="H21" s="133" t="s">
        <v>52</v>
      </c>
      <c r="I21" s="132">
        <f aca="true" t="shared" si="0" ref="I21:I26">F21</f>
        <v>0</v>
      </c>
    </row>
    <row r="22" spans="1:9" ht="15">
      <c r="A22" s="247" t="s">
        <v>1887</v>
      </c>
      <c r="B22" s="248"/>
      <c r="C22" s="248"/>
      <c r="D22" s="248"/>
      <c r="E22" s="249"/>
      <c r="F22" s="132">
        <v>0</v>
      </c>
      <c r="G22" s="133" t="s">
        <v>52</v>
      </c>
      <c r="H22" s="133" t="s">
        <v>52</v>
      </c>
      <c r="I22" s="132">
        <f t="shared" si="0"/>
        <v>0</v>
      </c>
    </row>
    <row r="23" spans="1:9" ht="15">
      <c r="A23" s="247" t="s">
        <v>1890</v>
      </c>
      <c r="B23" s="248"/>
      <c r="C23" s="248"/>
      <c r="D23" s="248"/>
      <c r="E23" s="249"/>
      <c r="F23" s="132">
        <v>0</v>
      </c>
      <c r="G23" s="133" t="s">
        <v>52</v>
      </c>
      <c r="H23" s="133" t="s">
        <v>52</v>
      </c>
      <c r="I23" s="132">
        <f t="shared" si="0"/>
        <v>0</v>
      </c>
    </row>
    <row r="24" spans="1:9" ht="15">
      <c r="A24" s="247" t="s">
        <v>1891</v>
      </c>
      <c r="B24" s="248"/>
      <c r="C24" s="248"/>
      <c r="D24" s="248"/>
      <c r="E24" s="249"/>
      <c r="F24" s="132">
        <v>0</v>
      </c>
      <c r="G24" s="133" t="s">
        <v>52</v>
      </c>
      <c r="H24" s="133" t="s">
        <v>52</v>
      </c>
      <c r="I24" s="132">
        <f t="shared" si="0"/>
        <v>0</v>
      </c>
    </row>
    <row r="25" spans="1:9" ht="15">
      <c r="A25" s="247" t="s">
        <v>1893</v>
      </c>
      <c r="B25" s="248"/>
      <c r="C25" s="248"/>
      <c r="D25" s="248"/>
      <c r="E25" s="249"/>
      <c r="F25" s="132">
        <v>0</v>
      </c>
      <c r="G25" s="133" t="s">
        <v>52</v>
      </c>
      <c r="H25" s="133" t="s">
        <v>52</v>
      </c>
      <c r="I25" s="132">
        <f t="shared" si="0"/>
        <v>0</v>
      </c>
    </row>
    <row r="26" spans="1:9" ht="15">
      <c r="A26" s="250" t="s">
        <v>1894</v>
      </c>
      <c r="B26" s="251"/>
      <c r="C26" s="251"/>
      <c r="D26" s="251"/>
      <c r="E26" s="252"/>
      <c r="F26" s="134">
        <v>0</v>
      </c>
      <c r="G26" s="135" t="s">
        <v>52</v>
      </c>
      <c r="H26" s="135" t="s">
        <v>52</v>
      </c>
      <c r="I26" s="134">
        <f t="shared" si="0"/>
        <v>0</v>
      </c>
    </row>
    <row r="27" spans="1:9" ht="15">
      <c r="A27" s="253" t="s">
        <v>1921</v>
      </c>
      <c r="B27" s="254"/>
      <c r="C27" s="254"/>
      <c r="D27" s="254"/>
      <c r="E27" s="255"/>
      <c r="F27" s="136" t="s">
        <v>52</v>
      </c>
      <c r="G27" s="137" t="s">
        <v>52</v>
      </c>
      <c r="H27" s="137" t="s">
        <v>52</v>
      </c>
      <c r="I27" s="138">
        <f>SUM(I21:I26)</f>
        <v>0</v>
      </c>
    </row>
    <row r="29" spans="1:9" ht="15.75">
      <c r="A29" s="256" t="s">
        <v>1922</v>
      </c>
      <c r="B29" s="257"/>
      <c r="C29" s="257"/>
      <c r="D29" s="257"/>
      <c r="E29" s="258"/>
      <c r="F29" s="259">
        <f>I18+I27</f>
        <v>0</v>
      </c>
      <c r="G29" s="260"/>
      <c r="H29" s="260"/>
      <c r="I29" s="261"/>
    </row>
    <row r="33" spans="1:5" ht="15.75">
      <c r="A33" s="243" t="s">
        <v>1923</v>
      </c>
      <c r="B33" s="243"/>
      <c r="C33" s="243"/>
      <c r="D33" s="243"/>
      <c r="E33" s="243"/>
    </row>
    <row r="34" spans="1:9" ht="15">
      <c r="A34" s="244" t="s">
        <v>1924</v>
      </c>
      <c r="B34" s="245"/>
      <c r="C34" s="245"/>
      <c r="D34" s="245"/>
      <c r="E34" s="246"/>
      <c r="F34" s="131" t="s">
        <v>1918</v>
      </c>
      <c r="G34" s="131" t="s">
        <v>951</v>
      </c>
      <c r="H34" s="131" t="s">
        <v>1919</v>
      </c>
      <c r="I34" s="131" t="s">
        <v>1918</v>
      </c>
    </row>
    <row r="35" spans="1:9" ht="15">
      <c r="A35" s="250" t="s">
        <v>52</v>
      </c>
      <c r="B35" s="251"/>
      <c r="C35" s="251"/>
      <c r="D35" s="251"/>
      <c r="E35" s="252"/>
      <c r="F35" s="134">
        <v>0</v>
      </c>
      <c r="G35" s="135" t="s">
        <v>52</v>
      </c>
      <c r="H35" s="135" t="s">
        <v>52</v>
      </c>
      <c r="I35" s="134">
        <f>F35</f>
        <v>0</v>
      </c>
    </row>
    <row r="36" spans="1:9" ht="15">
      <c r="A36" s="253" t="s">
        <v>1925</v>
      </c>
      <c r="B36" s="254"/>
      <c r="C36" s="254"/>
      <c r="D36" s="254"/>
      <c r="E36" s="255"/>
      <c r="F36" s="136" t="s">
        <v>52</v>
      </c>
      <c r="G36" s="137" t="s">
        <v>52</v>
      </c>
      <c r="H36" s="137" t="s">
        <v>52</v>
      </c>
      <c r="I36" s="138">
        <f>SUM(I35:I35)</f>
        <v>0</v>
      </c>
    </row>
  </sheetData>
  <mergeCells count="51">
    <mergeCell ref="A36:E36"/>
    <mergeCell ref="A29:E29"/>
    <mergeCell ref="F29:I29"/>
    <mergeCell ref="A33:E33"/>
    <mergeCell ref="A34:E34"/>
    <mergeCell ref="A35:E35"/>
    <mergeCell ref="A23:E23"/>
    <mergeCell ref="A24:E24"/>
    <mergeCell ref="A25:E25"/>
    <mergeCell ref="A26:E26"/>
    <mergeCell ref="A27:E27"/>
    <mergeCell ref="A17:E17"/>
    <mergeCell ref="A18:E18"/>
    <mergeCell ref="A20:E20"/>
    <mergeCell ref="A21:E21"/>
    <mergeCell ref="A22:E22"/>
    <mergeCell ref="I10:I11"/>
    <mergeCell ref="A13:E13"/>
    <mergeCell ref="A14:E14"/>
    <mergeCell ref="A15:E15"/>
    <mergeCell ref="A16:E16"/>
    <mergeCell ref="H10:H11"/>
    <mergeCell ref="C2:D3"/>
    <mergeCell ref="C4:D5"/>
    <mergeCell ref="C6:D7"/>
    <mergeCell ref="C8:D9"/>
    <mergeCell ref="C10:D11"/>
    <mergeCell ref="F2:G3"/>
    <mergeCell ref="F4:G5"/>
    <mergeCell ref="F6:G7"/>
    <mergeCell ref="F8:G9"/>
    <mergeCell ref="F10:G11"/>
    <mergeCell ref="A10:B11"/>
    <mergeCell ref="E2:E3"/>
    <mergeCell ref="E4:E5"/>
    <mergeCell ref="E6:E7"/>
    <mergeCell ref="E8:E9"/>
    <mergeCell ref="E10:E11"/>
    <mergeCell ref="A1:I1"/>
    <mergeCell ref="A2:B3"/>
    <mergeCell ref="A4:B5"/>
    <mergeCell ref="A6:B7"/>
    <mergeCell ref="A8:B9"/>
    <mergeCell ref="H2:H3"/>
    <mergeCell ref="H4:H5"/>
    <mergeCell ref="H6:H7"/>
    <mergeCell ref="H8:H9"/>
    <mergeCell ref="I2:I3"/>
    <mergeCell ref="I4:I5"/>
    <mergeCell ref="I6:I7"/>
    <mergeCell ref="I8:I9"/>
  </mergeCells>
  <printOptions/>
  <pageMargins left="0.393999993801117" right="0.393999993801117" top="0.591000020503998" bottom="0.591000020503998" header="0" footer="0"/>
  <pageSetup fitToHeight="0" fitToWidth="1" horizontalDpi="600" verticalDpi="600"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35"/>
  <sheetViews>
    <sheetView workbookViewId="0" topLeftCell="A1">
      <selection activeCell="A35" sqref="A35:I35"/>
    </sheetView>
  </sheetViews>
  <sheetFormatPr defaultColWidth="12.140625" defaultRowHeight="15" customHeight="1"/>
  <cols>
    <col min="1" max="1" width="9.140625" style="0" customWidth="1"/>
    <col min="2" max="2" width="12.8515625" style="0" customWidth="1"/>
    <col min="3" max="3" width="27.140625" style="0" customWidth="1"/>
    <col min="4" max="4" width="10.00390625" style="0" customWidth="1"/>
    <col min="5" max="5" width="14.00390625" style="0" customWidth="1"/>
    <col min="6" max="6" width="27.140625" style="0" customWidth="1"/>
    <col min="7" max="7" width="9.140625" style="0" customWidth="1"/>
    <col min="8" max="8" width="12.8515625" style="0" customWidth="1"/>
    <col min="9" max="9" width="27.140625" style="0" customWidth="1"/>
  </cols>
  <sheetData>
    <row r="1" spans="1:9" ht="54.75" customHeight="1">
      <c r="A1" s="205" t="s">
        <v>1938</v>
      </c>
      <c r="B1" s="139"/>
      <c r="C1" s="139"/>
      <c r="D1" s="139"/>
      <c r="E1" s="139"/>
      <c r="F1" s="139"/>
      <c r="G1" s="139"/>
      <c r="H1" s="139"/>
      <c r="I1" s="139"/>
    </row>
    <row r="2" spans="1:9" ht="15">
      <c r="A2" s="140" t="s">
        <v>1</v>
      </c>
      <c r="B2" s="141"/>
      <c r="C2" s="149" t="str">
        <f>'Stavební rozpočet'!D2</f>
        <v>Vybudování a rekonstrukce odborných učeben v ZŠ TGM</v>
      </c>
      <c r="D2" s="150"/>
      <c r="E2" s="147" t="s">
        <v>5</v>
      </c>
      <c r="F2" s="147" t="str">
        <f>'Stavební rozpočet'!J2</f>
        <v>Město ivančice</v>
      </c>
      <c r="G2" s="141"/>
      <c r="H2" s="147" t="s">
        <v>1870</v>
      </c>
      <c r="I2" s="152" t="s">
        <v>1871</v>
      </c>
    </row>
    <row r="3" spans="1:9" ht="15" customHeight="1">
      <c r="A3" s="142"/>
      <c r="B3" s="143"/>
      <c r="C3" s="151"/>
      <c r="D3" s="151"/>
      <c r="E3" s="143"/>
      <c r="F3" s="143"/>
      <c r="G3" s="143"/>
      <c r="H3" s="143"/>
      <c r="I3" s="153"/>
    </row>
    <row r="4" spans="1:9" ht="15">
      <c r="A4" s="144" t="s">
        <v>7</v>
      </c>
      <c r="B4" s="143"/>
      <c r="C4" s="148" t="str">
        <f>'Stavební rozpočet'!D4</f>
        <v>Stavební úpravy</v>
      </c>
      <c r="D4" s="143"/>
      <c r="E4" s="148" t="s">
        <v>11</v>
      </c>
      <c r="F4" s="148" t="str">
        <f>'Stavební rozpočet'!J4</f>
        <v>Tomáš Sýkora</v>
      </c>
      <c r="G4" s="143"/>
      <c r="H4" s="148" t="s">
        <v>1870</v>
      </c>
      <c r="I4" s="153" t="s">
        <v>1872</v>
      </c>
    </row>
    <row r="5" spans="1:9" ht="15" customHeight="1">
      <c r="A5" s="142"/>
      <c r="B5" s="143"/>
      <c r="C5" s="143"/>
      <c r="D5" s="143"/>
      <c r="E5" s="143"/>
      <c r="F5" s="143"/>
      <c r="G5" s="143"/>
      <c r="H5" s="143"/>
      <c r="I5" s="153"/>
    </row>
    <row r="6" spans="1:9" ht="15">
      <c r="A6" s="144" t="s">
        <v>13</v>
      </c>
      <c r="B6" s="143"/>
      <c r="C6" s="148" t="str">
        <f>'Stavební rozpočet'!D6</f>
        <v>ZŠ TGM Ivančice; Na Brněnce 1, 664 91 Ivančice</v>
      </c>
      <c r="D6" s="143"/>
      <c r="E6" s="148" t="s">
        <v>16</v>
      </c>
      <c r="F6" s="148" t="str">
        <f>'Stavební rozpočet'!J6</f>
        <v> </v>
      </c>
      <c r="G6" s="143"/>
      <c r="H6" s="148" t="s">
        <v>1870</v>
      </c>
      <c r="I6" s="153" t="s">
        <v>52</v>
      </c>
    </row>
    <row r="7" spans="1:9" ht="15" customHeight="1">
      <c r="A7" s="142"/>
      <c r="B7" s="143"/>
      <c r="C7" s="143"/>
      <c r="D7" s="143"/>
      <c r="E7" s="143"/>
      <c r="F7" s="143"/>
      <c r="G7" s="143"/>
      <c r="H7" s="143"/>
      <c r="I7" s="153"/>
    </row>
    <row r="8" spans="1:9" ht="15">
      <c r="A8" s="144" t="s">
        <v>9</v>
      </c>
      <c r="B8" s="143"/>
      <c r="C8" s="148" t="str">
        <f>'Stavební rozpočet'!H4</f>
        <v>22.09.2023</v>
      </c>
      <c r="D8" s="143"/>
      <c r="E8" s="148" t="s">
        <v>15</v>
      </c>
      <c r="F8" s="148" t="str">
        <f>'Stavební rozpočet'!H6</f>
        <v xml:space="preserve"> </v>
      </c>
      <c r="G8" s="143"/>
      <c r="H8" s="143" t="s">
        <v>1873</v>
      </c>
      <c r="I8" s="207">
        <v>42</v>
      </c>
    </row>
    <row r="9" spans="1:9" ht="15">
      <c r="A9" s="142"/>
      <c r="B9" s="143"/>
      <c r="C9" s="143"/>
      <c r="D9" s="143"/>
      <c r="E9" s="143"/>
      <c r="F9" s="143"/>
      <c r="G9" s="143"/>
      <c r="H9" s="143"/>
      <c r="I9" s="153"/>
    </row>
    <row r="10" spans="1:9" ht="15">
      <c r="A10" s="144" t="s">
        <v>18</v>
      </c>
      <c r="B10" s="143"/>
      <c r="C10" s="148" t="str">
        <f>'Stavební rozpočet'!D8</f>
        <v>8013212</v>
      </c>
      <c r="D10" s="143"/>
      <c r="E10" s="148" t="s">
        <v>21</v>
      </c>
      <c r="F10" s="148" t="str">
        <f>'Stavební rozpočet'!J8</f>
        <v>Tomáš Sýkora</v>
      </c>
      <c r="G10" s="143"/>
      <c r="H10" s="143" t="s">
        <v>1874</v>
      </c>
      <c r="I10" s="208" t="str">
        <f>'Stavební rozpočet'!H8</f>
        <v>22.09.2023</v>
      </c>
    </row>
    <row r="11" spans="1:9" ht="15">
      <c r="A11" s="206"/>
      <c r="B11" s="203"/>
      <c r="C11" s="203"/>
      <c r="D11" s="203"/>
      <c r="E11" s="203"/>
      <c r="F11" s="203"/>
      <c r="G11" s="203"/>
      <c r="H11" s="203"/>
      <c r="I11" s="209"/>
    </row>
    <row r="12" spans="1:9" ht="23.25">
      <c r="A12" s="210" t="s">
        <v>1875</v>
      </c>
      <c r="B12" s="210"/>
      <c r="C12" s="210"/>
      <c r="D12" s="210"/>
      <c r="E12" s="210"/>
      <c r="F12" s="210"/>
      <c r="G12" s="210"/>
      <c r="H12" s="210"/>
      <c r="I12" s="210"/>
    </row>
    <row r="13" spans="1:9" ht="26.25" customHeight="1">
      <c r="A13" s="118" t="s">
        <v>1876</v>
      </c>
      <c r="B13" s="211" t="s">
        <v>1877</v>
      </c>
      <c r="C13" s="212"/>
      <c r="D13" s="119" t="s">
        <v>1878</v>
      </c>
      <c r="E13" s="211" t="s">
        <v>1879</v>
      </c>
      <c r="F13" s="212"/>
      <c r="G13" s="119" t="s">
        <v>1880</v>
      </c>
      <c r="H13" s="211" t="s">
        <v>1881</v>
      </c>
      <c r="I13" s="212"/>
    </row>
    <row r="14" spans="1:9" ht="15.75">
      <c r="A14" s="120" t="s">
        <v>1882</v>
      </c>
      <c r="B14" s="121" t="s">
        <v>1883</v>
      </c>
      <c r="C14" s="122">
        <f>SUMIF('Stavební rozpočet'!AI12:AI1282,"03_2",'Stavební rozpočet'!AB12:AB1282)</f>
        <v>0</v>
      </c>
      <c r="D14" s="219" t="s">
        <v>1884</v>
      </c>
      <c r="E14" s="220"/>
      <c r="F14" s="122">
        <f>'VORN objektu (03_2)'!I15</f>
        <v>0</v>
      </c>
      <c r="G14" s="219" t="s">
        <v>1885</v>
      </c>
      <c r="H14" s="220"/>
      <c r="I14" s="123">
        <f>'VORN objektu (03_2)'!I21</f>
        <v>0</v>
      </c>
    </row>
    <row r="15" spans="1:9" ht="15.75">
      <c r="A15" s="124" t="s">
        <v>52</v>
      </c>
      <c r="B15" s="121" t="s">
        <v>37</v>
      </c>
      <c r="C15" s="122">
        <f>SUMIF('Stavební rozpočet'!AI12:AI1282,"03_2",'Stavební rozpočet'!AC12:AC1282)</f>
        <v>0</v>
      </c>
      <c r="D15" s="219" t="s">
        <v>1886</v>
      </c>
      <c r="E15" s="220"/>
      <c r="F15" s="122">
        <f>'VORN objektu (03_2)'!I16</f>
        <v>0</v>
      </c>
      <c r="G15" s="219" t="s">
        <v>1887</v>
      </c>
      <c r="H15" s="220"/>
      <c r="I15" s="123">
        <f>'VORN objektu (03_2)'!I22</f>
        <v>0</v>
      </c>
    </row>
    <row r="16" spans="1:9" ht="15.75">
      <c r="A16" s="120" t="s">
        <v>1888</v>
      </c>
      <c r="B16" s="121" t="s">
        <v>1883</v>
      </c>
      <c r="C16" s="122">
        <f>SUMIF('Stavební rozpočet'!AI12:AI1282,"03_2",'Stavební rozpočet'!AD12:AD1282)</f>
        <v>0</v>
      </c>
      <c r="D16" s="219" t="s">
        <v>1889</v>
      </c>
      <c r="E16" s="220"/>
      <c r="F16" s="122">
        <f>'VORN objektu (03_2)'!I17</f>
        <v>0</v>
      </c>
      <c r="G16" s="219" t="s">
        <v>1890</v>
      </c>
      <c r="H16" s="220"/>
      <c r="I16" s="123">
        <f>'VORN objektu (03_2)'!I23</f>
        <v>0</v>
      </c>
    </row>
    <row r="17" spans="1:9" ht="15.75">
      <c r="A17" s="124" t="s">
        <v>52</v>
      </c>
      <c r="B17" s="121" t="s">
        <v>37</v>
      </c>
      <c r="C17" s="122">
        <f>SUMIF('Stavební rozpočet'!AI12:AI1282,"03_2",'Stavební rozpočet'!AE12:AE1282)</f>
        <v>0</v>
      </c>
      <c r="D17" s="219" t="s">
        <v>52</v>
      </c>
      <c r="E17" s="220"/>
      <c r="F17" s="123" t="s">
        <v>52</v>
      </c>
      <c r="G17" s="219" t="s">
        <v>1891</v>
      </c>
      <c r="H17" s="220"/>
      <c r="I17" s="123">
        <f>'VORN objektu (03_2)'!I24</f>
        <v>0</v>
      </c>
    </row>
    <row r="18" spans="1:9" ht="15.75">
      <c r="A18" s="120" t="s">
        <v>1892</v>
      </c>
      <c r="B18" s="121" t="s">
        <v>1883</v>
      </c>
      <c r="C18" s="122">
        <f>SUMIF('Stavební rozpočet'!AI12:AI1282,"03_2",'Stavební rozpočet'!AF12:AF1282)</f>
        <v>0</v>
      </c>
      <c r="D18" s="219" t="s">
        <v>52</v>
      </c>
      <c r="E18" s="220"/>
      <c r="F18" s="123" t="s">
        <v>52</v>
      </c>
      <c r="G18" s="219" t="s">
        <v>1893</v>
      </c>
      <c r="H18" s="220"/>
      <c r="I18" s="123">
        <f>'VORN objektu (03_2)'!I25</f>
        <v>0</v>
      </c>
    </row>
    <row r="19" spans="1:9" ht="15.75">
      <c r="A19" s="124" t="s">
        <v>52</v>
      </c>
      <c r="B19" s="121" t="s">
        <v>37</v>
      </c>
      <c r="C19" s="122">
        <f>SUMIF('Stavební rozpočet'!AI12:AI1282,"03_2",'Stavební rozpočet'!AG12:AG1282)</f>
        <v>0</v>
      </c>
      <c r="D19" s="219" t="s">
        <v>52</v>
      </c>
      <c r="E19" s="220"/>
      <c r="F19" s="123" t="s">
        <v>52</v>
      </c>
      <c r="G19" s="219" t="s">
        <v>1894</v>
      </c>
      <c r="H19" s="220"/>
      <c r="I19" s="123">
        <f>'VORN objektu (03_2)'!I26</f>
        <v>0</v>
      </c>
    </row>
    <row r="20" spans="1:9" ht="15.75">
      <c r="A20" s="213" t="s">
        <v>1895</v>
      </c>
      <c r="B20" s="214"/>
      <c r="C20" s="122">
        <f>SUMIF('Stavební rozpočet'!AI12:AI1282,"03_2",'Stavební rozpočet'!AH12:AH1282)</f>
        <v>0</v>
      </c>
      <c r="D20" s="219" t="s">
        <v>52</v>
      </c>
      <c r="E20" s="220"/>
      <c r="F20" s="123" t="s">
        <v>52</v>
      </c>
      <c r="G20" s="219" t="s">
        <v>52</v>
      </c>
      <c r="H20" s="220"/>
      <c r="I20" s="123" t="s">
        <v>52</v>
      </c>
    </row>
    <row r="21" spans="1:9" ht="15.75">
      <c r="A21" s="215" t="s">
        <v>1896</v>
      </c>
      <c r="B21" s="216"/>
      <c r="C21" s="122">
        <f>SUMIF('Stavební rozpočet'!AI12:AI1282,"03_2",'Stavební rozpočet'!Z12:Z1282)</f>
        <v>0</v>
      </c>
      <c r="D21" s="221" t="s">
        <v>52</v>
      </c>
      <c r="E21" s="222"/>
      <c r="F21" s="126" t="s">
        <v>52</v>
      </c>
      <c r="G21" s="221" t="s">
        <v>52</v>
      </c>
      <c r="H21" s="222"/>
      <c r="I21" s="126" t="s">
        <v>52</v>
      </c>
    </row>
    <row r="22" spans="1:9" ht="16.5" customHeight="1">
      <c r="A22" s="217" t="s">
        <v>1897</v>
      </c>
      <c r="B22" s="218"/>
      <c r="C22" s="122">
        <f>SUM(C14:C21)</f>
        <v>0</v>
      </c>
      <c r="D22" s="223" t="s">
        <v>1898</v>
      </c>
      <c r="E22" s="218"/>
      <c r="F22" s="127">
        <f>SUM(F14:F21)</f>
        <v>0</v>
      </c>
      <c r="G22" s="223" t="s">
        <v>1899</v>
      </c>
      <c r="H22" s="218"/>
      <c r="I22" s="127">
        <f>SUM(I14:I21)</f>
        <v>0</v>
      </c>
    </row>
    <row r="23" spans="7:9" ht="15.75">
      <c r="G23" s="213" t="s">
        <v>1902</v>
      </c>
      <c r="H23" s="214"/>
      <c r="I23" s="122">
        <f>'VORN objektu (03_2)'!I36</f>
        <v>0</v>
      </c>
    </row>
    <row r="25" spans="1:3" ht="15.75">
      <c r="A25" s="225" t="s">
        <v>1904</v>
      </c>
      <c r="B25" s="226"/>
      <c r="C25" s="128">
        <f>('Stavební rozpočet'!AS821+'Stavební rozpočet'!AS828+'Stavební rozpočet'!AS846+'Stavební rozpočet'!AS859+'Stavební rozpočet'!AS861+'Stavební rozpočet'!AS863+'Stavební rozpočet'!AS865)</f>
        <v>0</v>
      </c>
    </row>
    <row r="26" spans="1:9" ht="15.75">
      <c r="A26" s="227" t="s">
        <v>1905</v>
      </c>
      <c r="B26" s="228"/>
      <c r="C26" s="129">
        <f>('Stavební rozpočet'!AT821+'Stavební rozpočet'!AT828+'Stavební rozpočet'!AT846+'Stavební rozpočet'!AT859+'Stavební rozpočet'!AT861+'Stavební rozpočet'!AT863+'Stavební rozpočet'!AT865)</f>
        <v>0</v>
      </c>
      <c r="D26" s="229" t="s">
        <v>1906</v>
      </c>
      <c r="E26" s="226"/>
      <c r="F26" s="128">
        <f>ROUND(C26*(12/100),2)</f>
        <v>0</v>
      </c>
      <c r="G26" s="229" t="s">
        <v>1907</v>
      </c>
      <c r="H26" s="226"/>
      <c r="I26" s="128">
        <f>SUM(C25:C27)</f>
        <v>0</v>
      </c>
    </row>
    <row r="27" spans="1:9" ht="15.75">
      <c r="A27" s="227" t="s">
        <v>1908</v>
      </c>
      <c r="B27" s="228"/>
      <c r="C27" s="129">
        <f>('Stavební rozpočet'!AU821+'Stavební rozpočet'!AU828+'Stavební rozpočet'!AU846+'Stavební rozpočet'!AU859+'Stavební rozpočet'!AU861+'Stavební rozpočet'!AU863+'Stavební rozpočet'!AU865)+(F22+I22+F23+I23+I24)</f>
        <v>0</v>
      </c>
      <c r="D27" s="230" t="s">
        <v>1909</v>
      </c>
      <c r="E27" s="228"/>
      <c r="F27" s="129">
        <f>ROUND(C27*(21/100),2)</f>
        <v>0</v>
      </c>
      <c r="G27" s="230" t="s">
        <v>1910</v>
      </c>
      <c r="H27" s="228"/>
      <c r="I27" s="129">
        <f>SUM(F26:F27)+I26</f>
        <v>0</v>
      </c>
    </row>
    <row r="29" spans="1:9" ht="15">
      <c r="A29" s="231" t="s">
        <v>1911</v>
      </c>
      <c r="B29" s="232"/>
      <c r="C29" s="233"/>
      <c r="D29" s="240" t="s">
        <v>1912</v>
      </c>
      <c r="E29" s="232"/>
      <c r="F29" s="233"/>
      <c r="G29" s="240" t="s">
        <v>1913</v>
      </c>
      <c r="H29" s="232"/>
      <c r="I29" s="233"/>
    </row>
    <row r="30" spans="1:9" ht="15">
      <c r="A30" s="234" t="s">
        <v>52</v>
      </c>
      <c r="B30" s="235"/>
      <c r="C30" s="236"/>
      <c r="D30" s="241" t="s">
        <v>52</v>
      </c>
      <c r="E30" s="235"/>
      <c r="F30" s="236"/>
      <c r="G30" s="241" t="s">
        <v>52</v>
      </c>
      <c r="H30" s="235"/>
      <c r="I30" s="236"/>
    </row>
    <row r="31" spans="1:9" ht="15">
      <c r="A31" s="234" t="s">
        <v>52</v>
      </c>
      <c r="B31" s="235"/>
      <c r="C31" s="236"/>
      <c r="D31" s="241" t="s">
        <v>52</v>
      </c>
      <c r="E31" s="235"/>
      <c r="F31" s="236"/>
      <c r="G31" s="241" t="s">
        <v>52</v>
      </c>
      <c r="H31" s="235"/>
      <c r="I31" s="236"/>
    </row>
    <row r="32" spans="1:9" ht="15">
      <c r="A32" s="234" t="s">
        <v>52</v>
      </c>
      <c r="B32" s="235"/>
      <c r="C32" s="236"/>
      <c r="D32" s="241" t="s">
        <v>52</v>
      </c>
      <c r="E32" s="235"/>
      <c r="F32" s="236"/>
      <c r="G32" s="241" t="s">
        <v>52</v>
      </c>
      <c r="H32" s="235"/>
      <c r="I32" s="236"/>
    </row>
    <row r="33" spans="1:9" ht="15">
      <c r="A33" s="237" t="s">
        <v>1914</v>
      </c>
      <c r="B33" s="238"/>
      <c r="C33" s="239"/>
      <c r="D33" s="242" t="s">
        <v>1914</v>
      </c>
      <c r="E33" s="238"/>
      <c r="F33" s="239"/>
      <c r="G33" s="242" t="s">
        <v>1914</v>
      </c>
      <c r="H33" s="238"/>
      <c r="I33" s="239"/>
    </row>
    <row r="34" ht="15">
      <c r="A34" s="130" t="s">
        <v>1868</v>
      </c>
    </row>
    <row r="35" spans="1:9" ht="12.75" customHeight="1">
      <c r="A35" s="148" t="s">
        <v>52</v>
      </c>
      <c r="B35" s="143"/>
      <c r="C35" s="143"/>
      <c r="D35" s="143"/>
      <c r="E35" s="143"/>
      <c r="F35" s="143"/>
      <c r="G35" s="143"/>
      <c r="H35" s="143"/>
      <c r="I35" s="143"/>
    </row>
  </sheetData>
  <mergeCells count="80">
    <mergeCell ref="G32:I32"/>
    <mergeCell ref="G33:I33"/>
    <mergeCell ref="A35:I35"/>
    <mergeCell ref="A32:C32"/>
    <mergeCell ref="A33:C33"/>
    <mergeCell ref="D29:F29"/>
    <mergeCell ref="D30:F30"/>
    <mergeCell ref="D31:F31"/>
    <mergeCell ref="D32:F32"/>
    <mergeCell ref="D33:F33"/>
    <mergeCell ref="G26:H26"/>
    <mergeCell ref="G27:H27"/>
    <mergeCell ref="A29:C29"/>
    <mergeCell ref="A30:C30"/>
    <mergeCell ref="A31:C31"/>
    <mergeCell ref="G29:I29"/>
    <mergeCell ref="G30:I30"/>
    <mergeCell ref="G31:I31"/>
    <mergeCell ref="A25:B25"/>
    <mergeCell ref="A26:B26"/>
    <mergeCell ref="A27:B27"/>
    <mergeCell ref="D26:E26"/>
    <mergeCell ref="D27:E27"/>
    <mergeCell ref="G19:H19"/>
    <mergeCell ref="G20:H20"/>
    <mergeCell ref="G21:H21"/>
    <mergeCell ref="G22:H22"/>
    <mergeCell ref="G23:H23"/>
    <mergeCell ref="G14:H14"/>
    <mergeCell ref="G15:H15"/>
    <mergeCell ref="G16:H16"/>
    <mergeCell ref="G17:H17"/>
    <mergeCell ref="G18:H18"/>
    <mergeCell ref="A20:B20"/>
    <mergeCell ref="A21:B21"/>
    <mergeCell ref="A22:B22"/>
    <mergeCell ref="D14:E14"/>
    <mergeCell ref="D15:E15"/>
    <mergeCell ref="D16:E16"/>
    <mergeCell ref="D17:E17"/>
    <mergeCell ref="D18:E18"/>
    <mergeCell ref="D19:E19"/>
    <mergeCell ref="D20:E20"/>
    <mergeCell ref="D21:E21"/>
    <mergeCell ref="D22:E22"/>
    <mergeCell ref="I10:I11"/>
    <mergeCell ref="A12:I12"/>
    <mergeCell ref="B13:C13"/>
    <mergeCell ref="E13:F13"/>
    <mergeCell ref="H13:I13"/>
    <mergeCell ref="F10:G11"/>
    <mergeCell ref="H2:H3"/>
    <mergeCell ref="H4:H5"/>
    <mergeCell ref="H6:H7"/>
    <mergeCell ref="H8:H9"/>
    <mergeCell ref="H10:H11"/>
    <mergeCell ref="A10:B11"/>
    <mergeCell ref="E2:E3"/>
    <mergeCell ref="E4:E5"/>
    <mergeCell ref="E6:E7"/>
    <mergeCell ref="E8:E9"/>
    <mergeCell ref="E10:E11"/>
    <mergeCell ref="C2:D3"/>
    <mergeCell ref="C4:D5"/>
    <mergeCell ref="C6:D7"/>
    <mergeCell ref="C8:D9"/>
    <mergeCell ref="C10:D11"/>
    <mergeCell ref="A1:I1"/>
    <mergeCell ref="A2:B3"/>
    <mergeCell ref="A4:B5"/>
    <mergeCell ref="A6:B7"/>
    <mergeCell ref="A8:B9"/>
    <mergeCell ref="F2:G3"/>
    <mergeCell ref="F4:G5"/>
    <mergeCell ref="F6:G7"/>
    <mergeCell ref="F8:G9"/>
    <mergeCell ref="I2:I3"/>
    <mergeCell ref="I4:I5"/>
    <mergeCell ref="I6:I7"/>
    <mergeCell ref="I8:I9"/>
  </mergeCells>
  <printOptions/>
  <pageMargins left="0.393999993801117" right="0.393999993801117" top="0.591000020503998" bottom="0.591000020503998" header="0" footer="0"/>
  <pageSetup fitToHeight="1" fitToWidth="1" horizontalDpi="600" verticalDpi="600" orientation="landscape"/>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36"/>
  <sheetViews>
    <sheetView workbookViewId="0" topLeftCell="A1">
      <selection activeCell="A36" sqref="A36:E36"/>
    </sheetView>
  </sheetViews>
  <sheetFormatPr defaultColWidth="12.140625" defaultRowHeight="15" customHeight="1"/>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7.140625" style="0" customWidth="1"/>
    <col min="9" max="9" width="22.8515625" style="0" customWidth="1"/>
  </cols>
  <sheetData>
    <row r="1" spans="1:9" ht="54.75" customHeight="1">
      <c r="A1" s="205" t="s">
        <v>1939</v>
      </c>
      <c r="B1" s="139"/>
      <c r="C1" s="139"/>
      <c r="D1" s="139"/>
      <c r="E1" s="139"/>
      <c r="F1" s="139"/>
      <c r="G1" s="139"/>
      <c r="H1" s="139"/>
      <c r="I1" s="139"/>
    </row>
    <row r="2" spans="1:9" ht="15">
      <c r="A2" s="140" t="s">
        <v>1</v>
      </c>
      <c r="B2" s="141"/>
      <c r="C2" s="149" t="str">
        <f>'Stavební rozpočet'!D2</f>
        <v>Vybudování a rekonstrukce odborných učeben v ZŠ TGM</v>
      </c>
      <c r="D2" s="150"/>
      <c r="E2" s="147" t="s">
        <v>5</v>
      </c>
      <c r="F2" s="147" t="str">
        <f>'Stavební rozpočet'!J2</f>
        <v>Město ivančice</v>
      </c>
      <c r="G2" s="141"/>
      <c r="H2" s="147" t="s">
        <v>1870</v>
      </c>
      <c r="I2" s="152" t="s">
        <v>1871</v>
      </c>
    </row>
    <row r="3" spans="1:9" ht="15" customHeight="1">
      <c r="A3" s="142"/>
      <c r="B3" s="143"/>
      <c r="C3" s="151"/>
      <c r="D3" s="151"/>
      <c r="E3" s="143"/>
      <c r="F3" s="143"/>
      <c r="G3" s="143"/>
      <c r="H3" s="143"/>
      <c r="I3" s="153"/>
    </row>
    <row r="4" spans="1:9" ht="15">
      <c r="A4" s="144" t="s">
        <v>7</v>
      </c>
      <c r="B4" s="143"/>
      <c r="C4" s="148" t="str">
        <f>'Stavební rozpočet'!D4</f>
        <v>Stavební úpravy</v>
      </c>
      <c r="D4" s="143"/>
      <c r="E4" s="148" t="s">
        <v>11</v>
      </c>
      <c r="F4" s="148" t="str">
        <f>'Stavební rozpočet'!J4</f>
        <v>Tomáš Sýkora</v>
      </c>
      <c r="G4" s="143"/>
      <c r="H4" s="148" t="s">
        <v>1870</v>
      </c>
      <c r="I4" s="153" t="s">
        <v>1872</v>
      </c>
    </row>
    <row r="5" spans="1:9" ht="15" customHeight="1">
      <c r="A5" s="142"/>
      <c r="B5" s="143"/>
      <c r="C5" s="143"/>
      <c r="D5" s="143"/>
      <c r="E5" s="143"/>
      <c r="F5" s="143"/>
      <c r="G5" s="143"/>
      <c r="H5" s="143"/>
      <c r="I5" s="153"/>
    </row>
    <row r="6" spans="1:9" ht="15">
      <c r="A6" s="144" t="s">
        <v>13</v>
      </c>
      <c r="B6" s="143"/>
      <c r="C6" s="148" t="str">
        <f>'Stavební rozpočet'!D6</f>
        <v>ZŠ TGM Ivančice; Na Brněnce 1, 664 91 Ivančice</v>
      </c>
      <c r="D6" s="143"/>
      <c r="E6" s="148" t="s">
        <v>16</v>
      </c>
      <c r="F6" s="148" t="str">
        <f>'Stavební rozpočet'!J6</f>
        <v> </v>
      </c>
      <c r="G6" s="143"/>
      <c r="H6" s="148" t="s">
        <v>1870</v>
      </c>
      <c r="I6" s="153" t="s">
        <v>52</v>
      </c>
    </row>
    <row r="7" spans="1:9" ht="15" customHeight="1">
      <c r="A7" s="142"/>
      <c r="B7" s="143"/>
      <c r="C7" s="143"/>
      <c r="D7" s="143"/>
      <c r="E7" s="143"/>
      <c r="F7" s="143"/>
      <c r="G7" s="143"/>
      <c r="H7" s="143"/>
      <c r="I7" s="153"/>
    </row>
    <row r="8" spans="1:9" ht="15">
      <c r="A8" s="144" t="s">
        <v>9</v>
      </c>
      <c r="B8" s="143"/>
      <c r="C8" s="148" t="str">
        <f>'Stavební rozpočet'!H4</f>
        <v>22.09.2023</v>
      </c>
      <c r="D8" s="143"/>
      <c r="E8" s="148" t="s">
        <v>15</v>
      </c>
      <c r="F8" s="148" t="str">
        <f>'Stavební rozpočet'!H6</f>
        <v xml:space="preserve"> </v>
      </c>
      <c r="G8" s="143"/>
      <c r="H8" s="143" t="s">
        <v>1873</v>
      </c>
      <c r="I8" s="207">
        <v>42</v>
      </c>
    </row>
    <row r="9" spans="1:9" ht="15">
      <c r="A9" s="142"/>
      <c r="B9" s="143"/>
      <c r="C9" s="143"/>
      <c r="D9" s="143"/>
      <c r="E9" s="143"/>
      <c r="F9" s="143"/>
      <c r="G9" s="143"/>
      <c r="H9" s="143"/>
      <c r="I9" s="153"/>
    </row>
    <row r="10" spans="1:9" ht="15">
      <c r="A10" s="144" t="s">
        <v>18</v>
      </c>
      <c r="B10" s="143"/>
      <c r="C10" s="148" t="str">
        <f>'Stavební rozpočet'!D8</f>
        <v>8013212</v>
      </c>
      <c r="D10" s="143"/>
      <c r="E10" s="148" t="s">
        <v>21</v>
      </c>
      <c r="F10" s="148" t="str">
        <f>'Stavební rozpočet'!J8</f>
        <v>Tomáš Sýkora</v>
      </c>
      <c r="G10" s="143"/>
      <c r="H10" s="143" t="s">
        <v>1874</v>
      </c>
      <c r="I10" s="208" t="str">
        <f>'Stavební rozpočet'!H8</f>
        <v>22.09.2023</v>
      </c>
    </row>
    <row r="11" spans="1:9" ht="15">
      <c r="A11" s="206"/>
      <c r="B11" s="203"/>
      <c r="C11" s="203"/>
      <c r="D11" s="203"/>
      <c r="E11" s="203"/>
      <c r="F11" s="203"/>
      <c r="G11" s="203"/>
      <c r="H11" s="203"/>
      <c r="I11" s="209"/>
    </row>
    <row r="13" spans="1:5" ht="15.75">
      <c r="A13" s="243" t="s">
        <v>1916</v>
      </c>
      <c r="B13" s="243"/>
      <c r="C13" s="243"/>
      <c r="D13" s="243"/>
      <c r="E13" s="243"/>
    </row>
    <row r="14" spans="1:9" ht="15">
      <c r="A14" s="244" t="s">
        <v>1917</v>
      </c>
      <c r="B14" s="245"/>
      <c r="C14" s="245"/>
      <c r="D14" s="245"/>
      <c r="E14" s="246"/>
      <c r="F14" s="131" t="s">
        <v>1918</v>
      </c>
      <c r="G14" s="131" t="s">
        <v>951</v>
      </c>
      <c r="H14" s="131" t="s">
        <v>1919</v>
      </c>
      <c r="I14" s="131" t="s">
        <v>1918</v>
      </c>
    </row>
    <row r="15" spans="1:9" ht="15">
      <c r="A15" s="247" t="s">
        <v>1884</v>
      </c>
      <c r="B15" s="248"/>
      <c r="C15" s="248"/>
      <c r="D15" s="248"/>
      <c r="E15" s="249"/>
      <c r="F15" s="132">
        <v>0</v>
      </c>
      <c r="G15" s="133" t="s">
        <v>52</v>
      </c>
      <c r="H15" s="133" t="s">
        <v>52</v>
      </c>
      <c r="I15" s="132">
        <f>F15</f>
        <v>0</v>
      </c>
    </row>
    <row r="16" spans="1:9" ht="15">
      <c r="A16" s="247" t="s">
        <v>1886</v>
      </c>
      <c r="B16" s="248"/>
      <c r="C16" s="248"/>
      <c r="D16" s="248"/>
      <c r="E16" s="249"/>
      <c r="F16" s="132">
        <v>0</v>
      </c>
      <c r="G16" s="133" t="s">
        <v>52</v>
      </c>
      <c r="H16" s="133" t="s">
        <v>52</v>
      </c>
      <c r="I16" s="132">
        <f>F16</f>
        <v>0</v>
      </c>
    </row>
    <row r="17" spans="1:9" ht="15">
      <c r="A17" s="250" t="s">
        <v>1889</v>
      </c>
      <c r="B17" s="251"/>
      <c r="C17" s="251"/>
      <c r="D17" s="251"/>
      <c r="E17" s="252"/>
      <c r="F17" s="134">
        <v>0</v>
      </c>
      <c r="G17" s="135" t="s">
        <v>52</v>
      </c>
      <c r="H17" s="135" t="s">
        <v>52</v>
      </c>
      <c r="I17" s="134">
        <f>F17</f>
        <v>0</v>
      </c>
    </row>
    <row r="18" spans="1:9" ht="15">
      <c r="A18" s="253" t="s">
        <v>1920</v>
      </c>
      <c r="B18" s="254"/>
      <c r="C18" s="254"/>
      <c r="D18" s="254"/>
      <c r="E18" s="255"/>
      <c r="F18" s="136" t="s">
        <v>52</v>
      </c>
      <c r="G18" s="137" t="s">
        <v>52</v>
      </c>
      <c r="H18" s="137" t="s">
        <v>52</v>
      </c>
      <c r="I18" s="138">
        <f>SUM(I15:I17)</f>
        <v>0</v>
      </c>
    </row>
    <row r="20" spans="1:9" ht="15">
      <c r="A20" s="244" t="s">
        <v>1881</v>
      </c>
      <c r="B20" s="245"/>
      <c r="C20" s="245"/>
      <c r="D20" s="245"/>
      <c r="E20" s="246"/>
      <c r="F20" s="131" t="s">
        <v>1918</v>
      </c>
      <c r="G20" s="131" t="s">
        <v>951</v>
      </c>
      <c r="H20" s="131" t="s">
        <v>1919</v>
      </c>
      <c r="I20" s="131" t="s">
        <v>1918</v>
      </c>
    </row>
    <row r="21" spans="1:9" ht="15">
      <c r="A21" s="247" t="s">
        <v>1885</v>
      </c>
      <c r="B21" s="248"/>
      <c r="C21" s="248"/>
      <c r="D21" s="248"/>
      <c r="E21" s="249"/>
      <c r="F21" s="132">
        <v>0</v>
      </c>
      <c r="G21" s="133" t="s">
        <v>52</v>
      </c>
      <c r="H21" s="133" t="s">
        <v>52</v>
      </c>
      <c r="I21" s="132">
        <f aca="true" t="shared" si="0" ref="I21:I26">F21</f>
        <v>0</v>
      </c>
    </row>
    <row r="22" spans="1:9" ht="15">
      <c r="A22" s="247" t="s">
        <v>1887</v>
      </c>
      <c r="B22" s="248"/>
      <c r="C22" s="248"/>
      <c r="D22" s="248"/>
      <c r="E22" s="249"/>
      <c r="F22" s="132">
        <v>0</v>
      </c>
      <c r="G22" s="133" t="s">
        <v>52</v>
      </c>
      <c r="H22" s="133" t="s">
        <v>52</v>
      </c>
      <c r="I22" s="132">
        <f t="shared" si="0"/>
        <v>0</v>
      </c>
    </row>
    <row r="23" spans="1:9" ht="15">
      <c r="A23" s="247" t="s">
        <v>1890</v>
      </c>
      <c r="B23" s="248"/>
      <c r="C23" s="248"/>
      <c r="D23" s="248"/>
      <c r="E23" s="249"/>
      <c r="F23" s="132">
        <v>0</v>
      </c>
      <c r="G23" s="133" t="s">
        <v>52</v>
      </c>
      <c r="H23" s="133" t="s">
        <v>52</v>
      </c>
      <c r="I23" s="132">
        <f t="shared" si="0"/>
        <v>0</v>
      </c>
    </row>
    <row r="24" spans="1:9" ht="15">
      <c r="A24" s="247" t="s">
        <v>1891</v>
      </c>
      <c r="B24" s="248"/>
      <c r="C24" s="248"/>
      <c r="D24" s="248"/>
      <c r="E24" s="249"/>
      <c r="F24" s="132">
        <v>0</v>
      </c>
      <c r="G24" s="133" t="s">
        <v>52</v>
      </c>
      <c r="H24" s="133" t="s">
        <v>52</v>
      </c>
      <c r="I24" s="132">
        <f t="shared" si="0"/>
        <v>0</v>
      </c>
    </row>
    <row r="25" spans="1:9" ht="15">
      <c r="A25" s="247" t="s">
        <v>1893</v>
      </c>
      <c r="B25" s="248"/>
      <c r="C25" s="248"/>
      <c r="D25" s="248"/>
      <c r="E25" s="249"/>
      <c r="F25" s="132">
        <v>0</v>
      </c>
      <c r="G25" s="133" t="s">
        <v>52</v>
      </c>
      <c r="H25" s="133" t="s">
        <v>52</v>
      </c>
      <c r="I25" s="132">
        <f t="shared" si="0"/>
        <v>0</v>
      </c>
    </row>
    <row r="26" spans="1:9" ht="15">
      <c r="A26" s="250" t="s">
        <v>1894</v>
      </c>
      <c r="B26" s="251"/>
      <c r="C26" s="251"/>
      <c r="D26" s="251"/>
      <c r="E26" s="252"/>
      <c r="F26" s="134">
        <v>0</v>
      </c>
      <c r="G26" s="135" t="s">
        <v>52</v>
      </c>
      <c r="H26" s="135" t="s">
        <v>52</v>
      </c>
      <c r="I26" s="134">
        <f t="shared" si="0"/>
        <v>0</v>
      </c>
    </row>
    <row r="27" spans="1:9" ht="15">
      <c r="A27" s="253" t="s">
        <v>1921</v>
      </c>
      <c r="B27" s="254"/>
      <c r="C27" s="254"/>
      <c r="D27" s="254"/>
      <c r="E27" s="255"/>
      <c r="F27" s="136" t="s">
        <v>52</v>
      </c>
      <c r="G27" s="137" t="s">
        <v>52</v>
      </c>
      <c r="H27" s="137" t="s">
        <v>52</v>
      </c>
      <c r="I27" s="138">
        <f>SUM(I21:I26)</f>
        <v>0</v>
      </c>
    </row>
    <row r="29" spans="1:9" ht="15.75">
      <c r="A29" s="256" t="s">
        <v>1922</v>
      </c>
      <c r="B29" s="257"/>
      <c r="C29" s="257"/>
      <c r="D29" s="257"/>
      <c r="E29" s="258"/>
      <c r="F29" s="259">
        <f>I18+I27</f>
        <v>0</v>
      </c>
      <c r="G29" s="260"/>
      <c r="H29" s="260"/>
      <c r="I29" s="261"/>
    </row>
    <row r="33" spans="1:5" ht="15.75">
      <c r="A33" s="243" t="s">
        <v>1923</v>
      </c>
      <c r="B33" s="243"/>
      <c r="C33" s="243"/>
      <c r="D33" s="243"/>
      <c r="E33" s="243"/>
    </row>
    <row r="34" spans="1:9" ht="15">
      <c r="A34" s="244" t="s">
        <v>1924</v>
      </c>
      <c r="B34" s="245"/>
      <c r="C34" s="245"/>
      <c r="D34" s="245"/>
      <c r="E34" s="246"/>
      <c r="F34" s="131" t="s">
        <v>1918</v>
      </c>
      <c r="G34" s="131" t="s">
        <v>951</v>
      </c>
      <c r="H34" s="131" t="s">
        <v>1919</v>
      </c>
      <c r="I34" s="131" t="s">
        <v>1918</v>
      </c>
    </row>
    <row r="35" spans="1:9" ht="15">
      <c r="A35" s="250" t="s">
        <v>52</v>
      </c>
      <c r="B35" s="251"/>
      <c r="C35" s="251"/>
      <c r="D35" s="251"/>
      <c r="E35" s="252"/>
      <c r="F35" s="134">
        <v>0</v>
      </c>
      <c r="G35" s="135" t="s">
        <v>52</v>
      </c>
      <c r="H35" s="135" t="s">
        <v>52</v>
      </c>
      <c r="I35" s="134">
        <f>F35</f>
        <v>0</v>
      </c>
    </row>
    <row r="36" spans="1:9" ht="15">
      <c r="A36" s="253" t="s">
        <v>1925</v>
      </c>
      <c r="B36" s="254"/>
      <c r="C36" s="254"/>
      <c r="D36" s="254"/>
      <c r="E36" s="255"/>
      <c r="F36" s="136" t="s">
        <v>52</v>
      </c>
      <c r="G36" s="137" t="s">
        <v>52</v>
      </c>
      <c r="H36" s="137" t="s">
        <v>52</v>
      </c>
      <c r="I36" s="138">
        <f>SUM(I35:I35)</f>
        <v>0</v>
      </c>
    </row>
  </sheetData>
  <mergeCells count="51">
    <mergeCell ref="A36:E36"/>
    <mergeCell ref="A29:E29"/>
    <mergeCell ref="F29:I29"/>
    <mergeCell ref="A33:E33"/>
    <mergeCell ref="A34:E34"/>
    <mergeCell ref="A35:E35"/>
    <mergeCell ref="A23:E23"/>
    <mergeCell ref="A24:E24"/>
    <mergeCell ref="A25:E25"/>
    <mergeCell ref="A26:E26"/>
    <mergeCell ref="A27:E27"/>
    <mergeCell ref="A17:E17"/>
    <mergeCell ref="A18:E18"/>
    <mergeCell ref="A20:E20"/>
    <mergeCell ref="A21:E21"/>
    <mergeCell ref="A22:E22"/>
    <mergeCell ref="I10:I11"/>
    <mergeCell ref="A13:E13"/>
    <mergeCell ref="A14:E14"/>
    <mergeCell ref="A15:E15"/>
    <mergeCell ref="A16:E16"/>
    <mergeCell ref="H10:H11"/>
    <mergeCell ref="C2:D3"/>
    <mergeCell ref="C4:D5"/>
    <mergeCell ref="C6:D7"/>
    <mergeCell ref="C8:D9"/>
    <mergeCell ref="C10:D11"/>
    <mergeCell ref="F2:G3"/>
    <mergeCell ref="F4:G5"/>
    <mergeCell ref="F6:G7"/>
    <mergeCell ref="F8:G9"/>
    <mergeCell ref="F10:G11"/>
    <mergeCell ref="A10:B11"/>
    <mergeCell ref="E2:E3"/>
    <mergeCell ref="E4:E5"/>
    <mergeCell ref="E6:E7"/>
    <mergeCell ref="E8:E9"/>
    <mergeCell ref="E10:E11"/>
    <mergeCell ref="A1:I1"/>
    <mergeCell ref="A2:B3"/>
    <mergeCell ref="A4:B5"/>
    <mergeCell ref="A6:B7"/>
    <mergeCell ref="A8:B9"/>
    <mergeCell ref="H2:H3"/>
    <mergeCell ref="H4:H5"/>
    <mergeCell ref="H6:H7"/>
    <mergeCell ref="H8:H9"/>
    <mergeCell ref="I2:I3"/>
    <mergeCell ref="I4:I5"/>
    <mergeCell ref="I6:I7"/>
    <mergeCell ref="I8:I9"/>
  </mergeCells>
  <printOptions/>
  <pageMargins left="0.393999993801117" right="0.393999993801117" top="0.591000020503998" bottom="0.591000020503998" header="0" footer="0"/>
  <pageSetup fitToHeight="0" fitToWidth="1" horizontalDpi="600" verticalDpi="600" orientation="landscape"/>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35"/>
  <sheetViews>
    <sheetView workbookViewId="0" topLeftCell="A1">
      <selection activeCell="A35" sqref="A35:I35"/>
    </sheetView>
  </sheetViews>
  <sheetFormatPr defaultColWidth="12.140625" defaultRowHeight="15" customHeight="1"/>
  <cols>
    <col min="1" max="1" width="9.140625" style="0" customWidth="1"/>
    <col min="2" max="2" width="12.8515625" style="0" customWidth="1"/>
    <col min="3" max="3" width="27.140625" style="0" customWidth="1"/>
    <col min="4" max="4" width="10.00390625" style="0" customWidth="1"/>
    <col min="5" max="5" width="14.00390625" style="0" customWidth="1"/>
    <col min="6" max="6" width="27.140625" style="0" customWidth="1"/>
    <col min="7" max="7" width="9.140625" style="0" customWidth="1"/>
    <col min="8" max="8" width="12.8515625" style="0" customWidth="1"/>
    <col min="9" max="9" width="27.140625" style="0" customWidth="1"/>
  </cols>
  <sheetData>
    <row r="1" spans="1:9" ht="54.75" customHeight="1">
      <c r="A1" s="205" t="s">
        <v>1940</v>
      </c>
      <c r="B1" s="139"/>
      <c r="C1" s="139"/>
      <c r="D1" s="139"/>
      <c r="E1" s="139"/>
      <c r="F1" s="139"/>
      <c r="G1" s="139"/>
      <c r="H1" s="139"/>
      <c r="I1" s="139"/>
    </row>
    <row r="2" spans="1:9" ht="15">
      <c r="A2" s="140" t="s">
        <v>1</v>
      </c>
      <c r="B2" s="141"/>
      <c r="C2" s="149" t="str">
        <f>'Stavební rozpočet'!D2</f>
        <v>Vybudování a rekonstrukce odborných učeben v ZŠ TGM</v>
      </c>
      <c r="D2" s="150"/>
      <c r="E2" s="147" t="s">
        <v>5</v>
      </c>
      <c r="F2" s="147" t="str">
        <f>'Stavební rozpočet'!J2</f>
        <v>Město ivančice</v>
      </c>
      <c r="G2" s="141"/>
      <c r="H2" s="147" t="s">
        <v>1870</v>
      </c>
      <c r="I2" s="152" t="s">
        <v>1871</v>
      </c>
    </row>
    <row r="3" spans="1:9" ht="15" customHeight="1">
      <c r="A3" s="142"/>
      <c r="B3" s="143"/>
      <c r="C3" s="151"/>
      <c r="D3" s="151"/>
      <c r="E3" s="143"/>
      <c r="F3" s="143"/>
      <c r="G3" s="143"/>
      <c r="H3" s="143"/>
      <c r="I3" s="153"/>
    </row>
    <row r="4" spans="1:9" ht="15">
      <c r="A4" s="144" t="s">
        <v>7</v>
      </c>
      <c r="B4" s="143"/>
      <c r="C4" s="148" t="str">
        <f>'Stavební rozpočet'!D4</f>
        <v>Stavební úpravy</v>
      </c>
      <c r="D4" s="143"/>
      <c r="E4" s="148" t="s">
        <v>11</v>
      </c>
      <c r="F4" s="148" t="str">
        <f>'Stavební rozpočet'!J4</f>
        <v>Tomáš Sýkora</v>
      </c>
      <c r="G4" s="143"/>
      <c r="H4" s="148" t="s">
        <v>1870</v>
      </c>
      <c r="I4" s="153" t="s">
        <v>1872</v>
      </c>
    </row>
    <row r="5" spans="1:9" ht="15" customHeight="1">
      <c r="A5" s="142"/>
      <c r="B5" s="143"/>
      <c r="C5" s="143"/>
      <c r="D5" s="143"/>
      <c r="E5" s="143"/>
      <c r="F5" s="143"/>
      <c r="G5" s="143"/>
      <c r="H5" s="143"/>
      <c r="I5" s="153"/>
    </row>
    <row r="6" spans="1:9" ht="15">
      <c r="A6" s="144" t="s">
        <v>13</v>
      </c>
      <c r="B6" s="143"/>
      <c r="C6" s="148" t="str">
        <f>'Stavební rozpočet'!D6</f>
        <v>ZŠ TGM Ivančice; Na Brněnce 1, 664 91 Ivančice</v>
      </c>
      <c r="D6" s="143"/>
      <c r="E6" s="148" t="s">
        <v>16</v>
      </c>
      <c r="F6" s="148" t="str">
        <f>'Stavební rozpočet'!J6</f>
        <v> </v>
      </c>
      <c r="G6" s="143"/>
      <c r="H6" s="148" t="s">
        <v>1870</v>
      </c>
      <c r="I6" s="153" t="s">
        <v>52</v>
      </c>
    </row>
    <row r="7" spans="1:9" ht="15" customHeight="1">
      <c r="A7" s="142"/>
      <c r="B7" s="143"/>
      <c r="C7" s="143"/>
      <c r="D7" s="143"/>
      <c r="E7" s="143"/>
      <c r="F7" s="143"/>
      <c r="G7" s="143"/>
      <c r="H7" s="143"/>
      <c r="I7" s="153"/>
    </row>
    <row r="8" spans="1:9" ht="15">
      <c r="A8" s="144" t="s">
        <v>9</v>
      </c>
      <c r="B8" s="143"/>
      <c r="C8" s="148" t="str">
        <f>'Stavební rozpočet'!H4</f>
        <v>22.09.2023</v>
      </c>
      <c r="D8" s="143"/>
      <c r="E8" s="148" t="s">
        <v>15</v>
      </c>
      <c r="F8" s="148" t="str">
        <f>'Stavební rozpočet'!H6</f>
        <v xml:space="preserve"> </v>
      </c>
      <c r="G8" s="143"/>
      <c r="H8" s="143" t="s">
        <v>1873</v>
      </c>
      <c r="I8" s="207">
        <v>108</v>
      </c>
    </row>
    <row r="9" spans="1:9" ht="15">
      <c r="A9" s="142"/>
      <c r="B9" s="143"/>
      <c r="C9" s="143"/>
      <c r="D9" s="143"/>
      <c r="E9" s="143"/>
      <c r="F9" s="143"/>
      <c r="G9" s="143"/>
      <c r="H9" s="143"/>
      <c r="I9" s="153"/>
    </row>
    <row r="10" spans="1:9" ht="15">
      <c r="A10" s="144" t="s">
        <v>18</v>
      </c>
      <c r="B10" s="143"/>
      <c r="C10" s="148" t="str">
        <f>'Stavební rozpočet'!D8</f>
        <v>8013212</v>
      </c>
      <c r="D10" s="143"/>
      <c r="E10" s="148" t="s">
        <v>21</v>
      </c>
      <c r="F10" s="148" t="str">
        <f>'Stavební rozpočet'!J8</f>
        <v>Tomáš Sýkora</v>
      </c>
      <c r="G10" s="143"/>
      <c r="H10" s="143" t="s">
        <v>1874</v>
      </c>
      <c r="I10" s="208" t="str">
        <f>'Stavební rozpočet'!H8</f>
        <v>22.09.2023</v>
      </c>
    </row>
    <row r="11" spans="1:9" ht="15">
      <c r="A11" s="206"/>
      <c r="B11" s="203"/>
      <c r="C11" s="203"/>
      <c r="D11" s="203"/>
      <c r="E11" s="203"/>
      <c r="F11" s="203"/>
      <c r="G11" s="203"/>
      <c r="H11" s="203"/>
      <c r="I11" s="209"/>
    </row>
    <row r="12" spans="1:9" ht="23.25">
      <c r="A12" s="210" t="s">
        <v>1875</v>
      </c>
      <c r="B12" s="210"/>
      <c r="C12" s="210"/>
      <c r="D12" s="210"/>
      <c r="E12" s="210"/>
      <c r="F12" s="210"/>
      <c r="G12" s="210"/>
      <c r="H12" s="210"/>
      <c r="I12" s="210"/>
    </row>
    <row r="13" spans="1:9" ht="26.25" customHeight="1">
      <c r="A13" s="118" t="s">
        <v>1876</v>
      </c>
      <c r="B13" s="211" t="s">
        <v>1877</v>
      </c>
      <c r="C13" s="212"/>
      <c r="D13" s="119" t="s">
        <v>1878</v>
      </c>
      <c r="E13" s="211" t="s">
        <v>1879</v>
      </c>
      <c r="F13" s="212"/>
      <c r="G13" s="119" t="s">
        <v>1880</v>
      </c>
      <c r="H13" s="211" t="s">
        <v>1881</v>
      </c>
      <c r="I13" s="212"/>
    </row>
    <row r="14" spans="1:9" ht="15.75">
      <c r="A14" s="120" t="s">
        <v>1882</v>
      </c>
      <c r="B14" s="121" t="s">
        <v>1883</v>
      </c>
      <c r="C14" s="122">
        <f>SUMIF('Stavební rozpočet'!AI12:AI1282,"04_1",'Stavební rozpočet'!AB12:AB1282)</f>
        <v>0</v>
      </c>
      <c r="D14" s="219" t="s">
        <v>1884</v>
      </c>
      <c r="E14" s="220"/>
      <c r="F14" s="122">
        <f>'VORN objektu (04_1)'!I15</f>
        <v>0</v>
      </c>
      <c r="G14" s="219" t="s">
        <v>1885</v>
      </c>
      <c r="H14" s="220"/>
      <c r="I14" s="123">
        <f>'VORN objektu (04_1)'!I21</f>
        <v>0</v>
      </c>
    </row>
    <row r="15" spans="1:9" ht="15.75">
      <c r="A15" s="124" t="s">
        <v>52</v>
      </c>
      <c r="B15" s="121" t="s">
        <v>37</v>
      </c>
      <c r="C15" s="122">
        <f>SUMIF('Stavební rozpočet'!AI12:AI1282,"04_1",'Stavební rozpočet'!AC12:AC1282)</f>
        <v>0</v>
      </c>
      <c r="D15" s="219" t="s">
        <v>1886</v>
      </c>
      <c r="E15" s="220"/>
      <c r="F15" s="122">
        <f>'VORN objektu (04_1)'!I16</f>
        <v>0</v>
      </c>
      <c r="G15" s="219" t="s">
        <v>1887</v>
      </c>
      <c r="H15" s="220"/>
      <c r="I15" s="123">
        <f>'VORN objektu (04_1)'!I22</f>
        <v>0</v>
      </c>
    </row>
    <row r="16" spans="1:9" ht="15.75">
      <c r="A16" s="120" t="s">
        <v>1888</v>
      </c>
      <c r="B16" s="121" t="s">
        <v>1883</v>
      </c>
      <c r="C16" s="122">
        <f>SUMIF('Stavební rozpočet'!AI12:AI1282,"04_1",'Stavební rozpočet'!AD12:AD1282)</f>
        <v>0</v>
      </c>
      <c r="D16" s="219" t="s">
        <v>1889</v>
      </c>
      <c r="E16" s="220"/>
      <c r="F16" s="122">
        <f>'VORN objektu (04_1)'!I17</f>
        <v>0</v>
      </c>
      <c r="G16" s="219" t="s">
        <v>1890</v>
      </c>
      <c r="H16" s="220"/>
      <c r="I16" s="123">
        <f>'VORN objektu (04_1)'!I23</f>
        <v>0</v>
      </c>
    </row>
    <row r="17" spans="1:9" ht="15.75">
      <c r="A17" s="124" t="s">
        <v>52</v>
      </c>
      <c r="B17" s="121" t="s">
        <v>37</v>
      </c>
      <c r="C17" s="122">
        <f>SUMIF('Stavební rozpočet'!AI12:AI1282,"04_1",'Stavební rozpočet'!AE12:AE1282)</f>
        <v>0</v>
      </c>
      <c r="D17" s="219" t="s">
        <v>52</v>
      </c>
      <c r="E17" s="220"/>
      <c r="F17" s="123" t="s">
        <v>52</v>
      </c>
      <c r="G17" s="219" t="s">
        <v>1891</v>
      </c>
      <c r="H17" s="220"/>
      <c r="I17" s="123">
        <f>'VORN objektu (04_1)'!I24</f>
        <v>0</v>
      </c>
    </row>
    <row r="18" spans="1:9" ht="15.75">
      <c r="A18" s="120" t="s">
        <v>1892</v>
      </c>
      <c r="B18" s="121" t="s">
        <v>1883</v>
      </c>
      <c r="C18" s="122">
        <f>SUMIF('Stavební rozpočet'!AI12:AI1282,"04_1",'Stavební rozpočet'!AF12:AF1282)</f>
        <v>0</v>
      </c>
      <c r="D18" s="219" t="s">
        <v>52</v>
      </c>
      <c r="E18" s="220"/>
      <c r="F18" s="123" t="s">
        <v>52</v>
      </c>
      <c r="G18" s="219" t="s">
        <v>1893</v>
      </c>
      <c r="H18" s="220"/>
      <c r="I18" s="123">
        <f>'VORN objektu (04_1)'!I25</f>
        <v>0</v>
      </c>
    </row>
    <row r="19" spans="1:9" ht="15.75">
      <c r="A19" s="124" t="s">
        <v>52</v>
      </c>
      <c r="B19" s="121" t="s">
        <v>37</v>
      </c>
      <c r="C19" s="122">
        <f>SUMIF('Stavební rozpočet'!AI12:AI1282,"04_1",'Stavební rozpočet'!AG12:AG1282)</f>
        <v>0</v>
      </c>
      <c r="D19" s="219" t="s">
        <v>52</v>
      </c>
      <c r="E19" s="220"/>
      <c r="F19" s="123" t="s">
        <v>52</v>
      </c>
      <c r="G19" s="219" t="s">
        <v>1894</v>
      </c>
      <c r="H19" s="220"/>
      <c r="I19" s="123">
        <f>'VORN objektu (04_1)'!I26</f>
        <v>0</v>
      </c>
    </row>
    <row r="20" spans="1:9" ht="15.75">
      <c r="A20" s="213" t="s">
        <v>1895</v>
      </c>
      <c r="B20" s="214"/>
      <c r="C20" s="122">
        <f>SUMIF('Stavební rozpočet'!AI12:AI1282,"04_1",'Stavební rozpočet'!AH12:AH1282)</f>
        <v>0</v>
      </c>
      <c r="D20" s="219" t="s">
        <v>52</v>
      </c>
      <c r="E20" s="220"/>
      <c r="F20" s="123" t="s">
        <v>52</v>
      </c>
      <c r="G20" s="219" t="s">
        <v>52</v>
      </c>
      <c r="H20" s="220"/>
      <c r="I20" s="123" t="s">
        <v>52</v>
      </c>
    </row>
    <row r="21" spans="1:9" ht="15.75">
      <c r="A21" s="215" t="s">
        <v>1896</v>
      </c>
      <c r="B21" s="216"/>
      <c r="C21" s="122">
        <f>SUMIF('Stavební rozpočet'!AI12:AI1282,"04_1",'Stavební rozpočet'!Z12:Z1282)</f>
        <v>0</v>
      </c>
      <c r="D21" s="221" t="s">
        <v>52</v>
      </c>
      <c r="E21" s="222"/>
      <c r="F21" s="126" t="s">
        <v>52</v>
      </c>
      <c r="G21" s="221" t="s">
        <v>52</v>
      </c>
      <c r="H21" s="222"/>
      <c r="I21" s="126" t="s">
        <v>52</v>
      </c>
    </row>
    <row r="22" spans="1:9" ht="16.5" customHeight="1">
      <c r="A22" s="217" t="s">
        <v>1897</v>
      </c>
      <c r="B22" s="218"/>
      <c r="C22" s="122">
        <f>SUM(C14:C21)</f>
        <v>0</v>
      </c>
      <c r="D22" s="223" t="s">
        <v>1898</v>
      </c>
      <c r="E22" s="218"/>
      <c r="F22" s="127">
        <f>SUM(F14:F21)</f>
        <v>0</v>
      </c>
      <c r="G22" s="223" t="s">
        <v>1899</v>
      </c>
      <c r="H22" s="218"/>
      <c r="I22" s="127">
        <f>SUM(I14:I21)</f>
        <v>0</v>
      </c>
    </row>
    <row r="23" spans="7:9" ht="15.75">
      <c r="G23" s="213" t="s">
        <v>1902</v>
      </c>
      <c r="H23" s="214"/>
      <c r="I23" s="122">
        <f>'VORN objektu (04_1)'!I36</f>
        <v>0</v>
      </c>
    </row>
    <row r="25" spans="1:3" ht="15.75">
      <c r="A25" s="225" t="s">
        <v>1904</v>
      </c>
      <c r="B25" s="226"/>
      <c r="C25" s="128">
        <f>('Stavební rozpočet'!AS871+'Stavební rozpočet'!AS897+'Stavební rozpočet'!AS908+'Stavební rozpočet'!AS914+'Stavební rozpočet'!AS940+'Stavební rozpočet'!AS967+'Stavební rozpočet'!AS999+'Stavební rozpočet'!AS1009+'Stavební rozpočet'!AS1016+'Stavební rozpočet'!AS1053+'Stavební rozpočet'!AS1064+'Stavební rozpočet'!AS1091+'Stavební rozpočet'!AS1104+'Stavební rozpočet'!AS1126+'Stavební rozpočet'!AS1133+'Stavební rozpočet'!AS1149+'Stavební rozpočet'!AS1155+'Stavební rozpočet'!AS1167+'Stavební rozpočet'!AS1189)</f>
        <v>0</v>
      </c>
    </row>
    <row r="26" spans="1:9" ht="15.75">
      <c r="A26" s="227" t="s">
        <v>1905</v>
      </c>
      <c r="B26" s="228"/>
      <c r="C26" s="129">
        <f>('Stavební rozpočet'!AT871+'Stavební rozpočet'!AT897+'Stavební rozpočet'!AT908+'Stavební rozpočet'!AT914+'Stavební rozpočet'!AT940+'Stavební rozpočet'!AT967+'Stavební rozpočet'!AT999+'Stavební rozpočet'!AT1009+'Stavební rozpočet'!AT1016+'Stavební rozpočet'!AT1053+'Stavební rozpočet'!AT1064+'Stavební rozpočet'!AT1091+'Stavební rozpočet'!AT1104+'Stavební rozpočet'!AT1126+'Stavební rozpočet'!AT1133+'Stavební rozpočet'!AT1149+'Stavební rozpočet'!AT1155+'Stavební rozpočet'!AT1167+'Stavební rozpočet'!AT1189)</f>
        <v>0</v>
      </c>
      <c r="D26" s="229" t="s">
        <v>1906</v>
      </c>
      <c r="E26" s="226"/>
      <c r="F26" s="128">
        <f>ROUND(C26*(12/100),2)</f>
        <v>0</v>
      </c>
      <c r="G26" s="229" t="s">
        <v>1907</v>
      </c>
      <c r="H26" s="226"/>
      <c r="I26" s="128">
        <f>SUM(C25:C27)</f>
        <v>0</v>
      </c>
    </row>
    <row r="27" spans="1:9" ht="15.75">
      <c r="A27" s="227" t="s">
        <v>1908</v>
      </c>
      <c r="B27" s="228"/>
      <c r="C27" s="129">
        <f>('Stavební rozpočet'!AU871+'Stavební rozpočet'!AU897+'Stavební rozpočet'!AU908+'Stavební rozpočet'!AU914+'Stavební rozpočet'!AU940+'Stavební rozpočet'!AU967+'Stavební rozpočet'!AU999+'Stavební rozpočet'!AU1009+'Stavební rozpočet'!AU1016+'Stavební rozpočet'!AU1053+'Stavební rozpočet'!AU1064+'Stavební rozpočet'!AU1091+'Stavební rozpočet'!AU1104+'Stavební rozpočet'!AU1126+'Stavební rozpočet'!AU1133+'Stavební rozpočet'!AU1149+'Stavební rozpočet'!AU1155+'Stavební rozpočet'!AU1167+'Stavební rozpočet'!AU1189)+(F22+I22+F23+I23+I24)</f>
        <v>0</v>
      </c>
      <c r="D27" s="230" t="s">
        <v>1909</v>
      </c>
      <c r="E27" s="228"/>
      <c r="F27" s="129">
        <f>ROUND(C27*(21/100),2)</f>
        <v>0</v>
      </c>
      <c r="G27" s="230" t="s">
        <v>1910</v>
      </c>
      <c r="H27" s="228"/>
      <c r="I27" s="129">
        <f>SUM(F26:F27)+I26</f>
        <v>0</v>
      </c>
    </row>
    <row r="29" spans="1:9" ht="15">
      <c r="A29" s="231" t="s">
        <v>1911</v>
      </c>
      <c r="B29" s="232"/>
      <c r="C29" s="233"/>
      <c r="D29" s="240" t="s">
        <v>1912</v>
      </c>
      <c r="E29" s="232"/>
      <c r="F29" s="233"/>
      <c r="G29" s="240" t="s">
        <v>1913</v>
      </c>
      <c r="H29" s="232"/>
      <c r="I29" s="233"/>
    </row>
    <row r="30" spans="1:9" ht="15">
      <c r="A30" s="234" t="s">
        <v>52</v>
      </c>
      <c r="B30" s="235"/>
      <c r="C30" s="236"/>
      <c r="D30" s="241" t="s">
        <v>52</v>
      </c>
      <c r="E30" s="235"/>
      <c r="F30" s="236"/>
      <c r="G30" s="241" t="s">
        <v>52</v>
      </c>
      <c r="H30" s="235"/>
      <c r="I30" s="236"/>
    </row>
    <row r="31" spans="1:9" ht="15">
      <c r="A31" s="234" t="s">
        <v>52</v>
      </c>
      <c r="B31" s="235"/>
      <c r="C31" s="236"/>
      <c r="D31" s="241" t="s">
        <v>52</v>
      </c>
      <c r="E31" s="235"/>
      <c r="F31" s="236"/>
      <c r="G31" s="241" t="s">
        <v>52</v>
      </c>
      <c r="H31" s="235"/>
      <c r="I31" s="236"/>
    </row>
    <row r="32" spans="1:9" ht="15">
      <c r="A32" s="234" t="s">
        <v>52</v>
      </c>
      <c r="B32" s="235"/>
      <c r="C32" s="236"/>
      <c r="D32" s="241" t="s">
        <v>52</v>
      </c>
      <c r="E32" s="235"/>
      <c r="F32" s="236"/>
      <c r="G32" s="241" t="s">
        <v>52</v>
      </c>
      <c r="H32" s="235"/>
      <c r="I32" s="236"/>
    </row>
    <row r="33" spans="1:9" ht="15">
      <c r="A33" s="237" t="s">
        <v>1914</v>
      </c>
      <c r="B33" s="238"/>
      <c r="C33" s="239"/>
      <c r="D33" s="242" t="s">
        <v>1914</v>
      </c>
      <c r="E33" s="238"/>
      <c r="F33" s="239"/>
      <c r="G33" s="242" t="s">
        <v>1914</v>
      </c>
      <c r="H33" s="238"/>
      <c r="I33" s="239"/>
    </row>
    <row r="34" ht="15">
      <c r="A34" s="130" t="s">
        <v>1868</v>
      </c>
    </row>
    <row r="35" spans="1:9" ht="12.75" customHeight="1">
      <c r="A35" s="148" t="s">
        <v>52</v>
      </c>
      <c r="B35" s="143"/>
      <c r="C35" s="143"/>
      <c r="D35" s="143"/>
      <c r="E35" s="143"/>
      <c r="F35" s="143"/>
      <c r="G35" s="143"/>
      <c r="H35" s="143"/>
      <c r="I35" s="143"/>
    </row>
  </sheetData>
  <mergeCells count="80">
    <mergeCell ref="G32:I32"/>
    <mergeCell ref="G33:I33"/>
    <mergeCell ref="A35:I35"/>
    <mergeCell ref="A32:C32"/>
    <mergeCell ref="A33:C33"/>
    <mergeCell ref="D29:F29"/>
    <mergeCell ref="D30:F30"/>
    <mergeCell ref="D31:F31"/>
    <mergeCell ref="D32:F32"/>
    <mergeCell ref="D33:F33"/>
    <mergeCell ref="G26:H26"/>
    <mergeCell ref="G27:H27"/>
    <mergeCell ref="A29:C29"/>
    <mergeCell ref="A30:C30"/>
    <mergeCell ref="A31:C31"/>
    <mergeCell ref="G29:I29"/>
    <mergeCell ref="G30:I30"/>
    <mergeCell ref="G31:I31"/>
    <mergeCell ref="A25:B25"/>
    <mergeCell ref="A26:B26"/>
    <mergeCell ref="A27:B27"/>
    <mergeCell ref="D26:E26"/>
    <mergeCell ref="D27:E27"/>
    <mergeCell ref="G19:H19"/>
    <mergeCell ref="G20:H20"/>
    <mergeCell ref="G21:H21"/>
    <mergeCell ref="G22:H22"/>
    <mergeCell ref="G23:H23"/>
    <mergeCell ref="G14:H14"/>
    <mergeCell ref="G15:H15"/>
    <mergeCell ref="G16:H16"/>
    <mergeCell ref="G17:H17"/>
    <mergeCell ref="G18:H18"/>
    <mergeCell ref="A20:B20"/>
    <mergeCell ref="A21:B21"/>
    <mergeCell ref="A22:B22"/>
    <mergeCell ref="D14:E14"/>
    <mergeCell ref="D15:E15"/>
    <mergeCell ref="D16:E16"/>
    <mergeCell ref="D17:E17"/>
    <mergeCell ref="D18:E18"/>
    <mergeCell ref="D19:E19"/>
    <mergeCell ref="D20:E20"/>
    <mergeCell ref="D21:E21"/>
    <mergeCell ref="D22:E22"/>
    <mergeCell ref="I10:I11"/>
    <mergeCell ref="A12:I12"/>
    <mergeCell ref="B13:C13"/>
    <mergeCell ref="E13:F13"/>
    <mergeCell ref="H13:I13"/>
    <mergeCell ref="F10:G11"/>
    <mergeCell ref="H2:H3"/>
    <mergeCell ref="H4:H5"/>
    <mergeCell ref="H6:H7"/>
    <mergeCell ref="H8:H9"/>
    <mergeCell ref="H10:H11"/>
    <mergeCell ref="A10:B11"/>
    <mergeCell ref="E2:E3"/>
    <mergeCell ref="E4:E5"/>
    <mergeCell ref="E6:E7"/>
    <mergeCell ref="E8:E9"/>
    <mergeCell ref="E10:E11"/>
    <mergeCell ref="C2:D3"/>
    <mergeCell ref="C4:D5"/>
    <mergeCell ref="C6:D7"/>
    <mergeCell ref="C8:D9"/>
    <mergeCell ref="C10:D11"/>
    <mergeCell ref="A1:I1"/>
    <mergeCell ref="A2:B3"/>
    <mergeCell ref="A4:B5"/>
    <mergeCell ref="A6:B7"/>
    <mergeCell ref="A8:B9"/>
    <mergeCell ref="F2:G3"/>
    <mergeCell ref="F4:G5"/>
    <mergeCell ref="F6:G7"/>
    <mergeCell ref="F8:G9"/>
    <mergeCell ref="I2:I3"/>
    <mergeCell ref="I4:I5"/>
    <mergeCell ref="I6:I7"/>
    <mergeCell ref="I8:I9"/>
  </mergeCells>
  <printOptions/>
  <pageMargins left="0.393999993801117" right="0.393999993801117" top="0.591000020503998" bottom="0.591000020503998" header="0" footer="0"/>
  <pageSetup fitToHeight="1" fitToWidth="1" horizontalDpi="600" verticalDpi="600" orientation="landscape"/>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36"/>
  <sheetViews>
    <sheetView workbookViewId="0" topLeftCell="A1">
      <selection activeCell="A36" sqref="A36:E36"/>
    </sheetView>
  </sheetViews>
  <sheetFormatPr defaultColWidth="12.140625" defaultRowHeight="15" customHeight="1"/>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7.140625" style="0" customWidth="1"/>
    <col min="9" max="9" width="22.8515625" style="0" customWidth="1"/>
  </cols>
  <sheetData>
    <row r="1" spans="1:9" ht="54.75" customHeight="1">
      <c r="A1" s="205" t="s">
        <v>1941</v>
      </c>
      <c r="B1" s="139"/>
      <c r="C1" s="139"/>
      <c r="D1" s="139"/>
      <c r="E1" s="139"/>
      <c r="F1" s="139"/>
      <c r="G1" s="139"/>
      <c r="H1" s="139"/>
      <c r="I1" s="139"/>
    </row>
    <row r="2" spans="1:9" ht="15">
      <c r="A2" s="140" t="s">
        <v>1</v>
      </c>
      <c r="B2" s="141"/>
      <c r="C2" s="149" t="str">
        <f>'Stavební rozpočet'!D2</f>
        <v>Vybudování a rekonstrukce odborných učeben v ZŠ TGM</v>
      </c>
      <c r="D2" s="150"/>
      <c r="E2" s="147" t="s">
        <v>5</v>
      </c>
      <c r="F2" s="147" t="str">
        <f>'Stavební rozpočet'!J2</f>
        <v>Město ivančice</v>
      </c>
      <c r="G2" s="141"/>
      <c r="H2" s="147" t="s">
        <v>1870</v>
      </c>
      <c r="I2" s="152" t="s">
        <v>1871</v>
      </c>
    </row>
    <row r="3" spans="1:9" ht="15" customHeight="1">
      <c r="A3" s="142"/>
      <c r="B3" s="143"/>
      <c r="C3" s="151"/>
      <c r="D3" s="151"/>
      <c r="E3" s="143"/>
      <c r="F3" s="143"/>
      <c r="G3" s="143"/>
      <c r="H3" s="143"/>
      <c r="I3" s="153"/>
    </row>
    <row r="4" spans="1:9" ht="15">
      <c r="A4" s="144" t="s">
        <v>7</v>
      </c>
      <c r="B4" s="143"/>
      <c r="C4" s="148" t="str">
        <f>'Stavební rozpočet'!D4</f>
        <v>Stavební úpravy</v>
      </c>
      <c r="D4" s="143"/>
      <c r="E4" s="148" t="s">
        <v>11</v>
      </c>
      <c r="F4" s="148" t="str">
        <f>'Stavební rozpočet'!J4</f>
        <v>Tomáš Sýkora</v>
      </c>
      <c r="G4" s="143"/>
      <c r="H4" s="148" t="s">
        <v>1870</v>
      </c>
      <c r="I4" s="153" t="s">
        <v>1872</v>
      </c>
    </row>
    <row r="5" spans="1:9" ht="15" customHeight="1">
      <c r="A5" s="142"/>
      <c r="B5" s="143"/>
      <c r="C5" s="143"/>
      <c r="D5" s="143"/>
      <c r="E5" s="143"/>
      <c r="F5" s="143"/>
      <c r="G5" s="143"/>
      <c r="H5" s="143"/>
      <c r="I5" s="153"/>
    </row>
    <row r="6" spans="1:9" ht="15">
      <c r="A6" s="144" t="s">
        <v>13</v>
      </c>
      <c r="B6" s="143"/>
      <c r="C6" s="148" t="str">
        <f>'Stavební rozpočet'!D6</f>
        <v>ZŠ TGM Ivančice; Na Brněnce 1, 664 91 Ivančice</v>
      </c>
      <c r="D6" s="143"/>
      <c r="E6" s="148" t="s">
        <v>16</v>
      </c>
      <c r="F6" s="148" t="str">
        <f>'Stavební rozpočet'!J6</f>
        <v> </v>
      </c>
      <c r="G6" s="143"/>
      <c r="H6" s="148" t="s">
        <v>1870</v>
      </c>
      <c r="I6" s="153" t="s">
        <v>52</v>
      </c>
    </row>
    <row r="7" spans="1:9" ht="15" customHeight="1">
      <c r="A7" s="142"/>
      <c r="B7" s="143"/>
      <c r="C7" s="143"/>
      <c r="D7" s="143"/>
      <c r="E7" s="143"/>
      <c r="F7" s="143"/>
      <c r="G7" s="143"/>
      <c r="H7" s="143"/>
      <c r="I7" s="153"/>
    </row>
    <row r="8" spans="1:9" ht="15">
      <c r="A8" s="144" t="s">
        <v>9</v>
      </c>
      <c r="B8" s="143"/>
      <c r="C8" s="148" t="str">
        <f>'Stavební rozpočet'!H4</f>
        <v>22.09.2023</v>
      </c>
      <c r="D8" s="143"/>
      <c r="E8" s="148" t="s">
        <v>15</v>
      </c>
      <c r="F8" s="148" t="str">
        <f>'Stavební rozpočet'!H6</f>
        <v xml:space="preserve"> </v>
      </c>
      <c r="G8" s="143"/>
      <c r="H8" s="143" t="s">
        <v>1873</v>
      </c>
      <c r="I8" s="207">
        <v>108</v>
      </c>
    </row>
    <row r="9" spans="1:9" ht="15">
      <c r="A9" s="142"/>
      <c r="B9" s="143"/>
      <c r="C9" s="143"/>
      <c r="D9" s="143"/>
      <c r="E9" s="143"/>
      <c r="F9" s="143"/>
      <c r="G9" s="143"/>
      <c r="H9" s="143"/>
      <c r="I9" s="153"/>
    </row>
    <row r="10" spans="1:9" ht="15">
      <c r="A10" s="144" t="s">
        <v>18</v>
      </c>
      <c r="B10" s="143"/>
      <c r="C10" s="148" t="str">
        <f>'Stavební rozpočet'!D8</f>
        <v>8013212</v>
      </c>
      <c r="D10" s="143"/>
      <c r="E10" s="148" t="s">
        <v>21</v>
      </c>
      <c r="F10" s="148" t="str">
        <f>'Stavební rozpočet'!J8</f>
        <v>Tomáš Sýkora</v>
      </c>
      <c r="G10" s="143"/>
      <c r="H10" s="143" t="s">
        <v>1874</v>
      </c>
      <c r="I10" s="208" t="str">
        <f>'Stavební rozpočet'!H8</f>
        <v>22.09.2023</v>
      </c>
    </row>
    <row r="11" spans="1:9" ht="15">
      <c r="A11" s="206"/>
      <c r="B11" s="203"/>
      <c r="C11" s="203"/>
      <c r="D11" s="203"/>
      <c r="E11" s="203"/>
      <c r="F11" s="203"/>
      <c r="G11" s="203"/>
      <c r="H11" s="203"/>
      <c r="I11" s="209"/>
    </row>
    <row r="13" spans="1:5" ht="15.75">
      <c r="A13" s="243" t="s">
        <v>1916</v>
      </c>
      <c r="B13" s="243"/>
      <c r="C13" s="243"/>
      <c r="D13" s="243"/>
      <c r="E13" s="243"/>
    </row>
    <row r="14" spans="1:9" ht="15">
      <c r="A14" s="244" t="s">
        <v>1917</v>
      </c>
      <c r="B14" s="245"/>
      <c r="C14" s="245"/>
      <c r="D14" s="245"/>
      <c r="E14" s="246"/>
      <c r="F14" s="131" t="s">
        <v>1918</v>
      </c>
      <c r="G14" s="131" t="s">
        <v>951</v>
      </c>
      <c r="H14" s="131" t="s">
        <v>1919</v>
      </c>
      <c r="I14" s="131" t="s">
        <v>1918</v>
      </c>
    </row>
    <row r="15" spans="1:9" ht="15">
      <c r="A15" s="247" t="s">
        <v>1884</v>
      </c>
      <c r="B15" s="248"/>
      <c r="C15" s="248"/>
      <c r="D15" s="248"/>
      <c r="E15" s="249"/>
      <c r="F15" s="132">
        <v>0</v>
      </c>
      <c r="G15" s="133" t="s">
        <v>52</v>
      </c>
      <c r="H15" s="133" t="s">
        <v>52</v>
      </c>
      <c r="I15" s="132">
        <f>F15</f>
        <v>0</v>
      </c>
    </row>
    <row r="16" spans="1:9" ht="15">
      <c r="A16" s="247" t="s">
        <v>1886</v>
      </c>
      <c r="B16" s="248"/>
      <c r="C16" s="248"/>
      <c r="D16" s="248"/>
      <c r="E16" s="249"/>
      <c r="F16" s="132">
        <v>0</v>
      </c>
      <c r="G16" s="133" t="s">
        <v>52</v>
      </c>
      <c r="H16" s="133" t="s">
        <v>52</v>
      </c>
      <c r="I16" s="132">
        <f>F16</f>
        <v>0</v>
      </c>
    </row>
    <row r="17" spans="1:9" ht="15">
      <c r="A17" s="250" t="s">
        <v>1889</v>
      </c>
      <c r="B17" s="251"/>
      <c r="C17" s="251"/>
      <c r="D17" s="251"/>
      <c r="E17" s="252"/>
      <c r="F17" s="134">
        <v>0</v>
      </c>
      <c r="G17" s="135" t="s">
        <v>52</v>
      </c>
      <c r="H17" s="135" t="s">
        <v>52</v>
      </c>
      <c r="I17" s="134">
        <f>F17</f>
        <v>0</v>
      </c>
    </row>
    <row r="18" spans="1:9" ht="15">
      <c r="A18" s="253" t="s">
        <v>1920</v>
      </c>
      <c r="B18" s="254"/>
      <c r="C18" s="254"/>
      <c r="D18" s="254"/>
      <c r="E18" s="255"/>
      <c r="F18" s="136" t="s">
        <v>52</v>
      </c>
      <c r="G18" s="137" t="s">
        <v>52</v>
      </c>
      <c r="H18" s="137" t="s">
        <v>52</v>
      </c>
      <c r="I18" s="138">
        <f>SUM(I15:I17)</f>
        <v>0</v>
      </c>
    </row>
    <row r="20" spans="1:9" ht="15">
      <c r="A20" s="244" t="s">
        <v>1881</v>
      </c>
      <c r="B20" s="245"/>
      <c r="C20" s="245"/>
      <c r="D20" s="245"/>
      <c r="E20" s="246"/>
      <c r="F20" s="131" t="s">
        <v>1918</v>
      </c>
      <c r="G20" s="131" t="s">
        <v>951</v>
      </c>
      <c r="H20" s="131" t="s">
        <v>1919</v>
      </c>
      <c r="I20" s="131" t="s">
        <v>1918</v>
      </c>
    </row>
    <row r="21" spans="1:9" ht="15">
      <c r="A21" s="247" t="s">
        <v>1885</v>
      </c>
      <c r="B21" s="248"/>
      <c r="C21" s="248"/>
      <c r="D21" s="248"/>
      <c r="E21" s="249"/>
      <c r="F21" s="132">
        <v>0</v>
      </c>
      <c r="G21" s="133" t="s">
        <v>52</v>
      </c>
      <c r="H21" s="133" t="s">
        <v>52</v>
      </c>
      <c r="I21" s="132">
        <f aca="true" t="shared" si="0" ref="I21:I26">F21</f>
        <v>0</v>
      </c>
    </row>
    <row r="22" spans="1:9" ht="15">
      <c r="A22" s="247" t="s">
        <v>1887</v>
      </c>
      <c r="B22" s="248"/>
      <c r="C22" s="248"/>
      <c r="D22" s="248"/>
      <c r="E22" s="249"/>
      <c r="F22" s="132">
        <v>0</v>
      </c>
      <c r="G22" s="133" t="s">
        <v>52</v>
      </c>
      <c r="H22" s="133" t="s">
        <v>52</v>
      </c>
      <c r="I22" s="132">
        <f t="shared" si="0"/>
        <v>0</v>
      </c>
    </row>
    <row r="23" spans="1:9" ht="15">
      <c r="A23" s="247" t="s">
        <v>1890</v>
      </c>
      <c r="B23" s="248"/>
      <c r="C23" s="248"/>
      <c r="D23" s="248"/>
      <c r="E23" s="249"/>
      <c r="F23" s="132">
        <v>0</v>
      </c>
      <c r="G23" s="133" t="s">
        <v>52</v>
      </c>
      <c r="H23" s="133" t="s">
        <v>52</v>
      </c>
      <c r="I23" s="132">
        <f t="shared" si="0"/>
        <v>0</v>
      </c>
    </row>
    <row r="24" spans="1:9" ht="15">
      <c r="A24" s="247" t="s">
        <v>1891</v>
      </c>
      <c r="B24" s="248"/>
      <c r="C24" s="248"/>
      <c r="D24" s="248"/>
      <c r="E24" s="249"/>
      <c r="F24" s="132">
        <v>0</v>
      </c>
      <c r="G24" s="133" t="s">
        <v>52</v>
      </c>
      <c r="H24" s="133" t="s">
        <v>52</v>
      </c>
      <c r="I24" s="132">
        <f t="shared" si="0"/>
        <v>0</v>
      </c>
    </row>
    <row r="25" spans="1:9" ht="15">
      <c r="A25" s="247" t="s">
        <v>1893</v>
      </c>
      <c r="B25" s="248"/>
      <c r="C25" s="248"/>
      <c r="D25" s="248"/>
      <c r="E25" s="249"/>
      <c r="F25" s="132">
        <v>0</v>
      </c>
      <c r="G25" s="133" t="s">
        <v>52</v>
      </c>
      <c r="H25" s="133" t="s">
        <v>52</v>
      </c>
      <c r="I25" s="132">
        <f t="shared" si="0"/>
        <v>0</v>
      </c>
    </row>
    <row r="26" spans="1:9" ht="15">
      <c r="A26" s="250" t="s">
        <v>1894</v>
      </c>
      <c r="B26" s="251"/>
      <c r="C26" s="251"/>
      <c r="D26" s="251"/>
      <c r="E26" s="252"/>
      <c r="F26" s="134">
        <v>0</v>
      </c>
      <c r="G26" s="135" t="s">
        <v>52</v>
      </c>
      <c r="H26" s="135" t="s">
        <v>52</v>
      </c>
      <c r="I26" s="134">
        <f t="shared" si="0"/>
        <v>0</v>
      </c>
    </row>
    <row r="27" spans="1:9" ht="15">
      <c r="A27" s="253" t="s">
        <v>1921</v>
      </c>
      <c r="B27" s="254"/>
      <c r="C27" s="254"/>
      <c r="D27" s="254"/>
      <c r="E27" s="255"/>
      <c r="F27" s="136" t="s">
        <v>52</v>
      </c>
      <c r="G27" s="137" t="s">
        <v>52</v>
      </c>
      <c r="H27" s="137" t="s">
        <v>52</v>
      </c>
      <c r="I27" s="138">
        <f>SUM(I21:I26)</f>
        <v>0</v>
      </c>
    </row>
    <row r="29" spans="1:9" ht="15.75">
      <c r="A29" s="256" t="s">
        <v>1922</v>
      </c>
      <c r="B29" s="257"/>
      <c r="C29" s="257"/>
      <c r="D29" s="257"/>
      <c r="E29" s="258"/>
      <c r="F29" s="259">
        <f>I18+I27</f>
        <v>0</v>
      </c>
      <c r="G29" s="260"/>
      <c r="H29" s="260"/>
      <c r="I29" s="261"/>
    </row>
    <row r="33" spans="1:5" ht="15.75">
      <c r="A33" s="243" t="s">
        <v>1923</v>
      </c>
      <c r="B33" s="243"/>
      <c r="C33" s="243"/>
      <c r="D33" s="243"/>
      <c r="E33" s="243"/>
    </row>
    <row r="34" spans="1:9" ht="15">
      <c r="A34" s="244" t="s">
        <v>1924</v>
      </c>
      <c r="B34" s="245"/>
      <c r="C34" s="245"/>
      <c r="D34" s="245"/>
      <c r="E34" s="246"/>
      <c r="F34" s="131" t="s">
        <v>1918</v>
      </c>
      <c r="G34" s="131" t="s">
        <v>951</v>
      </c>
      <c r="H34" s="131" t="s">
        <v>1919</v>
      </c>
      <c r="I34" s="131" t="s">
        <v>1918</v>
      </c>
    </row>
    <row r="35" spans="1:9" ht="15">
      <c r="A35" s="250" t="s">
        <v>52</v>
      </c>
      <c r="B35" s="251"/>
      <c r="C35" s="251"/>
      <c r="D35" s="251"/>
      <c r="E35" s="252"/>
      <c r="F35" s="134">
        <v>0</v>
      </c>
      <c r="G35" s="135" t="s">
        <v>52</v>
      </c>
      <c r="H35" s="135" t="s">
        <v>52</v>
      </c>
      <c r="I35" s="134">
        <f>F35</f>
        <v>0</v>
      </c>
    </row>
    <row r="36" spans="1:9" ht="15">
      <c r="A36" s="253" t="s">
        <v>1925</v>
      </c>
      <c r="B36" s="254"/>
      <c r="C36" s="254"/>
      <c r="D36" s="254"/>
      <c r="E36" s="255"/>
      <c r="F36" s="136" t="s">
        <v>52</v>
      </c>
      <c r="G36" s="137" t="s">
        <v>52</v>
      </c>
      <c r="H36" s="137" t="s">
        <v>52</v>
      </c>
      <c r="I36" s="138">
        <f>SUM(I35:I35)</f>
        <v>0</v>
      </c>
    </row>
  </sheetData>
  <mergeCells count="51">
    <mergeCell ref="A36:E36"/>
    <mergeCell ref="A29:E29"/>
    <mergeCell ref="F29:I29"/>
    <mergeCell ref="A33:E33"/>
    <mergeCell ref="A34:E34"/>
    <mergeCell ref="A35:E35"/>
    <mergeCell ref="A23:E23"/>
    <mergeCell ref="A24:E24"/>
    <mergeCell ref="A25:E25"/>
    <mergeCell ref="A26:E26"/>
    <mergeCell ref="A27:E27"/>
    <mergeCell ref="A17:E17"/>
    <mergeCell ref="A18:E18"/>
    <mergeCell ref="A20:E20"/>
    <mergeCell ref="A21:E21"/>
    <mergeCell ref="A22:E22"/>
    <mergeCell ref="I10:I11"/>
    <mergeCell ref="A13:E13"/>
    <mergeCell ref="A14:E14"/>
    <mergeCell ref="A15:E15"/>
    <mergeCell ref="A16:E16"/>
    <mergeCell ref="H10:H11"/>
    <mergeCell ref="C2:D3"/>
    <mergeCell ref="C4:D5"/>
    <mergeCell ref="C6:D7"/>
    <mergeCell ref="C8:D9"/>
    <mergeCell ref="C10:D11"/>
    <mergeCell ref="F2:G3"/>
    <mergeCell ref="F4:G5"/>
    <mergeCell ref="F6:G7"/>
    <mergeCell ref="F8:G9"/>
    <mergeCell ref="F10:G11"/>
    <mergeCell ref="A10:B11"/>
    <mergeCell ref="E2:E3"/>
    <mergeCell ref="E4:E5"/>
    <mergeCell ref="E6:E7"/>
    <mergeCell ref="E8:E9"/>
    <mergeCell ref="E10:E11"/>
    <mergeCell ref="A1:I1"/>
    <mergeCell ref="A2:B3"/>
    <mergeCell ref="A4:B5"/>
    <mergeCell ref="A6:B7"/>
    <mergeCell ref="A8:B9"/>
    <mergeCell ref="H2:H3"/>
    <mergeCell ref="H4:H5"/>
    <mergeCell ref="H6:H7"/>
    <mergeCell ref="H8:H9"/>
    <mergeCell ref="I2:I3"/>
    <mergeCell ref="I4:I5"/>
    <mergeCell ref="I6:I7"/>
    <mergeCell ref="I8:I9"/>
  </mergeCells>
  <printOptions/>
  <pageMargins left="0.393999993801117" right="0.393999993801117" top="0.591000020503998" bottom="0.591000020503998" header="0" footer="0"/>
  <pageSetup fitToHeight="0" fitToWidth="1" horizontalDpi="600" verticalDpi="600" orientation="landscape"/>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35"/>
  <sheetViews>
    <sheetView workbookViewId="0" topLeftCell="A1">
      <selection activeCell="A35" sqref="A35:I35"/>
    </sheetView>
  </sheetViews>
  <sheetFormatPr defaultColWidth="12.140625" defaultRowHeight="15" customHeight="1"/>
  <cols>
    <col min="1" max="1" width="9.140625" style="0" customWidth="1"/>
    <col min="2" max="2" width="12.8515625" style="0" customWidth="1"/>
    <col min="3" max="3" width="27.140625" style="0" customWidth="1"/>
    <col min="4" max="4" width="10.00390625" style="0" customWidth="1"/>
    <col min="5" max="5" width="14.00390625" style="0" customWidth="1"/>
    <col min="6" max="6" width="27.140625" style="0" customWidth="1"/>
    <col min="7" max="7" width="9.140625" style="0" customWidth="1"/>
    <col min="8" max="8" width="12.8515625" style="0" customWidth="1"/>
    <col min="9" max="9" width="27.140625" style="0" customWidth="1"/>
  </cols>
  <sheetData>
    <row r="1" spans="1:9" ht="54.75" customHeight="1">
      <c r="A1" s="205" t="s">
        <v>1942</v>
      </c>
      <c r="B1" s="139"/>
      <c r="C1" s="139"/>
      <c r="D1" s="139"/>
      <c r="E1" s="139"/>
      <c r="F1" s="139"/>
      <c r="G1" s="139"/>
      <c r="H1" s="139"/>
      <c r="I1" s="139"/>
    </row>
    <row r="2" spans="1:9" ht="15">
      <c r="A2" s="140" t="s">
        <v>1</v>
      </c>
      <c r="B2" s="141"/>
      <c r="C2" s="149" t="str">
        <f>'Stavební rozpočet'!D2</f>
        <v>Vybudování a rekonstrukce odborných učeben v ZŠ TGM</v>
      </c>
      <c r="D2" s="150"/>
      <c r="E2" s="147" t="s">
        <v>5</v>
      </c>
      <c r="F2" s="147" t="str">
        <f>'Stavební rozpočet'!J2</f>
        <v>Město ivančice</v>
      </c>
      <c r="G2" s="141"/>
      <c r="H2" s="147" t="s">
        <v>1870</v>
      </c>
      <c r="I2" s="152" t="s">
        <v>1871</v>
      </c>
    </row>
    <row r="3" spans="1:9" ht="15" customHeight="1">
      <c r="A3" s="142"/>
      <c r="B3" s="143"/>
      <c r="C3" s="151"/>
      <c r="D3" s="151"/>
      <c r="E3" s="143"/>
      <c r="F3" s="143"/>
      <c r="G3" s="143"/>
      <c r="H3" s="143"/>
      <c r="I3" s="153"/>
    </row>
    <row r="4" spans="1:9" ht="15">
      <c r="A4" s="144" t="s">
        <v>7</v>
      </c>
      <c r="B4" s="143"/>
      <c r="C4" s="148" t="str">
        <f>'Stavební rozpočet'!D4</f>
        <v>Stavební úpravy</v>
      </c>
      <c r="D4" s="143"/>
      <c r="E4" s="148" t="s">
        <v>11</v>
      </c>
      <c r="F4" s="148" t="str">
        <f>'Stavební rozpočet'!J4</f>
        <v>Tomáš Sýkora</v>
      </c>
      <c r="G4" s="143"/>
      <c r="H4" s="148" t="s">
        <v>1870</v>
      </c>
      <c r="I4" s="153" t="s">
        <v>1872</v>
      </c>
    </row>
    <row r="5" spans="1:9" ht="15" customHeight="1">
      <c r="A5" s="142"/>
      <c r="B5" s="143"/>
      <c r="C5" s="143"/>
      <c r="D5" s="143"/>
      <c r="E5" s="143"/>
      <c r="F5" s="143"/>
      <c r="G5" s="143"/>
      <c r="H5" s="143"/>
      <c r="I5" s="153"/>
    </row>
    <row r="6" spans="1:9" ht="15">
      <c r="A6" s="144" t="s">
        <v>13</v>
      </c>
      <c r="B6" s="143"/>
      <c r="C6" s="148" t="str">
        <f>'Stavební rozpočet'!D6</f>
        <v>ZŠ TGM Ivančice; Na Brněnce 1, 664 91 Ivančice</v>
      </c>
      <c r="D6" s="143"/>
      <c r="E6" s="148" t="s">
        <v>16</v>
      </c>
      <c r="F6" s="148" t="str">
        <f>'Stavební rozpočet'!J6</f>
        <v> </v>
      </c>
      <c r="G6" s="143"/>
      <c r="H6" s="148" t="s">
        <v>1870</v>
      </c>
      <c r="I6" s="153" t="s">
        <v>52</v>
      </c>
    </row>
    <row r="7" spans="1:9" ht="15" customHeight="1">
      <c r="A7" s="142"/>
      <c r="B7" s="143"/>
      <c r="C7" s="143"/>
      <c r="D7" s="143"/>
      <c r="E7" s="143"/>
      <c r="F7" s="143"/>
      <c r="G7" s="143"/>
      <c r="H7" s="143"/>
      <c r="I7" s="153"/>
    </row>
    <row r="8" spans="1:9" ht="15">
      <c r="A8" s="144" t="s">
        <v>9</v>
      </c>
      <c r="B8" s="143"/>
      <c r="C8" s="148" t="str">
        <f>'Stavební rozpočet'!H4</f>
        <v>22.09.2023</v>
      </c>
      <c r="D8" s="143"/>
      <c r="E8" s="148" t="s">
        <v>15</v>
      </c>
      <c r="F8" s="148" t="str">
        <f>'Stavební rozpočet'!H6</f>
        <v xml:space="preserve"> </v>
      </c>
      <c r="G8" s="143"/>
      <c r="H8" s="143" t="s">
        <v>1873</v>
      </c>
      <c r="I8" s="207">
        <v>62</v>
      </c>
    </row>
    <row r="9" spans="1:9" ht="15">
      <c r="A9" s="142"/>
      <c r="B9" s="143"/>
      <c r="C9" s="143"/>
      <c r="D9" s="143"/>
      <c r="E9" s="143"/>
      <c r="F9" s="143"/>
      <c r="G9" s="143"/>
      <c r="H9" s="143"/>
      <c r="I9" s="153"/>
    </row>
    <row r="10" spans="1:9" ht="15">
      <c r="A10" s="144" t="s">
        <v>18</v>
      </c>
      <c r="B10" s="143"/>
      <c r="C10" s="148" t="str">
        <f>'Stavební rozpočet'!D8</f>
        <v>8013212</v>
      </c>
      <c r="D10" s="143"/>
      <c r="E10" s="148" t="s">
        <v>21</v>
      </c>
      <c r="F10" s="148" t="str">
        <f>'Stavební rozpočet'!J8</f>
        <v>Tomáš Sýkora</v>
      </c>
      <c r="G10" s="143"/>
      <c r="H10" s="143" t="s">
        <v>1874</v>
      </c>
      <c r="I10" s="208" t="str">
        <f>'Stavební rozpočet'!H8</f>
        <v>22.09.2023</v>
      </c>
    </row>
    <row r="11" spans="1:9" ht="15">
      <c r="A11" s="206"/>
      <c r="B11" s="203"/>
      <c r="C11" s="203"/>
      <c r="D11" s="203"/>
      <c r="E11" s="203"/>
      <c r="F11" s="203"/>
      <c r="G11" s="203"/>
      <c r="H11" s="203"/>
      <c r="I11" s="209"/>
    </row>
    <row r="12" spans="1:9" ht="23.25">
      <c r="A12" s="210" t="s">
        <v>1875</v>
      </c>
      <c r="B12" s="210"/>
      <c r="C12" s="210"/>
      <c r="D12" s="210"/>
      <c r="E12" s="210"/>
      <c r="F12" s="210"/>
      <c r="G12" s="210"/>
      <c r="H12" s="210"/>
      <c r="I12" s="210"/>
    </row>
    <row r="13" spans="1:9" ht="26.25" customHeight="1">
      <c r="A13" s="118" t="s">
        <v>1876</v>
      </c>
      <c r="B13" s="211" t="s">
        <v>1877</v>
      </c>
      <c r="C13" s="212"/>
      <c r="D13" s="119" t="s">
        <v>1878</v>
      </c>
      <c r="E13" s="211" t="s">
        <v>1879</v>
      </c>
      <c r="F13" s="212"/>
      <c r="G13" s="119" t="s">
        <v>1880</v>
      </c>
      <c r="H13" s="211" t="s">
        <v>1881</v>
      </c>
      <c r="I13" s="212"/>
    </row>
    <row r="14" spans="1:9" ht="15.75">
      <c r="A14" s="120" t="s">
        <v>1882</v>
      </c>
      <c r="B14" s="121" t="s">
        <v>1883</v>
      </c>
      <c r="C14" s="122">
        <f>SUMIF('Stavební rozpočet'!AI12:AI1282,"04_2",'Stavební rozpočet'!AB12:AB1282)</f>
        <v>0</v>
      </c>
      <c r="D14" s="219" t="s">
        <v>1884</v>
      </c>
      <c r="E14" s="220"/>
      <c r="F14" s="122">
        <f>'VORN objektu (04_2)'!I15</f>
        <v>0</v>
      </c>
      <c r="G14" s="219" t="s">
        <v>1885</v>
      </c>
      <c r="H14" s="220"/>
      <c r="I14" s="123">
        <f>'VORN objektu (04_2)'!I21</f>
        <v>0</v>
      </c>
    </row>
    <row r="15" spans="1:9" ht="15.75">
      <c r="A15" s="124" t="s">
        <v>52</v>
      </c>
      <c r="B15" s="121" t="s">
        <v>37</v>
      </c>
      <c r="C15" s="122">
        <f>SUMIF('Stavební rozpočet'!AI12:AI1282,"04_2",'Stavební rozpočet'!AC12:AC1282)</f>
        <v>0</v>
      </c>
      <c r="D15" s="219" t="s">
        <v>1886</v>
      </c>
      <c r="E15" s="220"/>
      <c r="F15" s="122">
        <f>'VORN objektu (04_2)'!I16</f>
        <v>0</v>
      </c>
      <c r="G15" s="219" t="s">
        <v>1887</v>
      </c>
      <c r="H15" s="220"/>
      <c r="I15" s="123">
        <f>'VORN objektu (04_2)'!I22</f>
        <v>0</v>
      </c>
    </row>
    <row r="16" spans="1:9" ht="15.75">
      <c r="A16" s="120" t="s">
        <v>1888</v>
      </c>
      <c r="B16" s="121" t="s">
        <v>1883</v>
      </c>
      <c r="C16" s="122">
        <f>SUMIF('Stavební rozpočet'!AI12:AI1282,"04_2",'Stavební rozpočet'!AD12:AD1282)</f>
        <v>0</v>
      </c>
      <c r="D16" s="219" t="s">
        <v>1889</v>
      </c>
      <c r="E16" s="220"/>
      <c r="F16" s="122">
        <f>'VORN objektu (04_2)'!I17</f>
        <v>0</v>
      </c>
      <c r="G16" s="219" t="s">
        <v>1890</v>
      </c>
      <c r="H16" s="220"/>
      <c r="I16" s="123">
        <f>'VORN objektu (04_2)'!I23</f>
        <v>0</v>
      </c>
    </row>
    <row r="17" spans="1:9" ht="15.75">
      <c r="A17" s="124" t="s">
        <v>52</v>
      </c>
      <c r="B17" s="121" t="s">
        <v>37</v>
      </c>
      <c r="C17" s="122">
        <f>SUMIF('Stavební rozpočet'!AI12:AI1282,"04_2",'Stavební rozpočet'!AE12:AE1282)</f>
        <v>0</v>
      </c>
      <c r="D17" s="219" t="s">
        <v>52</v>
      </c>
      <c r="E17" s="220"/>
      <c r="F17" s="123" t="s">
        <v>52</v>
      </c>
      <c r="G17" s="219" t="s">
        <v>1891</v>
      </c>
      <c r="H17" s="220"/>
      <c r="I17" s="123">
        <f>'VORN objektu (04_2)'!I24</f>
        <v>0</v>
      </c>
    </row>
    <row r="18" spans="1:9" ht="15.75">
      <c r="A18" s="120" t="s">
        <v>1892</v>
      </c>
      <c r="B18" s="121" t="s">
        <v>1883</v>
      </c>
      <c r="C18" s="122">
        <f>SUMIF('Stavební rozpočet'!AI12:AI1282,"04_2",'Stavební rozpočet'!AF12:AF1282)</f>
        <v>0</v>
      </c>
      <c r="D18" s="219" t="s">
        <v>52</v>
      </c>
      <c r="E18" s="220"/>
      <c r="F18" s="123" t="s">
        <v>52</v>
      </c>
      <c r="G18" s="219" t="s">
        <v>1893</v>
      </c>
      <c r="H18" s="220"/>
      <c r="I18" s="123">
        <f>'VORN objektu (04_2)'!I25</f>
        <v>0</v>
      </c>
    </row>
    <row r="19" spans="1:9" ht="15.75">
      <c r="A19" s="124" t="s">
        <v>52</v>
      </c>
      <c r="B19" s="121" t="s">
        <v>37</v>
      </c>
      <c r="C19" s="122">
        <f>SUMIF('Stavební rozpočet'!AI12:AI1282,"04_2",'Stavební rozpočet'!AG12:AG1282)</f>
        <v>0</v>
      </c>
      <c r="D19" s="219" t="s">
        <v>52</v>
      </c>
      <c r="E19" s="220"/>
      <c r="F19" s="123" t="s">
        <v>52</v>
      </c>
      <c r="G19" s="219" t="s">
        <v>1894</v>
      </c>
      <c r="H19" s="220"/>
      <c r="I19" s="123">
        <f>'VORN objektu (04_2)'!I26</f>
        <v>0</v>
      </c>
    </row>
    <row r="20" spans="1:9" ht="15.75">
      <c r="A20" s="213" t="s">
        <v>1895</v>
      </c>
      <c r="B20" s="214"/>
      <c r="C20" s="122">
        <f>SUMIF('Stavební rozpočet'!AI12:AI1282,"04_2",'Stavební rozpočet'!AH12:AH1282)</f>
        <v>0</v>
      </c>
      <c r="D20" s="219" t="s">
        <v>52</v>
      </c>
      <c r="E20" s="220"/>
      <c r="F20" s="123" t="s">
        <v>52</v>
      </c>
      <c r="G20" s="219" t="s">
        <v>52</v>
      </c>
      <c r="H20" s="220"/>
      <c r="I20" s="123" t="s">
        <v>52</v>
      </c>
    </row>
    <row r="21" spans="1:9" ht="15.75">
      <c r="A21" s="215" t="s">
        <v>1896</v>
      </c>
      <c r="B21" s="216"/>
      <c r="C21" s="122">
        <f>SUMIF('Stavební rozpočet'!AI12:AI1282,"04_2",'Stavební rozpočet'!Z12:Z1282)</f>
        <v>0</v>
      </c>
      <c r="D21" s="221" t="s">
        <v>52</v>
      </c>
      <c r="E21" s="222"/>
      <c r="F21" s="126" t="s">
        <v>52</v>
      </c>
      <c r="G21" s="221" t="s">
        <v>52</v>
      </c>
      <c r="H21" s="222"/>
      <c r="I21" s="126" t="s">
        <v>52</v>
      </c>
    </row>
    <row r="22" spans="1:9" ht="16.5" customHeight="1">
      <c r="A22" s="217" t="s">
        <v>1897</v>
      </c>
      <c r="B22" s="218"/>
      <c r="C22" s="122">
        <f>SUM(C14:C21)</f>
        <v>0</v>
      </c>
      <c r="D22" s="223" t="s">
        <v>1898</v>
      </c>
      <c r="E22" s="218"/>
      <c r="F22" s="127">
        <f>SUM(F14:F21)</f>
        <v>0</v>
      </c>
      <c r="G22" s="223" t="s">
        <v>1899</v>
      </c>
      <c r="H22" s="218"/>
      <c r="I22" s="127">
        <f>SUM(I14:I21)</f>
        <v>0</v>
      </c>
    </row>
    <row r="23" spans="7:9" ht="15.75">
      <c r="G23" s="213" t="s">
        <v>1902</v>
      </c>
      <c r="H23" s="214"/>
      <c r="I23" s="122">
        <f>'VORN objektu (04_2)'!I36</f>
        <v>0</v>
      </c>
    </row>
    <row r="25" spans="1:3" ht="15.75">
      <c r="A25" s="225" t="s">
        <v>1904</v>
      </c>
      <c r="B25" s="226"/>
      <c r="C25" s="128">
        <f>('Stavební rozpočet'!AS1209+'Stavební rozpočet'!AS1221+'Stavební rozpočet'!AS1244+'Stavební rozpočet'!AS1263+'Stavební rozpočet'!AS1267+'Stavební rozpočet'!AS1269+'Stavební rozpočet'!AS1271+'Stavební rozpočet'!AS1273+'Stavební rozpočet'!AS1275)</f>
        <v>0</v>
      </c>
    </row>
    <row r="26" spans="1:9" ht="15.75">
      <c r="A26" s="227" t="s">
        <v>1905</v>
      </c>
      <c r="B26" s="228"/>
      <c r="C26" s="129">
        <f>('Stavební rozpočet'!AT1209+'Stavební rozpočet'!AT1221+'Stavební rozpočet'!AT1244+'Stavební rozpočet'!AT1263+'Stavební rozpočet'!AT1267+'Stavební rozpočet'!AT1269+'Stavební rozpočet'!AT1271+'Stavební rozpočet'!AT1273+'Stavební rozpočet'!AT1275)</f>
        <v>0</v>
      </c>
      <c r="D26" s="229" t="s">
        <v>1906</v>
      </c>
      <c r="E26" s="226"/>
      <c r="F26" s="128">
        <f>ROUND(C26*(12/100),2)</f>
        <v>0</v>
      </c>
      <c r="G26" s="229" t="s">
        <v>1907</v>
      </c>
      <c r="H26" s="226"/>
      <c r="I26" s="128">
        <f>SUM(C25:C27)</f>
        <v>0</v>
      </c>
    </row>
    <row r="27" spans="1:9" ht="15.75">
      <c r="A27" s="227" t="s">
        <v>1908</v>
      </c>
      <c r="B27" s="228"/>
      <c r="C27" s="129">
        <f>('Stavební rozpočet'!AU1209+'Stavební rozpočet'!AU1221+'Stavební rozpočet'!AU1244+'Stavební rozpočet'!AU1263+'Stavební rozpočet'!AU1267+'Stavební rozpočet'!AU1269+'Stavební rozpočet'!AU1271+'Stavební rozpočet'!AU1273+'Stavební rozpočet'!AU1275)+(F22+I22+F23+I23+I24)</f>
        <v>0</v>
      </c>
      <c r="D27" s="230" t="s">
        <v>1909</v>
      </c>
      <c r="E27" s="228"/>
      <c r="F27" s="129">
        <f>ROUND(C27*(21/100),2)</f>
        <v>0</v>
      </c>
      <c r="G27" s="230" t="s">
        <v>1910</v>
      </c>
      <c r="H27" s="228"/>
      <c r="I27" s="129">
        <f>SUM(F26:F27)+I26</f>
        <v>0</v>
      </c>
    </row>
    <row r="29" spans="1:9" ht="15">
      <c r="A29" s="231" t="s">
        <v>1911</v>
      </c>
      <c r="B29" s="232"/>
      <c r="C29" s="233"/>
      <c r="D29" s="240" t="s">
        <v>1912</v>
      </c>
      <c r="E29" s="232"/>
      <c r="F29" s="233"/>
      <c r="G29" s="240" t="s">
        <v>1913</v>
      </c>
      <c r="H29" s="232"/>
      <c r="I29" s="233"/>
    </row>
    <row r="30" spans="1:9" ht="15">
      <c r="A30" s="234" t="s">
        <v>52</v>
      </c>
      <c r="B30" s="235"/>
      <c r="C30" s="236"/>
      <c r="D30" s="241" t="s">
        <v>52</v>
      </c>
      <c r="E30" s="235"/>
      <c r="F30" s="236"/>
      <c r="G30" s="241" t="s">
        <v>52</v>
      </c>
      <c r="H30" s="235"/>
      <c r="I30" s="236"/>
    </row>
    <row r="31" spans="1:9" ht="15">
      <c r="A31" s="234" t="s">
        <v>52</v>
      </c>
      <c r="B31" s="235"/>
      <c r="C31" s="236"/>
      <c r="D31" s="241" t="s">
        <v>52</v>
      </c>
      <c r="E31" s="235"/>
      <c r="F31" s="236"/>
      <c r="G31" s="241" t="s">
        <v>52</v>
      </c>
      <c r="H31" s="235"/>
      <c r="I31" s="236"/>
    </row>
    <row r="32" spans="1:9" ht="15">
      <c r="A32" s="234" t="s">
        <v>52</v>
      </c>
      <c r="B32" s="235"/>
      <c r="C32" s="236"/>
      <c r="D32" s="241" t="s">
        <v>52</v>
      </c>
      <c r="E32" s="235"/>
      <c r="F32" s="236"/>
      <c r="G32" s="241" t="s">
        <v>52</v>
      </c>
      <c r="H32" s="235"/>
      <c r="I32" s="236"/>
    </row>
    <row r="33" spans="1:9" ht="15">
      <c r="A33" s="237" t="s">
        <v>1914</v>
      </c>
      <c r="B33" s="238"/>
      <c r="C33" s="239"/>
      <c r="D33" s="242" t="s">
        <v>1914</v>
      </c>
      <c r="E33" s="238"/>
      <c r="F33" s="239"/>
      <c r="G33" s="242" t="s">
        <v>1914</v>
      </c>
      <c r="H33" s="238"/>
      <c r="I33" s="239"/>
    </row>
    <row r="34" ht="15">
      <c r="A34" s="130" t="s">
        <v>1868</v>
      </c>
    </row>
    <row r="35" spans="1:9" ht="12.75" customHeight="1">
      <c r="A35" s="148" t="s">
        <v>52</v>
      </c>
      <c r="B35" s="143"/>
      <c r="C35" s="143"/>
      <c r="D35" s="143"/>
      <c r="E35" s="143"/>
      <c r="F35" s="143"/>
      <c r="G35" s="143"/>
      <c r="H35" s="143"/>
      <c r="I35" s="143"/>
    </row>
  </sheetData>
  <mergeCells count="80">
    <mergeCell ref="G32:I32"/>
    <mergeCell ref="G33:I33"/>
    <mergeCell ref="A35:I35"/>
    <mergeCell ref="A32:C32"/>
    <mergeCell ref="A33:C33"/>
    <mergeCell ref="D29:F29"/>
    <mergeCell ref="D30:F30"/>
    <mergeCell ref="D31:F31"/>
    <mergeCell ref="D32:F32"/>
    <mergeCell ref="D33:F33"/>
    <mergeCell ref="G26:H26"/>
    <mergeCell ref="G27:H27"/>
    <mergeCell ref="A29:C29"/>
    <mergeCell ref="A30:C30"/>
    <mergeCell ref="A31:C31"/>
    <mergeCell ref="G29:I29"/>
    <mergeCell ref="G30:I30"/>
    <mergeCell ref="G31:I31"/>
    <mergeCell ref="A25:B25"/>
    <mergeCell ref="A26:B26"/>
    <mergeCell ref="A27:B27"/>
    <mergeCell ref="D26:E26"/>
    <mergeCell ref="D27:E27"/>
    <mergeCell ref="G19:H19"/>
    <mergeCell ref="G20:H20"/>
    <mergeCell ref="G21:H21"/>
    <mergeCell ref="G22:H22"/>
    <mergeCell ref="G23:H23"/>
    <mergeCell ref="G14:H14"/>
    <mergeCell ref="G15:H15"/>
    <mergeCell ref="G16:H16"/>
    <mergeCell ref="G17:H17"/>
    <mergeCell ref="G18:H18"/>
    <mergeCell ref="A20:B20"/>
    <mergeCell ref="A21:B21"/>
    <mergeCell ref="A22:B22"/>
    <mergeCell ref="D14:E14"/>
    <mergeCell ref="D15:E15"/>
    <mergeCell ref="D16:E16"/>
    <mergeCell ref="D17:E17"/>
    <mergeCell ref="D18:E18"/>
    <mergeCell ref="D19:E19"/>
    <mergeCell ref="D20:E20"/>
    <mergeCell ref="D21:E21"/>
    <mergeCell ref="D22:E22"/>
    <mergeCell ref="I10:I11"/>
    <mergeCell ref="A12:I12"/>
    <mergeCell ref="B13:C13"/>
    <mergeCell ref="E13:F13"/>
    <mergeCell ref="H13:I13"/>
    <mergeCell ref="F10:G11"/>
    <mergeCell ref="H2:H3"/>
    <mergeCell ref="H4:H5"/>
    <mergeCell ref="H6:H7"/>
    <mergeCell ref="H8:H9"/>
    <mergeCell ref="H10:H11"/>
    <mergeCell ref="A10:B11"/>
    <mergeCell ref="E2:E3"/>
    <mergeCell ref="E4:E5"/>
    <mergeCell ref="E6:E7"/>
    <mergeCell ref="E8:E9"/>
    <mergeCell ref="E10:E11"/>
    <mergeCell ref="C2:D3"/>
    <mergeCell ref="C4:D5"/>
    <mergeCell ref="C6:D7"/>
    <mergeCell ref="C8:D9"/>
    <mergeCell ref="C10:D11"/>
    <mergeCell ref="A1:I1"/>
    <mergeCell ref="A2:B3"/>
    <mergeCell ref="A4:B5"/>
    <mergeCell ref="A6:B7"/>
    <mergeCell ref="A8:B9"/>
    <mergeCell ref="F2:G3"/>
    <mergeCell ref="F4:G5"/>
    <mergeCell ref="F6:G7"/>
    <mergeCell ref="F8:G9"/>
    <mergeCell ref="I2:I3"/>
    <mergeCell ref="I4:I5"/>
    <mergeCell ref="I6:I7"/>
    <mergeCell ref="I8:I9"/>
  </mergeCells>
  <printOptions/>
  <pageMargins left="0.393999993801117" right="0.393999993801117" top="0.591000020503998" bottom="0.591000020503998" header="0" footer="0"/>
  <pageSetup fitToHeight="1" fitToWidth="1" horizontalDpi="600" verticalDpi="60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36"/>
  <sheetViews>
    <sheetView workbookViewId="0" topLeftCell="A1">
      <selection activeCell="A36" sqref="A36:E36"/>
    </sheetView>
  </sheetViews>
  <sheetFormatPr defaultColWidth="12.140625" defaultRowHeight="15" customHeight="1"/>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7.140625" style="0" customWidth="1"/>
    <col min="9" max="9" width="22.8515625" style="0" customWidth="1"/>
  </cols>
  <sheetData>
    <row r="1" spans="1:9" ht="54.75" customHeight="1">
      <c r="A1" s="205" t="s">
        <v>1915</v>
      </c>
      <c r="B1" s="139"/>
      <c r="C1" s="139"/>
      <c r="D1" s="139"/>
      <c r="E1" s="139"/>
      <c r="F1" s="139"/>
      <c r="G1" s="139"/>
      <c r="H1" s="139"/>
      <c r="I1" s="139"/>
    </row>
    <row r="2" spans="1:9" ht="15">
      <c r="A2" s="140" t="s">
        <v>1</v>
      </c>
      <c r="B2" s="141"/>
      <c r="C2" s="149" t="str">
        <f>'Stavební rozpočet'!D2</f>
        <v>Vybudování a rekonstrukce odborných učeben v ZŠ TGM</v>
      </c>
      <c r="D2" s="150"/>
      <c r="E2" s="147" t="s">
        <v>5</v>
      </c>
      <c r="F2" s="147" t="str">
        <f>'Stavební rozpočet'!J2</f>
        <v>Město ivančice</v>
      </c>
      <c r="G2" s="141"/>
      <c r="H2" s="147" t="s">
        <v>1870</v>
      </c>
      <c r="I2" s="152" t="s">
        <v>1871</v>
      </c>
    </row>
    <row r="3" spans="1:9" ht="15" customHeight="1">
      <c r="A3" s="142"/>
      <c r="B3" s="143"/>
      <c r="C3" s="151"/>
      <c r="D3" s="151"/>
      <c r="E3" s="143"/>
      <c r="F3" s="143"/>
      <c r="G3" s="143"/>
      <c r="H3" s="143"/>
      <c r="I3" s="153"/>
    </row>
    <row r="4" spans="1:9" ht="15">
      <c r="A4" s="144" t="s">
        <v>7</v>
      </c>
      <c r="B4" s="143"/>
      <c r="C4" s="148" t="str">
        <f>'Stavební rozpočet'!D4</f>
        <v>Stavební úpravy</v>
      </c>
      <c r="D4" s="143"/>
      <c r="E4" s="148" t="s">
        <v>11</v>
      </c>
      <c r="F4" s="148" t="str">
        <f>'Stavební rozpočet'!J4</f>
        <v>Tomáš Sýkora</v>
      </c>
      <c r="G4" s="143"/>
      <c r="H4" s="148" t="s">
        <v>1870</v>
      </c>
      <c r="I4" s="153" t="s">
        <v>1872</v>
      </c>
    </row>
    <row r="5" spans="1:9" ht="15" customHeight="1">
      <c r="A5" s="142"/>
      <c r="B5" s="143"/>
      <c r="C5" s="143"/>
      <c r="D5" s="143"/>
      <c r="E5" s="143"/>
      <c r="F5" s="143"/>
      <c r="G5" s="143"/>
      <c r="H5" s="143"/>
      <c r="I5" s="153"/>
    </row>
    <row r="6" spans="1:9" ht="15">
      <c r="A6" s="144" t="s">
        <v>13</v>
      </c>
      <c r="B6" s="143"/>
      <c r="C6" s="148" t="str">
        <f>'Stavební rozpočet'!D6</f>
        <v>ZŠ TGM Ivančice; Na Brněnce 1, 664 91 Ivančice</v>
      </c>
      <c r="D6" s="143"/>
      <c r="E6" s="148" t="s">
        <v>16</v>
      </c>
      <c r="F6" s="148" t="str">
        <f>'Stavební rozpočet'!J6</f>
        <v> </v>
      </c>
      <c r="G6" s="143"/>
      <c r="H6" s="148" t="s">
        <v>1870</v>
      </c>
      <c r="I6" s="153" t="s">
        <v>52</v>
      </c>
    </row>
    <row r="7" spans="1:9" ht="15" customHeight="1">
      <c r="A7" s="142"/>
      <c r="B7" s="143"/>
      <c r="C7" s="143"/>
      <c r="D7" s="143"/>
      <c r="E7" s="143"/>
      <c r="F7" s="143"/>
      <c r="G7" s="143"/>
      <c r="H7" s="143"/>
      <c r="I7" s="153"/>
    </row>
    <row r="8" spans="1:9" ht="15">
      <c r="A8" s="144" t="s">
        <v>9</v>
      </c>
      <c r="B8" s="143"/>
      <c r="C8" s="148" t="str">
        <f>'Stavební rozpočet'!H4</f>
        <v>22.09.2023</v>
      </c>
      <c r="D8" s="143"/>
      <c r="E8" s="148" t="s">
        <v>15</v>
      </c>
      <c r="F8" s="148" t="str">
        <f>'Stavební rozpočet'!H6</f>
        <v xml:space="preserve"> </v>
      </c>
      <c r="G8" s="143"/>
      <c r="H8" s="143" t="s">
        <v>1873</v>
      </c>
      <c r="I8" s="207">
        <v>563</v>
      </c>
    </row>
    <row r="9" spans="1:9" ht="15">
      <c r="A9" s="142"/>
      <c r="B9" s="143"/>
      <c r="C9" s="143"/>
      <c r="D9" s="143"/>
      <c r="E9" s="143"/>
      <c r="F9" s="143"/>
      <c r="G9" s="143"/>
      <c r="H9" s="143"/>
      <c r="I9" s="153"/>
    </row>
    <row r="10" spans="1:9" ht="15">
      <c r="A10" s="144" t="s">
        <v>18</v>
      </c>
      <c r="B10" s="143"/>
      <c r="C10" s="148" t="str">
        <f>'Stavební rozpočet'!D8</f>
        <v>8013212</v>
      </c>
      <c r="D10" s="143"/>
      <c r="E10" s="148" t="s">
        <v>21</v>
      </c>
      <c r="F10" s="148" t="str">
        <f>'Stavební rozpočet'!J8</f>
        <v>Tomáš Sýkora</v>
      </c>
      <c r="G10" s="143"/>
      <c r="H10" s="143" t="s">
        <v>1874</v>
      </c>
      <c r="I10" s="208" t="str">
        <f>'Stavební rozpočet'!H8</f>
        <v>22.09.2023</v>
      </c>
    </row>
    <row r="11" spans="1:9" ht="15">
      <c r="A11" s="206"/>
      <c r="B11" s="203"/>
      <c r="C11" s="203"/>
      <c r="D11" s="203"/>
      <c r="E11" s="203"/>
      <c r="F11" s="203"/>
      <c r="G11" s="203"/>
      <c r="H11" s="203"/>
      <c r="I11" s="209"/>
    </row>
    <row r="13" spans="1:5" ht="15.75">
      <c r="A13" s="243" t="s">
        <v>1916</v>
      </c>
      <c r="B13" s="243"/>
      <c r="C13" s="243"/>
      <c r="D13" s="243"/>
      <c r="E13" s="243"/>
    </row>
    <row r="14" spans="1:9" ht="15">
      <c r="A14" s="244" t="s">
        <v>1917</v>
      </c>
      <c r="B14" s="245"/>
      <c r="C14" s="245"/>
      <c r="D14" s="245"/>
      <c r="E14" s="246"/>
      <c r="F14" s="131" t="s">
        <v>1918</v>
      </c>
      <c r="G14" s="131" t="s">
        <v>951</v>
      </c>
      <c r="H14" s="131" t="s">
        <v>1919</v>
      </c>
      <c r="I14" s="131" t="s">
        <v>1918</v>
      </c>
    </row>
    <row r="15" spans="1:9" ht="15">
      <c r="A15" s="247" t="s">
        <v>1884</v>
      </c>
      <c r="B15" s="248"/>
      <c r="C15" s="248"/>
      <c r="D15" s="248"/>
      <c r="E15" s="249"/>
      <c r="F15" s="132">
        <v>0</v>
      </c>
      <c r="G15" s="133" t="s">
        <v>52</v>
      </c>
      <c r="H15" s="133" t="s">
        <v>52</v>
      </c>
      <c r="I15" s="132">
        <f>F15</f>
        <v>0</v>
      </c>
    </row>
    <row r="16" spans="1:9" ht="15">
      <c r="A16" s="247" t="s">
        <v>1886</v>
      </c>
      <c r="B16" s="248"/>
      <c r="C16" s="248"/>
      <c r="D16" s="248"/>
      <c r="E16" s="249"/>
      <c r="F16" s="132">
        <v>0</v>
      </c>
      <c r="G16" s="133" t="s">
        <v>52</v>
      </c>
      <c r="H16" s="133" t="s">
        <v>52</v>
      </c>
      <c r="I16" s="132">
        <f>F16</f>
        <v>0</v>
      </c>
    </row>
    <row r="17" spans="1:9" ht="15">
      <c r="A17" s="250" t="s">
        <v>1889</v>
      </c>
      <c r="B17" s="251"/>
      <c r="C17" s="251"/>
      <c r="D17" s="251"/>
      <c r="E17" s="252"/>
      <c r="F17" s="134">
        <v>0</v>
      </c>
      <c r="G17" s="135" t="s">
        <v>52</v>
      </c>
      <c r="H17" s="135" t="s">
        <v>52</v>
      </c>
      <c r="I17" s="134">
        <f>F17</f>
        <v>0</v>
      </c>
    </row>
    <row r="18" spans="1:9" ht="15">
      <c r="A18" s="253" t="s">
        <v>1920</v>
      </c>
      <c r="B18" s="254"/>
      <c r="C18" s="254"/>
      <c r="D18" s="254"/>
      <c r="E18" s="255"/>
      <c r="F18" s="136" t="s">
        <v>52</v>
      </c>
      <c r="G18" s="137" t="s">
        <v>52</v>
      </c>
      <c r="H18" s="137" t="s">
        <v>52</v>
      </c>
      <c r="I18" s="138">
        <f>SUM(I15:I17)</f>
        <v>0</v>
      </c>
    </row>
    <row r="20" spans="1:9" ht="15">
      <c r="A20" s="244" t="s">
        <v>1881</v>
      </c>
      <c r="B20" s="245"/>
      <c r="C20" s="245"/>
      <c r="D20" s="245"/>
      <c r="E20" s="246"/>
      <c r="F20" s="131" t="s">
        <v>1918</v>
      </c>
      <c r="G20" s="131" t="s">
        <v>951</v>
      </c>
      <c r="H20" s="131" t="s">
        <v>1919</v>
      </c>
      <c r="I20" s="131" t="s">
        <v>1918</v>
      </c>
    </row>
    <row r="21" spans="1:9" ht="15">
      <c r="A21" s="247" t="s">
        <v>1885</v>
      </c>
      <c r="B21" s="248"/>
      <c r="C21" s="248"/>
      <c r="D21" s="248"/>
      <c r="E21" s="249"/>
      <c r="F21" s="132">
        <v>0</v>
      </c>
      <c r="G21" s="133" t="s">
        <v>52</v>
      </c>
      <c r="H21" s="133" t="s">
        <v>52</v>
      </c>
      <c r="I21" s="132">
        <f aca="true" t="shared" si="0" ref="I21:I26">F21</f>
        <v>0</v>
      </c>
    </row>
    <row r="22" spans="1:9" ht="15">
      <c r="A22" s="247" t="s">
        <v>1887</v>
      </c>
      <c r="B22" s="248"/>
      <c r="C22" s="248"/>
      <c r="D22" s="248"/>
      <c r="E22" s="249"/>
      <c r="F22" s="132">
        <v>0</v>
      </c>
      <c r="G22" s="133" t="s">
        <v>52</v>
      </c>
      <c r="H22" s="133" t="s">
        <v>52</v>
      </c>
      <c r="I22" s="132">
        <f t="shared" si="0"/>
        <v>0</v>
      </c>
    </row>
    <row r="23" spans="1:9" ht="15">
      <c r="A23" s="247" t="s">
        <v>1890</v>
      </c>
      <c r="B23" s="248"/>
      <c r="C23" s="248"/>
      <c r="D23" s="248"/>
      <c r="E23" s="249"/>
      <c r="F23" s="132">
        <v>0</v>
      </c>
      <c r="G23" s="133" t="s">
        <v>52</v>
      </c>
      <c r="H23" s="133" t="s">
        <v>52</v>
      </c>
      <c r="I23" s="132">
        <f t="shared" si="0"/>
        <v>0</v>
      </c>
    </row>
    <row r="24" spans="1:9" ht="15">
      <c r="A24" s="247" t="s">
        <v>1891</v>
      </c>
      <c r="B24" s="248"/>
      <c r="C24" s="248"/>
      <c r="D24" s="248"/>
      <c r="E24" s="249"/>
      <c r="F24" s="132">
        <v>0</v>
      </c>
      <c r="G24" s="133" t="s">
        <v>52</v>
      </c>
      <c r="H24" s="133" t="s">
        <v>52</v>
      </c>
      <c r="I24" s="132">
        <f t="shared" si="0"/>
        <v>0</v>
      </c>
    </row>
    <row r="25" spans="1:9" ht="15">
      <c r="A25" s="247" t="s">
        <v>1893</v>
      </c>
      <c r="B25" s="248"/>
      <c r="C25" s="248"/>
      <c r="D25" s="248"/>
      <c r="E25" s="249"/>
      <c r="F25" s="132">
        <v>0</v>
      </c>
      <c r="G25" s="133" t="s">
        <v>52</v>
      </c>
      <c r="H25" s="133" t="s">
        <v>52</v>
      </c>
      <c r="I25" s="132">
        <f t="shared" si="0"/>
        <v>0</v>
      </c>
    </row>
    <row r="26" spans="1:9" ht="15">
      <c r="A26" s="250" t="s">
        <v>1894</v>
      </c>
      <c r="B26" s="251"/>
      <c r="C26" s="251"/>
      <c r="D26" s="251"/>
      <c r="E26" s="252"/>
      <c r="F26" s="134">
        <v>0</v>
      </c>
      <c r="G26" s="135" t="s">
        <v>52</v>
      </c>
      <c r="H26" s="135" t="s">
        <v>52</v>
      </c>
      <c r="I26" s="134">
        <f t="shared" si="0"/>
        <v>0</v>
      </c>
    </row>
    <row r="27" spans="1:9" ht="15">
      <c r="A27" s="253" t="s">
        <v>1921</v>
      </c>
      <c r="B27" s="254"/>
      <c r="C27" s="254"/>
      <c r="D27" s="254"/>
      <c r="E27" s="255"/>
      <c r="F27" s="136" t="s">
        <v>52</v>
      </c>
      <c r="G27" s="137" t="s">
        <v>52</v>
      </c>
      <c r="H27" s="137" t="s">
        <v>52</v>
      </c>
      <c r="I27" s="138">
        <f>SUM(I21:I26)</f>
        <v>0</v>
      </c>
    </row>
    <row r="29" spans="1:9" ht="15.75">
      <c r="A29" s="256" t="s">
        <v>1922</v>
      </c>
      <c r="B29" s="257"/>
      <c r="C29" s="257"/>
      <c r="D29" s="257"/>
      <c r="E29" s="258"/>
      <c r="F29" s="259">
        <f>I18+I27</f>
        <v>0</v>
      </c>
      <c r="G29" s="260"/>
      <c r="H29" s="260"/>
      <c r="I29" s="261"/>
    </row>
    <row r="33" spans="1:5" ht="15.75">
      <c r="A33" s="243" t="s">
        <v>1923</v>
      </c>
      <c r="B33" s="243"/>
      <c r="C33" s="243"/>
      <c r="D33" s="243"/>
      <c r="E33" s="243"/>
    </row>
    <row r="34" spans="1:9" ht="15">
      <c r="A34" s="244" t="s">
        <v>1924</v>
      </c>
      <c r="B34" s="245"/>
      <c r="C34" s="245"/>
      <c r="D34" s="245"/>
      <c r="E34" s="246"/>
      <c r="F34" s="131" t="s">
        <v>1918</v>
      </c>
      <c r="G34" s="131" t="s">
        <v>951</v>
      </c>
      <c r="H34" s="131" t="s">
        <v>1919</v>
      </c>
      <c r="I34" s="131" t="s">
        <v>1918</v>
      </c>
    </row>
    <row r="35" spans="1:9" ht="15">
      <c r="A35" s="250" t="s">
        <v>52</v>
      </c>
      <c r="B35" s="251"/>
      <c r="C35" s="251"/>
      <c r="D35" s="251"/>
      <c r="E35" s="252"/>
      <c r="F35" s="134">
        <v>0</v>
      </c>
      <c r="G35" s="135" t="s">
        <v>52</v>
      </c>
      <c r="H35" s="135" t="s">
        <v>52</v>
      </c>
      <c r="I35" s="134">
        <f>F35</f>
        <v>0</v>
      </c>
    </row>
    <row r="36" spans="1:9" ht="15">
      <c r="A36" s="253" t="s">
        <v>1925</v>
      </c>
      <c r="B36" s="254"/>
      <c r="C36" s="254"/>
      <c r="D36" s="254"/>
      <c r="E36" s="255"/>
      <c r="F36" s="136" t="s">
        <v>52</v>
      </c>
      <c r="G36" s="137" t="s">
        <v>52</v>
      </c>
      <c r="H36" s="137" t="s">
        <v>52</v>
      </c>
      <c r="I36" s="138">
        <f>SUM(I35:I35)</f>
        <v>0</v>
      </c>
    </row>
  </sheetData>
  <mergeCells count="51">
    <mergeCell ref="A36:E36"/>
    <mergeCell ref="A29:E29"/>
    <mergeCell ref="F29:I29"/>
    <mergeCell ref="A33:E33"/>
    <mergeCell ref="A34:E34"/>
    <mergeCell ref="A35:E35"/>
    <mergeCell ref="A23:E23"/>
    <mergeCell ref="A24:E24"/>
    <mergeCell ref="A25:E25"/>
    <mergeCell ref="A26:E26"/>
    <mergeCell ref="A27:E27"/>
    <mergeCell ref="A17:E17"/>
    <mergeCell ref="A18:E18"/>
    <mergeCell ref="A20:E20"/>
    <mergeCell ref="A21:E21"/>
    <mergeCell ref="A22:E22"/>
    <mergeCell ref="I10:I11"/>
    <mergeCell ref="A13:E13"/>
    <mergeCell ref="A14:E14"/>
    <mergeCell ref="A15:E15"/>
    <mergeCell ref="A16:E16"/>
    <mergeCell ref="H10:H11"/>
    <mergeCell ref="C2:D3"/>
    <mergeCell ref="C4:D5"/>
    <mergeCell ref="C6:D7"/>
    <mergeCell ref="C8:D9"/>
    <mergeCell ref="C10:D11"/>
    <mergeCell ref="F2:G3"/>
    <mergeCell ref="F4:G5"/>
    <mergeCell ref="F6:G7"/>
    <mergeCell ref="F8:G9"/>
    <mergeCell ref="F10:G11"/>
    <mergeCell ref="A10:B11"/>
    <mergeCell ref="E2:E3"/>
    <mergeCell ref="E4:E5"/>
    <mergeCell ref="E6:E7"/>
    <mergeCell ref="E8:E9"/>
    <mergeCell ref="E10:E11"/>
    <mergeCell ref="A1:I1"/>
    <mergeCell ref="A2:B3"/>
    <mergeCell ref="A4:B5"/>
    <mergeCell ref="A6:B7"/>
    <mergeCell ref="A8:B9"/>
    <mergeCell ref="H2:H3"/>
    <mergeCell ref="H4:H5"/>
    <mergeCell ref="H6:H7"/>
    <mergeCell ref="H8:H9"/>
    <mergeCell ref="I2:I3"/>
    <mergeCell ref="I4:I5"/>
    <mergeCell ref="I6:I7"/>
    <mergeCell ref="I8:I9"/>
  </mergeCells>
  <printOptions/>
  <pageMargins left="0.393999993801117" right="0.393999993801117" top="0.591000020503998" bottom="0.591000020503998" header="0" footer="0"/>
  <pageSetup fitToHeight="0" fitToWidth="1" horizontalDpi="600" verticalDpi="600" orientation="landscape"/>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36"/>
  <sheetViews>
    <sheetView workbookViewId="0" topLeftCell="A1">
      <selection activeCell="A36" sqref="A36:E36"/>
    </sheetView>
  </sheetViews>
  <sheetFormatPr defaultColWidth="12.140625" defaultRowHeight="15" customHeight="1"/>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7.140625" style="0" customWidth="1"/>
    <col min="9" max="9" width="22.8515625" style="0" customWidth="1"/>
  </cols>
  <sheetData>
    <row r="1" spans="1:9" ht="54.75" customHeight="1">
      <c r="A1" s="205" t="s">
        <v>1943</v>
      </c>
      <c r="B1" s="139"/>
      <c r="C1" s="139"/>
      <c r="D1" s="139"/>
      <c r="E1" s="139"/>
      <c r="F1" s="139"/>
      <c r="G1" s="139"/>
      <c r="H1" s="139"/>
      <c r="I1" s="139"/>
    </row>
    <row r="2" spans="1:9" ht="15">
      <c r="A2" s="140" t="s">
        <v>1</v>
      </c>
      <c r="B2" s="141"/>
      <c r="C2" s="149" t="str">
        <f>'Stavební rozpočet'!D2</f>
        <v>Vybudování a rekonstrukce odborných učeben v ZŠ TGM</v>
      </c>
      <c r="D2" s="150"/>
      <c r="E2" s="147" t="s">
        <v>5</v>
      </c>
      <c r="F2" s="147" t="str">
        <f>'Stavební rozpočet'!J2</f>
        <v>Město ivančice</v>
      </c>
      <c r="G2" s="141"/>
      <c r="H2" s="147" t="s">
        <v>1870</v>
      </c>
      <c r="I2" s="152" t="s">
        <v>1871</v>
      </c>
    </row>
    <row r="3" spans="1:9" ht="15" customHeight="1">
      <c r="A3" s="142"/>
      <c r="B3" s="143"/>
      <c r="C3" s="151"/>
      <c r="D3" s="151"/>
      <c r="E3" s="143"/>
      <c r="F3" s="143"/>
      <c r="G3" s="143"/>
      <c r="H3" s="143"/>
      <c r="I3" s="153"/>
    </row>
    <row r="4" spans="1:9" ht="15">
      <c r="A4" s="144" t="s">
        <v>7</v>
      </c>
      <c r="B4" s="143"/>
      <c r="C4" s="148" t="str">
        <f>'Stavební rozpočet'!D4</f>
        <v>Stavební úpravy</v>
      </c>
      <c r="D4" s="143"/>
      <c r="E4" s="148" t="s">
        <v>11</v>
      </c>
      <c r="F4" s="148" t="str">
        <f>'Stavební rozpočet'!J4</f>
        <v>Tomáš Sýkora</v>
      </c>
      <c r="G4" s="143"/>
      <c r="H4" s="148" t="s">
        <v>1870</v>
      </c>
      <c r="I4" s="153" t="s">
        <v>1872</v>
      </c>
    </row>
    <row r="5" spans="1:9" ht="15" customHeight="1">
      <c r="A5" s="142"/>
      <c r="B5" s="143"/>
      <c r="C5" s="143"/>
      <c r="D5" s="143"/>
      <c r="E5" s="143"/>
      <c r="F5" s="143"/>
      <c r="G5" s="143"/>
      <c r="H5" s="143"/>
      <c r="I5" s="153"/>
    </row>
    <row r="6" spans="1:9" ht="15">
      <c r="A6" s="144" t="s">
        <v>13</v>
      </c>
      <c r="B6" s="143"/>
      <c r="C6" s="148" t="str">
        <f>'Stavební rozpočet'!D6</f>
        <v>ZŠ TGM Ivančice; Na Brněnce 1, 664 91 Ivančice</v>
      </c>
      <c r="D6" s="143"/>
      <c r="E6" s="148" t="s">
        <v>16</v>
      </c>
      <c r="F6" s="148" t="str">
        <f>'Stavební rozpočet'!J6</f>
        <v> </v>
      </c>
      <c r="G6" s="143"/>
      <c r="H6" s="148" t="s">
        <v>1870</v>
      </c>
      <c r="I6" s="153" t="s">
        <v>52</v>
      </c>
    </row>
    <row r="7" spans="1:9" ht="15" customHeight="1">
      <c r="A7" s="142"/>
      <c r="B7" s="143"/>
      <c r="C7" s="143"/>
      <c r="D7" s="143"/>
      <c r="E7" s="143"/>
      <c r="F7" s="143"/>
      <c r="G7" s="143"/>
      <c r="H7" s="143"/>
      <c r="I7" s="153"/>
    </row>
    <row r="8" spans="1:9" ht="15">
      <c r="A8" s="144" t="s">
        <v>9</v>
      </c>
      <c r="B8" s="143"/>
      <c r="C8" s="148" t="str">
        <f>'Stavební rozpočet'!H4</f>
        <v>22.09.2023</v>
      </c>
      <c r="D8" s="143"/>
      <c r="E8" s="148" t="s">
        <v>15</v>
      </c>
      <c r="F8" s="148" t="str">
        <f>'Stavební rozpočet'!H6</f>
        <v xml:space="preserve"> </v>
      </c>
      <c r="G8" s="143"/>
      <c r="H8" s="143" t="s">
        <v>1873</v>
      </c>
      <c r="I8" s="207">
        <v>62</v>
      </c>
    </row>
    <row r="9" spans="1:9" ht="15">
      <c r="A9" s="142"/>
      <c r="B9" s="143"/>
      <c r="C9" s="143"/>
      <c r="D9" s="143"/>
      <c r="E9" s="143"/>
      <c r="F9" s="143"/>
      <c r="G9" s="143"/>
      <c r="H9" s="143"/>
      <c r="I9" s="153"/>
    </row>
    <row r="10" spans="1:9" ht="15">
      <c r="A10" s="144" t="s">
        <v>18</v>
      </c>
      <c r="B10" s="143"/>
      <c r="C10" s="148" t="str">
        <f>'Stavební rozpočet'!D8</f>
        <v>8013212</v>
      </c>
      <c r="D10" s="143"/>
      <c r="E10" s="148" t="s">
        <v>21</v>
      </c>
      <c r="F10" s="148" t="str">
        <f>'Stavební rozpočet'!J8</f>
        <v>Tomáš Sýkora</v>
      </c>
      <c r="G10" s="143"/>
      <c r="H10" s="143" t="s">
        <v>1874</v>
      </c>
      <c r="I10" s="208" t="str">
        <f>'Stavební rozpočet'!H8</f>
        <v>22.09.2023</v>
      </c>
    </row>
    <row r="11" spans="1:9" ht="15">
      <c r="A11" s="206"/>
      <c r="B11" s="203"/>
      <c r="C11" s="203"/>
      <c r="D11" s="203"/>
      <c r="E11" s="203"/>
      <c r="F11" s="203"/>
      <c r="G11" s="203"/>
      <c r="H11" s="203"/>
      <c r="I11" s="209"/>
    </row>
    <row r="13" spans="1:5" ht="15.75">
      <c r="A13" s="243" t="s">
        <v>1916</v>
      </c>
      <c r="B13" s="243"/>
      <c r="C13" s="243"/>
      <c r="D13" s="243"/>
      <c r="E13" s="243"/>
    </row>
    <row r="14" spans="1:9" ht="15">
      <c r="A14" s="244" t="s">
        <v>1917</v>
      </c>
      <c r="B14" s="245"/>
      <c r="C14" s="245"/>
      <c r="D14" s="245"/>
      <c r="E14" s="246"/>
      <c r="F14" s="131" t="s">
        <v>1918</v>
      </c>
      <c r="G14" s="131" t="s">
        <v>951</v>
      </c>
      <c r="H14" s="131" t="s">
        <v>1919</v>
      </c>
      <c r="I14" s="131" t="s">
        <v>1918</v>
      </c>
    </row>
    <row r="15" spans="1:9" ht="15">
      <c r="A15" s="247" t="s">
        <v>1884</v>
      </c>
      <c r="B15" s="248"/>
      <c r="C15" s="248"/>
      <c r="D15" s="248"/>
      <c r="E15" s="249"/>
      <c r="F15" s="132">
        <v>0</v>
      </c>
      <c r="G15" s="133" t="s">
        <v>52</v>
      </c>
      <c r="H15" s="133" t="s">
        <v>52</v>
      </c>
      <c r="I15" s="132">
        <f>F15</f>
        <v>0</v>
      </c>
    </row>
    <row r="16" spans="1:9" ht="15">
      <c r="A16" s="247" t="s">
        <v>1886</v>
      </c>
      <c r="B16" s="248"/>
      <c r="C16" s="248"/>
      <c r="D16" s="248"/>
      <c r="E16" s="249"/>
      <c r="F16" s="132">
        <v>0</v>
      </c>
      <c r="G16" s="133" t="s">
        <v>52</v>
      </c>
      <c r="H16" s="133" t="s">
        <v>52</v>
      </c>
      <c r="I16" s="132">
        <f>F16</f>
        <v>0</v>
      </c>
    </row>
    <row r="17" spans="1:9" ht="15">
      <c r="A17" s="250" t="s">
        <v>1889</v>
      </c>
      <c r="B17" s="251"/>
      <c r="C17" s="251"/>
      <c r="D17" s="251"/>
      <c r="E17" s="252"/>
      <c r="F17" s="134">
        <v>0</v>
      </c>
      <c r="G17" s="135" t="s">
        <v>52</v>
      </c>
      <c r="H17" s="135" t="s">
        <v>52</v>
      </c>
      <c r="I17" s="134">
        <f>F17</f>
        <v>0</v>
      </c>
    </row>
    <row r="18" spans="1:9" ht="15">
      <c r="A18" s="253" t="s">
        <v>1920</v>
      </c>
      <c r="B18" s="254"/>
      <c r="C18" s="254"/>
      <c r="D18" s="254"/>
      <c r="E18" s="255"/>
      <c r="F18" s="136" t="s">
        <v>52</v>
      </c>
      <c r="G18" s="137" t="s">
        <v>52</v>
      </c>
      <c r="H18" s="137" t="s">
        <v>52</v>
      </c>
      <c r="I18" s="138">
        <f>SUM(I15:I17)</f>
        <v>0</v>
      </c>
    </row>
    <row r="20" spans="1:9" ht="15">
      <c r="A20" s="244" t="s">
        <v>1881</v>
      </c>
      <c r="B20" s="245"/>
      <c r="C20" s="245"/>
      <c r="D20" s="245"/>
      <c r="E20" s="246"/>
      <c r="F20" s="131" t="s">
        <v>1918</v>
      </c>
      <c r="G20" s="131" t="s">
        <v>951</v>
      </c>
      <c r="H20" s="131" t="s">
        <v>1919</v>
      </c>
      <c r="I20" s="131" t="s">
        <v>1918</v>
      </c>
    </row>
    <row r="21" spans="1:9" ht="15">
      <c r="A21" s="247" t="s">
        <v>1885</v>
      </c>
      <c r="B21" s="248"/>
      <c r="C21" s="248"/>
      <c r="D21" s="248"/>
      <c r="E21" s="249"/>
      <c r="F21" s="132">
        <v>0</v>
      </c>
      <c r="G21" s="133" t="s">
        <v>52</v>
      </c>
      <c r="H21" s="133" t="s">
        <v>52</v>
      </c>
      <c r="I21" s="132">
        <f aca="true" t="shared" si="0" ref="I21:I26">F21</f>
        <v>0</v>
      </c>
    </row>
    <row r="22" spans="1:9" ht="15">
      <c r="A22" s="247" t="s">
        <v>1887</v>
      </c>
      <c r="B22" s="248"/>
      <c r="C22" s="248"/>
      <c r="D22" s="248"/>
      <c r="E22" s="249"/>
      <c r="F22" s="132">
        <v>0</v>
      </c>
      <c r="G22" s="133" t="s">
        <v>52</v>
      </c>
      <c r="H22" s="133" t="s">
        <v>52</v>
      </c>
      <c r="I22" s="132">
        <f t="shared" si="0"/>
        <v>0</v>
      </c>
    </row>
    <row r="23" spans="1:9" ht="15">
      <c r="A23" s="247" t="s">
        <v>1890</v>
      </c>
      <c r="B23" s="248"/>
      <c r="C23" s="248"/>
      <c r="D23" s="248"/>
      <c r="E23" s="249"/>
      <c r="F23" s="132">
        <v>0</v>
      </c>
      <c r="G23" s="133" t="s">
        <v>52</v>
      </c>
      <c r="H23" s="133" t="s">
        <v>52</v>
      </c>
      <c r="I23" s="132">
        <f t="shared" si="0"/>
        <v>0</v>
      </c>
    </row>
    <row r="24" spans="1:9" ht="15">
      <c r="A24" s="247" t="s">
        <v>1891</v>
      </c>
      <c r="B24" s="248"/>
      <c r="C24" s="248"/>
      <c r="D24" s="248"/>
      <c r="E24" s="249"/>
      <c r="F24" s="132">
        <v>0</v>
      </c>
      <c r="G24" s="133" t="s">
        <v>52</v>
      </c>
      <c r="H24" s="133" t="s">
        <v>52</v>
      </c>
      <c r="I24" s="132">
        <f t="shared" si="0"/>
        <v>0</v>
      </c>
    </row>
    <row r="25" spans="1:9" ht="15">
      <c r="A25" s="247" t="s">
        <v>1893</v>
      </c>
      <c r="B25" s="248"/>
      <c r="C25" s="248"/>
      <c r="D25" s="248"/>
      <c r="E25" s="249"/>
      <c r="F25" s="132">
        <v>0</v>
      </c>
      <c r="G25" s="133" t="s">
        <v>52</v>
      </c>
      <c r="H25" s="133" t="s">
        <v>52</v>
      </c>
      <c r="I25" s="132">
        <f t="shared" si="0"/>
        <v>0</v>
      </c>
    </row>
    <row r="26" spans="1:9" ht="15">
      <c r="A26" s="250" t="s">
        <v>1894</v>
      </c>
      <c r="B26" s="251"/>
      <c r="C26" s="251"/>
      <c r="D26" s="251"/>
      <c r="E26" s="252"/>
      <c r="F26" s="134">
        <v>0</v>
      </c>
      <c r="G26" s="135" t="s">
        <v>52</v>
      </c>
      <c r="H26" s="135" t="s">
        <v>52</v>
      </c>
      <c r="I26" s="134">
        <f t="shared" si="0"/>
        <v>0</v>
      </c>
    </row>
    <row r="27" spans="1:9" ht="15">
      <c r="A27" s="253" t="s">
        <v>1921</v>
      </c>
      <c r="B27" s="254"/>
      <c r="C27" s="254"/>
      <c r="D27" s="254"/>
      <c r="E27" s="255"/>
      <c r="F27" s="136" t="s">
        <v>52</v>
      </c>
      <c r="G27" s="137" t="s">
        <v>52</v>
      </c>
      <c r="H27" s="137" t="s">
        <v>52</v>
      </c>
      <c r="I27" s="138">
        <f>SUM(I21:I26)</f>
        <v>0</v>
      </c>
    </row>
    <row r="29" spans="1:9" ht="15.75">
      <c r="A29" s="256" t="s">
        <v>1922</v>
      </c>
      <c r="B29" s="257"/>
      <c r="C29" s="257"/>
      <c r="D29" s="257"/>
      <c r="E29" s="258"/>
      <c r="F29" s="259">
        <f>I18+I27</f>
        <v>0</v>
      </c>
      <c r="G29" s="260"/>
      <c r="H29" s="260"/>
      <c r="I29" s="261"/>
    </row>
    <row r="33" spans="1:5" ht="15.75">
      <c r="A33" s="243" t="s">
        <v>1923</v>
      </c>
      <c r="B33" s="243"/>
      <c r="C33" s="243"/>
      <c r="D33" s="243"/>
      <c r="E33" s="243"/>
    </row>
    <row r="34" spans="1:9" ht="15">
      <c r="A34" s="244" t="s">
        <v>1924</v>
      </c>
      <c r="B34" s="245"/>
      <c r="C34" s="245"/>
      <c r="D34" s="245"/>
      <c r="E34" s="246"/>
      <c r="F34" s="131" t="s">
        <v>1918</v>
      </c>
      <c r="G34" s="131" t="s">
        <v>951</v>
      </c>
      <c r="H34" s="131" t="s">
        <v>1919</v>
      </c>
      <c r="I34" s="131" t="s">
        <v>1918</v>
      </c>
    </row>
    <row r="35" spans="1:9" ht="15">
      <c r="A35" s="250" t="s">
        <v>52</v>
      </c>
      <c r="B35" s="251"/>
      <c r="C35" s="251"/>
      <c r="D35" s="251"/>
      <c r="E35" s="252"/>
      <c r="F35" s="134">
        <v>0</v>
      </c>
      <c r="G35" s="135" t="s">
        <v>52</v>
      </c>
      <c r="H35" s="135" t="s">
        <v>52</v>
      </c>
      <c r="I35" s="134">
        <f>F35</f>
        <v>0</v>
      </c>
    </row>
    <row r="36" spans="1:9" ht="15">
      <c r="A36" s="253" t="s">
        <v>1925</v>
      </c>
      <c r="B36" s="254"/>
      <c r="C36" s="254"/>
      <c r="D36" s="254"/>
      <c r="E36" s="255"/>
      <c r="F36" s="136" t="s">
        <v>52</v>
      </c>
      <c r="G36" s="137" t="s">
        <v>52</v>
      </c>
      <c r="H36" s="137" t="s">
        <v>52</v>
      </c>
      <c r="I36" s="138">
        <f>SUM(I35:I35)</f>
        <v>0</v>
      </c>
    </row>
  </sheetData>
  <mergeCells count="51">
    <mergeCell ref="A36:E36"/>
    <mergeCell ref="A29:E29"/>
    <mergeCell ref="F29:I29"/>
    <mergeCell ref="A33:E33"/>
    <mergeCell ref="A34:E34"/>
    <mergeCell ref="A35:E35"/>
    <mergeCell ref="A23:E23"/>
    <mergeCell ref="A24:E24"/>
    <mergeCell ref="A25:E25"/>
    <mergeCell ref="A26:E26"/>
    <mergeCell ref="A27:E27"/>
    <mergeCell ref="A17:E17"/>
    <mergeCell ref="A18:E18"/>
    <mergeCell ref="A20:E20"/>
    <mergeCell ref="A21:E21"/>
    <mergeCell ref="A22:E22"/>
    <mergeCell ref="I10:I11"/>
    <mergeCell ref="A13:E13"/>
    <mergeCell ref="A14:E14"/>
    <mergeCell ref="A15:E15"/>
    <mergeCell ref="A16:E16"/>
    <mergeCell ref="H10:H11"/>
    <mergeCell ref="C2:D3"/>
    <mergeCell ref="C4:D5"/>
    <mergeCell ref="C6:D7"/>
    <mergeCell ref="C8:D9"/>
    <mergeCell ref="C10:D11"/>
    <mergeCell ref="F2:G3"/>
    <mergeCell ref="F4:G5"/>
    <mergeCell ref="F6:G7"/>
    <mergeCell ref="F8:G9"/>
    <mergeCell ref="F10:G11"/>
    <mergeCell ref="A10:B11"/>
    <mergeCell ref="E2:E3"/>
    <mergeCell ref="E4:E5"/>
    <mergeCell ref="E6:E7"/>
    <mergeCell ref="E8:E9"/>
    <mergeCell ref="E10:E11"/>
    <mergeCell ref="A1:I1"/>
    <mergeCell ref="A2:B3"/>
    <mergeCell ref="A4:B5"/>
    <mergeCell ref="A6:B7"/>
    <mergeCell ref="A8:B9"/>
    <mergeCell ref="H2:H3"/>
    <mergeCell ref="H4:H5"/>
    <mergeCell ref="H6:H7"/>
    <mergeCell ref="H8:H9"/>
    <mergeCell ref="I2:I3"/>
    <mergeCell ref="I4:I5"/>
    <mergeCell ref="I6:I7"/>
    <mergeCell ref="I8:I9"/>
  </mergeCells>
  <printOptions/>
  <pageMargins left="0.393999993801117" right="0.393999993801117" top="0.591000020503998" bottom="0.591000020503998" header="0" footer="0"/>
  <pageSetup fitToHeight="0" fitToWidth="1" horizontalDpi="600" verticalDpi="600" orientation="landscape"/>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35"/>
  <sheetViews>
    <sheetView workbookViewId="0" topLeftCell="A1">
      <selection activeCell="A35" sqref="A35:I35"/>
    </sheetView>
  </sheetViews>
  <sheetFormatPr defaultColWidth="12.140625" defaultRowHeight="15" customHeight="1"/>
  <cols>
    <col min="1" max="1" width="9.140625" style="0" customWidth="1"/>
    <col min="2" max="2" width="12.8515625" style="0" customWidth="1"/>
    <col min="3" max="3" width="27.140625" style="0" customWidth="1"/>
    <col min="4" max="4" width="10.00390625" style="0" customWidth="1"/>
    <col min="5" max="5" width="14.00390625" style="0" customWidth="1"/>
    <col min="6" max="6" width="27.140625" style="0" customWidth="1"/>
    <col min="7" max="7" width="9.140625" style="0" customWidth="1"/>
    <col min="8" max="8" width="12.8515625" style="0" customWidth="1"/>
    <col min="9" max="9" width="27.140625" style="0" customWidth="1"/>
  </cols>
  <sheetData>
    <row r="1" spans="1:9" ht="54.75" customHeight="1">
      <c r="A1" s="205" t="s">
        <v>1944</v>
      </c>
      <c r="B1" s="139"/>
      <c r="C1" s="139"/>
      <c r="D1" s="139"/>
      <c r="E1" s="139"/>
      <c r="F1" s="139"/>
      <c r="G1" s="139"/>
      <c r="H1" s="139"/>
      <c r="I1" s="139"/>
    </row>
    <row r="2" spans="1:9" ht="15">
      <c r="A2" s="140" t="s">
        <v>1</v>
      </c>
      <c r="B2" s="141"/>
      <c r="C2" s="149" t="str">
        <f>'Stavební rozpočet'!D2</f>
        <v>Vybudování a rekonstrukce odborných učeben v ZŠ TGM</v>
      </c>
      <c r="D2" s="150"/>
      <c r="E2" s="147" t="s">
        <v>5</v>
      </c>
      <c r="F2" s="147" t="str">
        <f>'Stavební rozpočet'!J2</f>
        <v>Město ivančice</v>
      </c>
      <c r="G2" s="141"/>
      <c r="H2" s="147" t="s">
        <v>1870</v>
      </c>
      <c r="I2" s="152" t="s">
        <v>1871</v>
      </c>
    </row>
    <row r="3" spans="1:9" ht="15" customHeight="1">
      <c r="A3" s="142"/>
      <c r="B3" s="143"/>
      <c r="C3" s="151"/>
      <c r="D3" s="151"/>
      <c r="E3" s="143"/>
      <c r="F3" s="143"/>
      <c r="G3" s="143"/>
      <c r="H3" s="143"/>
      <c r="I3" s="153"/>
    </row>
    <row r="4" spans="1:9" ht="15">
      <c r="A4" s="144" t="s">
        <v>7</v>
      </c>
      <c r="B4" s="143"/>
      <c r="C4" s="148" t="str">
        <f>'Stavební rozpočet'!D4</f>
        <v>Stavební úpravy</v>
      </c>
      <c r="D4" s="143"/>
      <c r="E4" s="148" t="s">
        <v>11</v>
      </c>
      <c r="F4" s="148" t="str">
        <f>'Stavební rozpočet'!J4</f>
        <v>Tomáš Sýkora</v>
      </c>
      <c r="G4" s="143"/>
      <c r="H4" s="148" t="s">
        <v>1870</v>
      </c>
      <c r="I4" s="153" t="s">
        <v>1872</v>
      </c>
    </row>
    <row r="5" spans="1:9" ht="15" customHeight="1">
      <c r="A5" s="142"/>
      <c r="B5" s="143"/>
      <c r="C5" s="143"/>
      <c r="D5" s="143"/>
      <c r="E5" s="143"/>
      <c r="F5" s="143"/>
      <c r="G5" s="143"/>
      <c r="H5" s="143"/>
      <c r="I5" s="153"/>
    </row>
    <row r="6" spans="1:9" ht="15">
      <c r="A6" s="144" t="s">
        <v>13</v>
      </c>
      <c r="B6" s="143"/>
      <c r="C6" s="148" t="str">
        <f>'Stavební rozpočet'!D6</f>
        <v>ZŠ TGM Ivančice; Na Brněnce 1, 664 91 Ivančice</v>
      </c>
      <c r="D6" s="143"/>
      <c r="E6" s="148" t="s">
        <v>16</v>
      </c>
      <c r="F6" s="148" t="str">
        <f>'Stavební rozpočet'!J6</f>
        <v> </v>
      </c>
      <c r="G6" s="143"/>
      <c r="H6" s="148" t="s">
        <v>1870</v>
      </c>
      <c r="I6" s="153" t="s">
        <v>52</v>
      </c>
    </row>
    <row r="7" spans="1:9" ht="15" customHeight="1">
      <c r="A7" s="142"/>
      <c r="B7" s="143"/>
      <c r="C7" s="143"/>
      <c r="D7" s="143"/>
      <c r="E7" s="143"/>
      <c r="F7" s="143"/>
      <c r="G7" s="143"/>
      <c r="H7" s="143"/>
      <c r="I7" s="153"/>
    </row>
    <row r="8" spans="1:9" ht="15">
      <c r="A8" s="144" t="s">
        <v>9</v>
      </c>
      <c r="B8" s="143"/>
      <c r="C8" s="148" t="str">
        <f>'Stavební rozpočet'!H4</f>
        <v>22.09.2023</v>
      </c>
      <c r="D8" s="143"/>
      <c r="E8" s="148" t="s">
        <v>15</v>
      </c>
      <c r="F8" s="148" t="str">
        <f>'Stavební rozpočet'!H6</f>
        <v xml:space="preserve"> </v>
      </c>
      <c r="G8" s="143"/>
      <c r="H8" s="143" t="s">
        <v>1873</v>
      </c>
      <c r="I8" s="207">
        <v>1</v>
      </c>
    </row>
    <row r="9" spans="1:9" ht="15">
      <c r="A9" s="142"/>
      <c r="B9" s="143"/>
      <c r="C9" s="143"/>
      <c r="D9" s="143"/>
      <c r="E9" s="143"/>
      <c r="F9" s="143"/>
      <c r="G9" s="143"/>
      <c r="H9" s="143"/>
      <c r="I9" s="153"/>
    </row>
    <row r="10" spans="1:9" ht="15">
      <c r="A10" s="144" t="s">
        <v>18</v>
      </c>
      <c r="B10" s="143"/>
      <c r="C10" s="148" t="str">
        <f>'Stavební rozpočet'!D8</f>
        <v>8013212</v>
      </c>
      <c r="D10" s="143"/>
      <c r="E10" s="148" t="s">
        <v>21</v>
      </c>
      <c r="F10" s="148" t="str">
        <f>'Stavební rozpočet'!J8</f>
        <v>Tomáš Sýkora</v>
      </c>
      <c r="G10" s="143"/>
      <c r="H10" s="143" t="s">
        <v>1874</v>
      </c>
      <c r="I10" s="208" t="str">
        <f>'Stavební rozpočet'!H8</f>
        <v>22.09.2023</v>
      </c>
    </row>
    <row r="11" spans="1:9" ht="15">
      <c r="A11" s="206"/>
      <c r="B11" s="203"/>
      <c r="C11" s="203"/>
      <c r="D11" s="203"/>
      <c r="E11" s="203"/>
      <c r="F11" s="203"/>
      <c r="G11" s="203"/>
      <c r="H11" s="203"/>
      <c r="I11" s="209"/>
    </row>
    <row r="12" spans="1:9" ht="23.25">
      <c r="A12" s="210" t="s">
        <v>1875</v>
      </c>
      <c r="B12" s="210"/>
      <c r="C12" s="210"/>
      <c r="D12" s="210"/>
      <c r="E12" s="210"/>
      <c r="F12" s="210"/>
      <c r="G12" s="210"/>
      <c r="H12" s="210"/>
      <c r="I12" s="210"/>
    </row>
    <row r="13" spans="1:9" ht="26.25" customHeight="1">
      <c r="A13" s="118" t="s">
        <v>1876</v>
      </c>
      <c r="B13" s="211" t="s">
        <v>1877</v>
      </c>
      <c r="C13" s="212"/>
      <c r="D13" s="119" t="s">
        <v>1878</v>
      </c>
      <c r="E13" s="211" t="s">
        <v>1879</v>
      </c>
      <c r="F13" s="212"/>
      <c r="G13" s="119" t="s">
        <v>1880</v>
      </c>
      <c r="H13" s="211" t="s">
        <v>1881</v>
      </c>
      <c r="I13" s="212"/>
    </row>
    <row r="14" spans="1:9" ht="15.75">
      <c r="A14" s="120" t="s">
        <v>1882</v>
      </c>
      <c r="B14" s="121" t="s">
        <v>1883</v>
      </c>
      <c r="C14" s="122">
        <f>SUMIF('Stavební rozpočet'!AI12:AI1282,"05_01",'Stavební rozpočet'!AB12:AB1282)</f>
        <v>0</v>
      </c>
      <c r="D14" s="219" t="s">
        <v>1884</v>
      </c>
      <c r="E14" s="220"/>
      <c r="F14" s="122">
        <f>'VORN objektu (05_01)'!I15</f>
        <v>0</v>
      </c>
      <c r="G14" s="219" t="s">
        <v>1885</v>
      </c>
      <c r="H14" s="220"/>
      <c r="I14" s="123">
        <f>'VORN objektu (05_01)'!I21</f>
        <v>0</v>
      </c>
    </row>
    <row r="15" spans="1:9" ht="15.75">
      <c r="A15" s="124" t="s">
        <v>52</v>
      </c>
      <c r="B15" s="121" t="s">
        <v>37</v>
      </c>
      <c r="C15" s="122">
        <f>SUMIF('Stavební rozpočet'!AI12:AI1282,"05_01",'Stavební rozpočet'!AC12:AC1282)</f>
        <v>0</v>
      </c>
      <c r="D15" s="219" t="s">
        <v>1886</v>
      </c>
      <c r="E15" s="220"/>
      <c r="F15" s="122">
        <f>'VORN objektu (05_01)'!I16</f>
        <v>0</v>
      </c>
      <c r="G15" s="219" t="s">
        <v>1887</v>
      </c>
      <c r="H15" s="220"/>
      <c r="I15" s="123">
        <f>'VORN objektu (05_01)'!I22</f>
        <v>0</v>
      </c>
    </row>
    <row r="16" spans="1:9" ht="15.75">
      <c r="A16" s="120" t="s">
        <v>1888</v>
      </c>
      <c r="B16" s="121" t="s">
        <v>1883</v>
      </c>
      <c r="C16" s="122">
        <f>SUMIF('Stavební rozpočet'!AI12:AI1282,"05_01",'Stavební rozpočet'!AD12:AD1282)</f>
        <v>0</v>
      </c>
      <c r="D16" s="219" t="s">
        <v>1889</v>
      </c>
      <c r="E16" s="220"/>
      <c r="F16" s="122">
        <f>'VORN objektu (05_01)'!I17</f>
        <v>0</v>
      </c>
      <c r="G16" s="219" t="s">
        <v>1890</v>
      </c>
      <c r="H16" s="220"/>
      <c r="I16" s="123">
        <f>'VORN objektu (05_01)'!I23</f>
        <v>0</v>
      </c>
    </row>
    <row r="17" spans="1:9" ht="15.75">
      <c r="A17" s="124" t="s">
        <v>52</v>
      </c>
      <c r="B17" s="121" t="s">
        <v>37</v>
      </c>
      <c r="C17" s="122">
        <f>SUMIF('Stavební rozpočet'!AI12:AI1282,"05_01",'Stavební rozpočet'!AE12:AE1282)</f>
        <v>0</v>
      </c>
      <c r="D17" s="219" t="s">
        <v>52</v>
      </c>
      <c r="E17" s="220"/>
      <c r="F17" s="123" t="s">
        <v>52</v>
      </c>
      <c r="G17" s="219" t="s">
        <v>1891</v>
      </c>
      <c r="H17" s="220"/>
      <c r="I17" s="123">
        <f>'VORN objektu (05_01)'!I24</f>
        <v>0</v>
      </c>
    </row>
    <row r="18" spans="1:9" ht="15.75">
      <c r="A18" s="120" t="s">
        <v>1892</v>
      </c>
      <c r="B18" s="121" t="s">
        <v>1883</v>
      </c>
      <c r="C18" s="122">
        <f>SUMIF('Stavební rozpočet'!AI12:AI1282,"05_01",'Stavební rozpočet'!AF12:AF1282)</f>
        <v>0</v>
      </c>
      <c r="D18" s="219" t="s">
        <v>52</v>
      </c>
      <c r="E18" s="220"/>
      <c r="F18" s="123" t="s">
        <v>52</v>
      </c>
      <c r="G18" s="219" t="s">
        <v>1893</v>
      </c>
      <c r="H18" s="220"/>
      <c r="I18" s="123">
        <f>'VORN objektu (05_01)'!I25</f>
        <v>0</v>
      </c>
    </row>
    <row r="19" spans="1:9" ht="15.75">
      <c r="A19" s="124" t="s">
        <v>52</v>
      </c>
      <c r="B19" s="121" t="s">
        <v>37</v>
      </c>
      <c r="C19" s="122">
        <f>SUMIF('Stavební rozpočet'!AI12:AI1282,"05_01",'Stavební rozpočet'!AG12:AG1282)</f>
        <v>0</v>
      </c>
      <c r="D19" s="219" t="s">
        <v>52</v>
      </c>
      <c r="E19" s="220"/>
      <c r="F19" s="123" t="s">
        <v>52</v>
      </c>
      <c r="G19" s="219" t="s">
        <v>1894</v>
      </c>
      <c r="H19" s="220"/>
      <c r="I19" s="123">
        <f>'VORN objektu (05_01)'!I26</f>
        <v>0</v>
      </c>
    </row>
    <row r="20" spans="1:9" ht="15.75">
      <c r="A20" s="213" t="s">
        <v>1895</v>
      </c>
      <c r="B20" s="214"/>
      <c r="C20" s="122">
        <f>SUMIF('Stavební rozpočet'!AI12:AI1282,"05_01",'Stavební rozpočet'!AH12:AH1282)</f>
        <v>0</v>
      </c>
      <c r="D20" s="219" t="s">
        <v>52</v>
      </c>
      <c r="E20" s="220"/>
      <c r="F20" s="123" t="s">
        <v>52</v>
      </c>
      <c r="G20" s="219" t="s">
        <v>52</v>
      </c>
      <c r="H20" s="220"/>
      <c r="I20" s="123" t="s">
        <v>52</v>
      </c>
    </row>
    <row r="21" spans="1:9" ht="15.75">
      <c r="A21" s="215" t="s">
        <v>1896</v>
      </c>
      <c r="B21" s="216"/>
      <c r="C21" s="122">
        <f>SUMIF('Stavební rozpočet'!AI12:AI1282,"05_01",'Stavební rozpočet'!Z12:Z1282)</f>
        <v>0</v>
      </c>
      <c r="D21" s="221" t="s">
        <v>52</v>
      </c>
      <c r="E21" s="222"/>
      <c r="F21" s="126" t="s">
        <v>52</v>
      </c>
      <c r="G21" s="221" t="s">
        <v>52</v>
      </c>
      <c r="H21" s="222"/>
      <c r="I21" s="126" t="s">
        <v>52</v>
      </c>
    </row>
    <row r="22" spans="1:9" ht="16.5" customHeight="1">
      <c r="A22" s="217" t="s">
        <v>1897</v>
      </c>
      <c r="B22" s="218"/>
      <c r="C22" s="122">
        <f>SUM(C14:C21)</f>
        <v>0</v>
      </c>
      <c r="D22" s="223" t="s">
        <v>1898</v>
      </c>
      <c r="E22" s="218"/>
      <c r="F22" s="127">
        <f>SUM(F14:F21)</f>
        <v>0</v>
      </c>
      <c r="G22" s="223" t="s">
        <v>1899</v>
      </c>
      <c r="H22" s="218"/>
      <c r="I22" s="127">
        <f>SUM(I14:I21)</f>
        <v>0</v>
      </c>
    </row>
    <row r="23" spans="7:9" ht="15.75">
      <c r="G23" s="213" t="s">
        <v>1902</v>
      </c>
      <c r="H23" s="214"/>
      <c r="I23" s="122">
        <f>'VORN objektu (05_01)'!I36</f>
        <v>0</v>
      </c>
    </row>
    <row r="25" spans="1:3" ht="15.75">
      <c r="A25" s="225" t="s">
        <v>1904</v>
      </c>
      <c r="B25" s="226"/>
      <c r="C25" s="128">
        <f>('Stavební rozpočet'!AS1281)</f>
        <v>0</v>
      </c>
    </row>
    <row r="26" spans="1:9" ht="15.75">
      <c r="A26" s="227" t="s">
        <v>1905</v>
      </c>
      <c r="B26" s="228"/>
      <c r="C26" s="129">
        <f>('Stavební rozpočet'!AT1281)</f>
        <v>0</v>
      </c>
      <c r="D26" s="229" t="s">
        <v>1906</v>
      </c>
      <c r="E26" s="226"/>
      <c r="F26" s="128">
        <f>ROUND(C26*(12/100),2)</f>
        <v>0</v>
      </c>
      <c r="G26" s="229" t="s">
        <v>1907</v>
      </c>
      <c r="H26" s="226"/>
      <c r="I26" s="128">
        <f>SUM(C25:C27)</f>
        <v>0</v>
      </c>
    </row>
    <row r="27" spans="1:9" ht="15.75">
      <c r="A27" s="227" t="s">
        <v>1908</v>
      </c>
      <c r="B27" s="228"/>
      <c r="C27" s="129">
        <f>('Stavební rozpočet'!AU1281)+(F22+I22+F23+I23+I24)</f>
        <v>0</v>
      </c>
      <c r="D27" s="230" t="s">
        <v>1909</v>
      </c>
      <c r="E27" s="228"/>
      <c r="F27" s="129">
        <f>ROUND(C27*(21/100),2)</f>
        <v>0</v>
      </c>
      <c r="G27" s="230" t="s">
        <v>1910</v>
      </c>
      <c r="H27" s="228"/>
      <c r="I27" s="129">
        <f>SUM(F26:F27)+I26</f>
        <v>0</v>
      </c>
    </row>
    <row r="29" spans="1:9" ht="15">
      <c r="A29" s="231" t="s">
        <v>1911</v>
      </c>
      <c r="B29" s="232"/>
      <c r="C29" s="233"/>
      <c r="D29" s="240" t="s">
        <v>1912</v>
      </c>
      <c r="E29" s="232"/>
      <c r="F29" s="233"/>
      <c r="G29" s="240" t="s">
        <v>1913</v>
      </c>
      <c r="H29" s="232"/>
      <c r="I29" s="233"/>
    </row>
    <row r="30" spans="1:9" ht="15">
      <c r="A30" s="234" t="s">
        <v>52</v>
      </c>
      <c r="B30" s="235"/>
      <c r="C30" s="236"/>
      <c r="D30" s="241" t="s">
        <v>52</v>
      </c>
      <c r="E30" s="235"/>
      <c r="F30" s="236"/>
      <c r="G30" s="241" t="s">
        <v>52</v>
      </c>
      <c r="H30" s="235"/>
      <c r="I30" s="236"/>
    </row>
    <row r="31" spans="1:9" ht="15">
      <c r="A31" s="234" t="s">
        <v>52</v>
      </c>
      <c r="B31" s="235"/>
      <c r="C31" s="236"/>
      <c r="D31" s="241" t="s">
        <v>52</v>
      </c>
      <c r="E31" s="235"/>
      <c r="F31" s="236"/>
      <c r="G31" s="241" t="s">
        <v>52</v>
      </c>
      <c r="H31" s="235"/>
      <c r="I31" s="236"/>
    </row>
    <row r="32" spans="1:9" ht="15">
      <c r="A32" s="234" t="s">
        <v>52</v>
      </c>
      <c r="B32" s="235"/>
      <c r="C32" s="236"/>
      <c r="D32" s="241" t="s">
        <v>52</v>
      </c>
      <c r="E32" s="235"/>
      <c r="F32" s="236"/>
      <c r="G32" s="241" t="s">
        <v>52</v>
      </c>
      <c r="H32" s="235"/>
      <c r="I32" s="236"/>
    </row>
    <row r="33" spans="1:9" ht="15">
      <c r="A33" s="237" t="s">
        <v>1914</v>
      </c>
      <c r="B33" s="238"/>
      <c r="C33" s="239"/>
      <c r="D33" s="242" t="s">
        <v>1914</v>
      </c>
      <c r="E33" s="238"/>
      <c r="F33" s="239"/>
      <c r="G33" s="242" t="s">
        <v>1914</v>
      </c>
      <c r="H33" s="238"/>
      <c r="I33" s="239"/>
    </row>
    <row r="34" ht="15">
      <c r="A34" s="130" t="s">
        <v>1868</v>
      </c>
    </row>
    <row r="35" spans="1:9" ht="12.75" customHeight="1">
      <c r="A35" s="148" t="s">
        <v>52</v>
      </c>
      <c r="B35" s="143"/>
      <c r="C35" s="143"/>
      <c r="D35" s="143"/>
      <c r="E35" s="143"/>
      <c r="F35" s="143"/>
      <c r="G35" s="143"/>
      <c r="H35" s="143"/>
      <c r="I35" s="143"/>
    </row>
  </sheetData>
  <mergeCells count="80">
    <mergeCell ref="G32:I32"/>
    <mergeCell ref="G33:I33"/>
    <mergeCell ref="A35:I35"/>
    <mergeCell ref="A32:C32"/>
    <mergeCell ref="A33:C33"/>
    <mergeCell ref="D29:F29"/>
    <mergeCell ref="D30:F30"/>
    <mergeCell ref="D31:F31"/>
    <mergeCell ref="D32:F32"/>
    <mergeCell ref="D33:F33"/>
    <mergeCell ref="G26:H26"/>
    <mergeCell ref="G27:H27"/>
    <mergeCell ref="A29:C29"/>
    <mergeCell ref="A30:C30"/>
    <mergeCell ref="A31:C31"/>
    <mergeCell ref="G29:I29"/>
    <mergeCell ref="G30:I30"/>
    <mergeCell ref="G31:I31"/>
    <mergeCell ref="A25:B25"/>
    <mergeCell ref="A26:B26"/>
    <mergeCell ref="A27:B27"/>
    <mergeCell ref="D26:E26"/>
    <mergeCell ref="D27:E27"/>
    <mergeCell ref="G19:H19"/>
    <mergeCell ref="G20:H20"/>
    <mergeCell ref="G21:H21"/>
    <mergeCell ref="G22:H22"/>
    <mergeCell ref="G23:H23"/>
    <mergeCell ref="G14:H14"/>
    <mergeCell ref="G15:H15"/>
    <mergeCell ref="G16:H16"/>
    <mergeCell ref="G17:H17"/>
    <mergeCell ref="G18:H18"/>
    <mergeCell ref="A20:B20"/>
    <mergeCell ref="A21:B21"/>
    <mergeCell ref="A22:B22"/>
    <mergeCell ref="D14:E14"/>
    <mergeCell ref="D15:E15"/>
    <mergeCell ref="D16:E16"/>
    <mergeCell ref="D17:E17"/>
    <mergeCell ref="D18:E18"/>
    <mergeCell ref="D19:E19"/>
    <mergeCell ref="D20:E20"/>
    <mergeCell ref="D21:E21"/>
    <mergeCell ref="D22:E22"/>
    <mergeCell ref="I10:I11"/>
    <mergeCell ref="A12:I12"/>
    <mergeCell ref="B13:C13"/>
    <mergeCell ref="E13:F13"/>
    <mergeCell ref="H13:I13"/>
    <mergeCell ref="F10:G11"/>
    <mergeCell ref="H2:H3"/>
    <mergeCell ref="H4:H5"/>
    <mergeCell ref="H6:H7"/>
    <mergeCell ref="H8:H9"/>
    <mergeCell ref="H10:H11"/>
    <mergeCell ref="A10:B11"/>
    <mergeCell ref="E2:E3"/>
    <mergeCell ref="E4:E5"/>
    <mergeCell ref="E6:E7"/>
    <mergeCell ref="E8:E9"/>
    <mergeCell ref="E10:E11"/>
    <mergeCell ref="C2:D3"/>
    <mergeCell ref="C4:D5"/>
    <mergeCell ref="C6:D7"/>
    <mergeCell ref="C8:D9"/>
    <mergeCell ref="C10:D11"/>
    <mergeCell ref="A1:I1"/>
    <mergeCell ref="A2:B3"/>
    <mergeCell ref="A4:B5"/>
    <mergeCell ref="A6:B7"/>
    <mergeCell ref="A8:B9"/>
    <mergeCell ref="F2:G3"/>
    <mergeCell ref="F4:G5"/>
    <mergeCell ref="F6:G7"/>
    <mergeCell ref="F8:G9"/>
    <mergeCell ref="I2:I3"/>
    <mergeCell ref="I4:I5"/>
    <mergeCell ref="I6:I7"/>
    <mergeCell ref="I8:I9"/>
  </mergeCells>
  <printOptions/>
  <pageMargins left="0.393999993801117" right="0.393999993801117" top="0.591000020503998" bottom="0.591000020503998" header="0" footer="0"/>
  <pageSetup fitToHeight="1" fitToWidth="1" horizontalDpi="600" verticalDpi="600" orientation="landscape"/>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1285"/>
  <sheetViews>
    <sheetView tabSelected="1" workbookViewId="0" topLeftCell="A1">
      <pane ySplit="11" topLeftCell="A658" activePane="bottomLeft" state="frozen"/>
      <selection pane="bottomLeft" activeCell="D675" sqref="D675:L675"/>
    </sheetView>
  </sheetViews>
  <sheetFormatPr defaultColWidth="12.140625" defaultRowHeight="15" customHeight="1"/>
  <cols>
    <col min="1" max="1" width="4.00390625" style="0" customWidth="1"/>
    <col min="2" max="2" width="7.57421875" style="0" customWidth="1"/>
    <col min="3" max="3" width="17.8515625" style="0" customWidth="1"/>
    <col min="4" max="4" width="42.8515625" style="0" customWidth="1"/>
    <col min="5" max="5" width="35.7109375" style="0" customWidth="1"/>
    <col min="6" max="6" width="6.7109375" style="0" customWidth="1"/>
    <col min="7" max="7" width="12.8515625" style="0" customWidth="1"/>
    <col min="8" max="8" width="12.00390625" style="0" customWidth="1"/>
    <col min="9" max="11" width="15.7109375" style="0" customWidth="1"/>
    <col min="12" max="12" width="13.421875" style="0" customWidth="1"/>
    <col min="25" max="75" width="12.140625" style="0" hidden="1" customWidth="1"/>
  </cols>
  <sheetData>
    <row r="1" spans="1:47" ht="54.75" customHeight="1">
      <c r="A1" s="139" t="s">
        <v>0</v>
      </c>
      <c r="B1" s="139"/>
      <c r="C1" s="139"/>
      <c r="D1" s="139"/>
      <c r="E1" s="139"/>
      <c r="F1" s="139"/>
      <c r="G1" s="139"/>
      <c r="H1" s="139"/>
      <c r="I1" s="139"/>
      <c r="J1" s="139"/>
      <c r="K1" s="139"/>
      <c r="L1" s="139"/>
      <c r="AS1" s="1">
        <f>SUM(AJ1:AJ2)</f>
        <v>0</v>
      </c>
      <c r="AT1" s="1">
        <f>SUM(AK1:AK2)</f>
        <v>0</v>
      </c>
      <c r="AU1" s="1">
        <f>SUM(AL1:AL2)</f>
        <v>0</v>
      </c>
    </row>
    <row r="2" spans="1:12" ht="15">
      <c r="A2" s="140" t="s">
        <v>1</v>
      </c>
      <c r="B2" s="141"/>
      <c r="C2" s="141"/>
      <c r="D2" s="149" t="s">
        <v>2</v>
      </c>
      <c r="E2" s="150"/>
      <c r="F2" s="141" t="s">
        <v>3</v>
      </c>
      <c r="G2" s="141"/>
      <c r="H2" s="141" t="s">
        <v>4</v>
      </c>
      <c r="I2" s="147" t="s">
        <v>5</v>
      </c>
      <c r="J2" s="147" t="s">
        <v>6</v>
      </c>
      <c r="K2" s="141"/>
      <c r="L2" s="152"/>
    </row>
    <row r="3" spans="1:12" ht="15">
      <c r="A3" s="142"/>
      <c r="B3" s="143"/>
      <c r="C3" s="143"/>
      <c r="D3" s="151"/>
      <c r="E3" s="151"/>
      <c r="F3" s="143"/>
      <c r="G3" s="143"/>
      <c r="H3" s="143"/>
      <c r="I3" s="143"/>
      <c r="J3" s="143"/>
      <c r="K3" s="143"/>
      <c r="L3" s="153"/>
    </row>
    <row r="4" spans="1:12" ht="15">
      <c r="A4" s="144" t="s">
        <v>7</v>
      </c>
      <c r="B4" s="143"/>
      <c r="C4" s="143"/>
      <c r="D4" s="148" t="s">
        <v>8</v>
      </c>
      <c r="E4" s="143"/>
      <c r="F4" s="143" t="s">
        <v>9</v>
      </c>
      <c r="G4" s="143"/>
      <c r="H4" s="143" t="s">
        <v>10</v>
      </c>
      <c r="I4" s="148" t="s">
        <v>11</v>
      </c>
      <c r="J4" s="148" t="s">
        <v>12</v>
      </c>
      <c r="K4" s="143"/>
      <c r="L4" s="153"/>
    </row>
    <row r="5" spans="1:12" ht="15">
      <c r="A5" s="142"/>
      <c r="B5" s="143"/>
      <c r="C5" s="143"/>
      <c r="D5" s="143"/>
      <c r="E5" s="143"/>
      <c r="F5" s="143"/>
      <c r="G5" s="143"/>
      <c r="H5" s="143"/>
      <c r="I5" s="143"/>
      <c r="J5" s="143"/>
      <c r="K5" s="143"/>
      <c r="L5" s="153"/>
    </row>
    <row r="6" spans="1:12" ht="15">
      <c r="A6" s="144" t="s">
        <v>13</v>
      </c>
      <c r="B6" s="143"/>
      <c r="C6" s="143"/>
      <c r="D6" s="148" t="s">
        <v>14</v>
      </c>
      <c r="E6" s="143"/>
      <c r="F6" s="143" t="s">
        <v>15</v>
      </c>
      <c r="G6" s="143"/>
      <c r="H6" s="143" t="s">
        <v>4</v>
      </c>
      <c r="I6" s="148" t="s">
        <v>16</v>
      </c>
      <c r="J6" s="143" t="s">
        <v>17</v>
      </c>
      <c r="K6" s="143"/>
      <c r="L6" s="153"/>
    </row>
    <row r="7" spans="1:12" ht="15">
      <c r="A7" s="142"/>
      <c r="B7" s="143"/>
      <c r="C7" s="143"/>
      <c r="D7" s="143"/>
      <c r="E7" s="143"/>
      <c r="F7" s="143"/>
      <c r="G7" s="143"/>
      <c r="H7" s="143"/>
      <c r="I7" s="143"/>
      <c r="J7" s="143"/>
      <c r="K7" s="143"/>
      <c r="L7" s="153"/>
    </row>
    <row r="8" spans="1:12" ht="15">
      <c r="A8" s="144" t="s">
        <v>18</v>
      </c>
      <c r="B8" s="143"/>
      <c r="C8" s="143"/>
      <c r="D8" s="148" t="s">
        <v>19</v>
      </c>
      <c r="E8" s="143"/>
      <c r="F8" s="143" t="s">
        <v>20</v>
      </c>
      <c r="G8" s="143"/>
      <c r="H8" s="143" t="s">
        <v>10</v>
      </c>
      <c r="I8" s="148" t="s">
        <v>21</v>
      </c>
      <c r="J8" s="148" t="s">
        <v>12</v>
      </c>
      <c r="K8" s="143"/>
      <c r="L8" s="153"/>
    </row>
    <row r="9" spans="1:12" ht="15">
      <c r="A9" s="145"/>
      <c r="B9" s="146"/>
      <c r="C9" s="146"/>
      <c r="D9" s="146"/>
      <c r="E9" s="146"/>
      <c r="F9" s="146"/>
      <c r="G9" s="146"/>
      <c r="H9" s="146"/>
      <c r="I9" s="146"/>
      <c r="J9" s="146"/>
      <c r="K9" s="146"/>
      <c r="L9" s="154"/>
    </row>
    <row r="10" spans="1:75" ht="15">
      <c r="A10" s="4" t="s">
        <v>22</v>
      </c>
      <c r="B10" s="5" t="s">
        <v>23</v>
      </c>
      <c r="C10" s="5" t="s">
        <v>24</v>
      </c>
      <c r="D10" s="155" t="s">
        <v>25</v>
      </c>
      <c r="E10" s="156"/>
      <c r="F10" s="5" t="s">
        <v>26</v>
      </c>
      <c r="G10" s="6" t="s">
        <v>27</v>
      </c>
      <c r="H10" s="7" t="s">
        <v>28</v>
      </c>
      <c r="I10" s="159" t="s">
        <v>29</v>
      </c>
      <c r="J10" s="160"/>
      <c r="K10" s="161"/>
      <c r="L10" s="8" t="s">
        <v>30</v>
      </c>
      <c r="BK10" s="9" t="s">
        <v>31</v>
      </c>
      <c r="BL10" s="10" t="s">
        <v>32</v>
      </c>
      <c r="BW10" s="10" t="s">
        <v>33</v>
      </c>
    </row>
    <row r="11" spans="1:62" ht="15">
      <c r="A11" s="11" t="s">
        <v>4</v>
      </c>
      <c r="B11" s="12" t="s">
        <v>4</v>
      </c>
      <c r="C11" s="12" t="s">
        <v>4</v>
      </c>
      <c r="D11" s="157" t="s">
        <v>34</v>
      </c>
      <c r="E11" s="158"/>
      <c r="F11" s="12" t="s">
        <v>4</v>
      </c>
      <c r="G11" s="12" t="s">
        <v>4</v>
      </c>
      <c r="H11" s="13" t="s">
        <v>35</v>
      </c>
      <c r="I11" s="14" t="s">
        <v>36</v>
      </c>
      <c r="J11" s="15" t="s">
        <v>37</v>
      </c>
      <c r="K11" s="16" t="s">
        <v>38</v>
      </c>
      <c r="L11" s="17" t="s">
        <v>39</v>
      </c>
      <c r="Z11" s="9" t="s">
        <v>40</v>
      </c>
      <c r="AA11" s="9" t="s">
        <v>41</v>
      </c>
      <c r="AB11" s="9" t="s">
        <v>42</v>
      </c>
      <c r="AC11" s="9" t="s">
        <v>43</v>
      </c>
      <c r="AD11" s="9" t="s">
        <v>44</v>
      </c>
      <c r="AE11" s="9" t="s">
        <v>45</v>
      </c>
      <c r="AF11" s="9" t="s">
        <v>46</v>
      </c>
      <c r="AG11" s="9" t="s">
        <v>47</v>
      </c>
      <c r="AH11" s="9" t="s">
        <v>48</v>
      </c>
      <c r="BH11" s="9" t="s">
        <v>49</v>
      </c>
      <c r="BI11" s="9" t="s">
        <v>50</v>
      </c>
      <c r="BJ11" s="9" t="s">
        <v>51</v>
      </c>
    </row>
    <row r="12" spans="1:12" ht="15">
      <c r="A12" s="18" t="s">
        <v>52</v>
      </c>
      <c r="B12" s="19" t="s">
        <v>53</v>
      </c>
      <c r="C12" s="19" t="s">
        <v>52</v>
      </c>
      <c r="D12" s="162" t="s">
        <v>54</v>
      </c>
      <c r="E12" s="163"/>
      <c r="F12" s="20" t="s">
        <v>4</v>
      </c>
      <c r="G12" s="20" t="s">
        <v>4</v>
      </c>
      <c r="H12" s="20" t="s">
        <v>4</v>
      </c>
      <c r="I12" s="21">
        <f>I13+I16+I24+I29+I37+I52+I63+I79+I82+I102+I107+I119+I143+I181+I185+I197+I202+I211+I217+I243+I253+I257</f>
        <v>0</v>
      </c>
      <c r="J12" s="21">
        <f>J13+J16+J24+J29+J37+J52+J63+J79+J82+J102+J107+J119+J143+J181+J185+J197+J202+J211+J217+J243+J253+J257</f>
        <v>0</v>
      </c>
      <c r="K12" s="21">
        <f>K13+K16+K24+K29+K37+K52+K63+K79+K82+K102+K107+K119+K143+K181+K185+K197+K202+K211+K217+K243+K253+K257</f>
        <v>0</v>
      </c>
      <c r="L12" s="22" t="s">
        <v>52</v>
      </c>
    </row>
    <row r="13" spans="1:47" ht="15">
      <c r="A13" s="23" t="s">
        <v>52</v>
      </c>
      <c r="B13" s="24" t="s">
        <v>53</v>
      </c>
      <c r="C13" s="24" t="s">
        <v>55</v>
      </c>
      <c r="D13" s="164" t="s">
        <v>56</v>
      </c>
      <c r="E13" s="165"/>
      <c r="F13" s="25" t="s">
        <v>4</v>
      </c>
      <c r="G13" s="25" t="s">
        <v>4</v>
      </c>
      <c r="H13" s="25" t="s">
        <v>4</v>
      </c>
      <c r="I13" s="1">
        <f>SUM(I14:I14)</f>
        <v>0</v>
      </c>
      <c r="J13" s="1">
        <f>SUM(J14:J14)</f>
        <v>0</v>
      </c>
      <c r="K13" s="1">
        <f>SUM(K14:K14)</f>
        <v>0</v>
      </c>
      <c r="L13" s="26" t="s">
        <v>52</v>
      </c>
      <c r="AI13" s="9" t="s">
        <v>53</v>
      </c>
      <c r="AS13" s="1">
        <f>SUM(AJ14:AJ14)</f>
        <v>0</v>
      </c>
      <c r="AT13" s="1">
        <f>SUM(AK14:AK14)</f>
        <v>0</v>
      </c>
      <c r="AU13" s="1">
        <f>SUM(AL14:AL14)</f>
        <v>0</v>
      </c>
    </row>
    <row r="14" spans="1:75" ht="13.5" customHeight="1">
      <c r="A14" s="2" t="s">
        <v>57</v>
      </c>
      <c r="B14" s="3" t="s">
        <v>53</v>
      </c>
      <c r="C14" s="3" t="s">
        <v>58</v>
      </c>
      <c r="D14" s="148" t="s">
        <v>59</v>
      </c>
      <c r="E14" s="143"/>
      <c r="F14" s="3" t="s">
        <v>52</v>
      </c>
      <c r="G14" s="27">
        <v>0</v>
      </c>
      <c r="H14" s="27">
        <v>0</v>
      </c>
      <c r="I14" s="27">
        <f>G14*AO14</f>
        <v>0</v>
      </c>
      <c r="J14" s="27">
        <f>G14*AP14</f>
        <v>0</v>
      </c>
      <c r="K14" s="27">
        <f>G14*H14</f>
        <v>0</v>
      </c>
      <c r="L14" s="28" t="s">
        <v>52</v>
      </c>
      <c r="Z14" s="27">
        <f>IF(AQ14="5",BJ14,0)</f>
        <v>0</v>
      </c>
      <c r="AB14" s="27">
        <f>IF(AQ14="1",BH14,0)</f>
        <v>0</v>
      </c>
      <c r="AC14" s="27">
        <f>IF(AQ14="1",BI14,0)</f>
        <v>0</v>
      </c>
      <c r="AD14" s="27">
        <f>IF(AQ14="7",BH14,0)</f>
        <v>0</v>
      </c>
      <c r="AE14" s="27">
        <f>IF(AQ14="7",BI14,0)</f>
        <v>0</v>
      </c>
      <c r="AF14" s="27">
        <f>IF(AQ14="2",BH14,0)</f>
        <v>0</v>
      </c>
      <c r="AG14" s="27">
        <f>IF(AQ14="2",BI14,0)</f>
        <v>0</v>
      </c>
      <c r="AH14" s="27">
        <f>IF(AQ14="0",BJ14,0)</f>
        <v>0</v>
      </c>
      <c r="AI14" s="9" t="s">
        <v>53</v>
      </c>
      <c r="AJ14" s="27">
        <f>IF(AN14=0,K14,0)</f>
        <v>0</v>
      </c>
      <c r="AK14" s="27">
        <f>IF(AN14=12,K14,0)</f>
        <v>0</v>
      </c>
      <c r="AL14" s="27">
        <f>IF(AN14=21,K14,0)</f>
        <v>0</v>
      </c>
      <c r="AN14" s="27">
        <v>21</v>
      </c>
      <c r="AO14" s="27">
        <f>H14*0</f>
        <v>0</v>
      </c>
      <c r="AP14" s="27">
        <f>H14*(1-0)</f>
        <v>0</v>
      </c>
      <c r="AQ14" s="29" t="s">
        <v>60</v>
      </c>
      <c r="AV14" s="27">
        <f>AW14+AX14</f>
        <v>0</v>
      </c>
      <c r="AW14" s="27">
        <f>G14*AO14</f>
        <v>0</v>
      </c>
      <c r="AX14" s="27">
        <f>G14*AP14</f>
        <v>0</v>
      </c>
      <c r="AY14" s="29" t="s">
        <v>61</v>
      </c>
      <c r="AZ14" s="29" t="s">
        <v>62</v>
      </c>
      <c r="BA14" s="9" t="s">
        <v>63</v>
      </c>
      <c r="BC14" s="27">
        <f>AW14+AX14</f>
        <v>0</v>
      </c>
      <c r="BD14" s="27">
        <f>H14/(100-BE14)*100</f>
        <v>0</v>
      </c>
      <c r="BE14" s="27">
        <v>0</v>
      </c>
      <c r="BF14" s="27">
        <f>14</f>
        <v>14</v>
      </c>
      <c r="BH14" s="27">
        <f>G14*AO14</f>
        <v>0</v>
      </c>
      <c r="BI14" s="27">
        <f>G14*AP14</f>
        <v>0</v>
      </c>
      <c r="BJ14" s="27">
        <f>G14*H14</f>
        <v>0</v>
      </c>
      <c r="BK14" s="27"/>
      <c r="BL14" s="27"/>
      <c r="BW14" s="27">
        <v>21</v>
      </c>
    </row>
    <row r="15" spans="1:12" ht="67.5" customHeight="1">
      <c r="A15" s="30"/>
      <c r="D15" s="166" t="s">
        <v>64</v>
      </c>
      <c r="E15" s="167"/>
      <c r="F15" s="167"/>
      <c r="G15" s="167"/>
      <c r="H15" s="167"/>
      <c r="I15" s="167"/>
      <c r="J15" s="167"/>
      <c r="K15" s="167"/>
      <c r="L15" s="168"/>
    </row>
    <row r="16" spans="1:47" ht="15">
      <c r="A16" s="23" t="s">
        <v>52</v>
      </c>
      <c r="B16" s="24" t="s">
        <v>53</v>
      </c>
      <c r="C16" s="24" t="s">
        <v>65</v>
      </c>
      <c r="D16" s="164" t="s">
        <v>66</v>
      </c>
      <c r="E16" s="165"/>
      <c r="F16" s="25" t="s">
        <v>4</v>
      </c>
      <c r="G16" s="25" t="s">
        <v>4</v>
      </c>
      <c r="H16" s="25" t="s">
        <v>4</v>
      </c>
      <c r="I16" s="1">
        <f>SUM(I17:I23)</f>
        <v>0</v>
      </c>
      <c r="J16" s="1">
        <f>SUM(J17:J23)</f>
        <v>0</v>
      </c>
      <c r="K16" s="1">
        <f>SUM(K17:K23)</f>
        <v>0</v>
      </c>
      <c r="L16" s="26" t="s">
        <v>52</v>
      </c>
      <c r="AI16" s="9" t="s">
        <v>53</v>
      </c>
      <c r="AS16" s="1">
        <f>SUM(AJ17:AJ23)</f>
        <v>0</v>
      </c>
      <c r="AT16" s="1">
        <f>SUM(AK17:AK23)</f>
        <v>0</v>
      </c>
      <c r="AU16" s="1">
        <f>SUM(AL17:AL23)</f>
        <v>0</v>
      </c>
    </row>
    <row r="17" spans="1:75" ht="13.5" customHeight="1">
      <c r="A17" s="2" t="s">
        <v>60</v>
      </c>
      <c r="B17" s="3" t="s">
        <v>53</v>
      </c>
      <c r="C17" s="3" t="s">
        <v>67</v>
      </c>
      <c r="D17" s="148" t="s">
        <v>68</v>
      </c>
      <c r="E17" s="143"/>
      <c r="F17" s="3" t="s">
        <v>69</v>
      </c>
      <c r="G17" s="27">
        <v>1</v>
      </c>
      <c r="H17" s="27">
        <v>0</v>
      </c>
      <c r="I17" s="27">
        <f aca="true" t="shared" si="0" ref="I17:I23">G17*AO17</f>
        <v>0</v>
      </c>
      <c r="J17" s="27">
        <f aca="true" t="shared" si="1" ref="J17:J23">G17*AP17</f>
        <v>0</v>
      </c>
      <c r="K17" s="27">
        <f aca="true" t="shared" si="2" ref="K17:K23">G17*H17</f>
        <v>0</v>
      </c>
      <c r="L17" s="28" t="s">
        <v>70</v>
      </c>
      <c r="Z17" s="27">
        <f aca="true" t="shared" si="3" ref="Z17:Z23">IF(AQ17="5",BJ17,0)</f>
        <v>0</v>
      </c>
      <c r="AB17" s="27">
        <f aca="true" t="shared" si="4" ref="AB17:AB23">IF(AQ17="1",BH17,0)</f>
        <v>0</v>
      </c>
      <c r="AC17" s="27">
        <f aca="true" t="shared" si="5" ref="AC17:AC23">IF(AQ17="1",BI17,0)</f>
        <v>0</v>
      </c>
      <c r="AD17" s="27">
        <f aca="true" t="shared" si="6" ref="AD17:AD23">IF(AQ17="7",BH17,0)</f>
        <v>0</v>
      </c>
      <c r="AE17" s="27">
        <f aca="true" t="shared" si="7" ref="AE17:AE23">IF(AQ17="7",BI17,0)</f>
        <v>0</v>
      </c>
      <c r="AF17" s="27">
        <f aca="true" t="shared" si="8" ref="AF17:AF23">IF(AQ17="2",BH17,0)</f>
        <v>0</v>
      </c>
      <c r="AG17" s="27">
        <f aca="true" t="shared" si="9" ref="AG17:AG23">IF(AQ17="2",BI17,0)</f>
        <v>0</v>
      </c>
      <c r="AH17" s="27">
        <f aca="true" t="shared" si="10" ref="AH17:AH23">IF(AQ17="0",BJ17,0)</f>
        <v>0</v>
      </c>
      <c r="AI17" s="9" t="s">
        <v>53</v>
      </c>
      <c r="AJ17" s="27">
        <f aca="true" t="shared" si="11" ref="AJ17:AJ23">IF(AN17=0,K17,0)</f>
        <v>0</v>
      </c>
      <c r="AK17" s="27">
        <f aca="true" t="shared" si="12" ref="AK17:AK23">IF(AN17=12,K17,0)</f>
        <v>0</v>
      </c>
      <c r="AL17" s="27">
        <f aca="true" t="shared" si="13" ref="AL17:AL23">IF(AN17=21,K17,0)</f>
        <v>0</v>
      </c>
      <c r="AN17" s="27">
        <v>21</v>
      </c>
      <c r="AO17" s="27">
        <f aca="true" t="shared" si="14" ref="AO17:AO23">H17*0</f>
        <v>0</v>
      </c>
      <c r="AP17" s="27">
        <f aca="true" t="shared" si="15" ref="AP17:AP23">H17*(1-0)</f>
        <v>0</v>
      </c>
      <c r="AQ17" s="29" t="s">
        <v>60</v>
      </c>
      <c r="AV17" s="27">
        <f aca="true" t="shared" si="16" ref="AV17:AV23">AW17+AX17</f>
        <v>0</v>
      </c>
      <c r="AW17" s="27">
        <f aca="true" t="shared" si="17" ref="AW17:AW23">G17*AO17</f>
        <v>0</v>
      </c>
      <c r="AX17" s="27">
        <f aca="true" t="shared" si="18" ref="AX17:AX23">G17*AP17</f>
        <v>0</v>
      </c>
      <c r="AY17" s="29" t="s">
        <v>71</v>
      </c>
      <c r="AZ17" s="29" t="s">
        <v>62</v>
      </c>
      <c r="BA17" s="9" t="s">
        <v>63</v>
      </c>
      <c r="BC17" s="27">
        <f aca="true" t="shared" si="19" ref="BC17:BC23">AW17+AX17</f>
        <v>0</v>
      </c>
      <c r="BD17" s="27">
        <f aca="true" t="shared" si="20" ref="BD17:BD23">H17/(100-BE17)*100</f>
        <v>0</v>
      </c>
      <c r="BE17" s="27">
        <v>0</v>
      </c>
      <c r="BF17" s="27">
        <f>17</f>
        <v>17</v>
      </c>
      <c r="BH17" s="27">
        <f aca="true" t="shared" si="21" ref="BH17:BH23">G17*AO17</f>
        <v>0</v>
      </c>
      <c r="BI17" s="27">
        <f aca="true" t="shared" si="22" ref="BI17:BI23">G17*AP17</f>
        <v>0</v>
      </c>
      <c r="BJ17" s="27">
        <f aca="true" t="shared" si="23" ref="BJ17:BJ23">G17*H17</f>
        <v>0</v>
      </c>
      <c r="BK17" s="27"/>
      <c r="BL17" s="27"/>
      <c r="BW17" s="27">
        <v>21</v>
      </c>
    </row>
    <row r="18" spans="1:75" ht="13.5" customHeight="1">
      <c r="A18" s="2" t="s">
        <v>72</v>
      </c>
      <c r="B18" s="3" t="s">
        <v>53</v>
      </c>
      <c r="C18" s="3" t="s">
        <v>73</v>
      </c>
      <c r="D18" s="148" t="s">
        <v>74</v>
      </c>
      <c r="E18" s="143"/>
      <c r="F18" s="3" t="s">
        <v>69</v>
      </c>
      <c r="G18" s="27">
        <v>1</v>
      </c>
      <c r="H18" s="27">
        <v>0</v>
      </c>
      <c r="I18" s="27">
        <f t="shared" si="0"/>
        <v>0</v>
      </c>
      <c r="J18" s="27">
        <f t="shared" si="1"/>
        <v>0</v>
      </c>
      <c r="K18" s="27">
        <f t="shared" si="2"/>
        <v>0</v>
      </c>
      <c r="L18" s="28" t="s">
        <v>70</v>
      </c>
      <c r="Z18" s="27">
        <f t="shared" si="3"/>
        <v>0</v>
      </c>
      <c r="AB18" s="27">
        <f t="shared" si="4"/>
        <v>0</v>
      </c>
      <c r="AC18" s="27">
        <f t="shared" si="5"/>
        <v>0</v>
      </c>
      <c r="AD18" s="27">
        <f t="shared" si="6"/>
        <v>0</v>
      </c>
      <c r="AE18" s="27">
        <f t="shared" si="7"/>
        <v>0</v>
      </c>
      <c r="AF18" s="27">
        <f t="shared" si="8"/>
        <v>0</v>
      </c>
      <c r="AG18" s="27">
        <f t="shared" si="9"/>
        <v>0</v>
      </c>
      <c r="AH18" s="27">
        <f t="shared" si="10"/>
        <v>0</v>
      </c>
      <c r="AI18" s="9" t="s">
        <v>53</v>
      </c>
      <c r="AJ18" s="27">
        <f t="shared" si="11"/>
        <v>0</v>
      </c>
      <c r="AK18" s="27">
        <f t="shared" si="12"/>
        <v>0</v>
      </c>
      <c r="AL18" s="27">
        <f t="shared" si="13"/>
        <v>0</v>
      </c>
      <c r="AN18" s="27">
        <v>21</v>
      </c>
      <c r="AO18" s="27">
        <f t="shared" si="14"/>
        <v>0</v>
      </c>
      <c r="AP18" s="27">
        <f t="shared" si="15"/>
        <v>0</v>
      </c>
      <c r="AQ18" s="29" t="s">
        <v>60</v>
      </c>
      <c r="AV18" s="27">
        <f t="shared" si="16"/>
        <v>0</v>
      </c>
      <c r="AW18" s="27">
        <f t="shared" si="17"/>
        <v>0</v>
      </c>
      <c r="AX18" s="27">
        <f t="shared" si="18"/>
        <v>0</v>
      </c>
      <c r="AY18" s="29" t="s">
        <v>71</v>
      </c>
      <c r="AZ18" s="29" t="s">
        <v>62</v>
      </c>
      <c r="BA18" s="9" t="s">
        <v>63</v>
      </c>
      <c r="BC18" s="27">
        <f t="shared" si="19"/>
        <v>0</v>
      </c>
      <c r="BD18" s="27">
        <f t="shared" si="20"/>
        <v>0</v>
      </c>
      <c r="BE18" s="27">
        <v>0</v>
      </c>
      <c r="BF18" s="27">
        <f>18</f>
        <v>18</v>
      </c>
      <c r="BH18" s="27">
        <f t="shared" si="21"/>
        <v>0</v>
      </c>
      <c r="BI18" s="27">
        <f t="shared" si="22"/>
        <v>0</v>
      </c>
      <c r="BJ18" s="27">
        <f t="shared" si="23"/>
        <v>0</v>
      </c>
      <c r="BK18" s="27"/>
      <c r="BL18" s="27"/>
      <c r="BW18" s="27">
        <v>21</v>
      </c>
    </row>
    <row r="19" spans="1:75" ht="13.5" customHeight="1">
      <c r="A19" s="2" t="s">
        <v>75</v>
      </c>
      <c r="B19" s="3" t="s">
        <v>53</v>
      </c>
      <c r="C19" s="3" t="s">
        <v>76</v>
      </c>
      <c r="D19" s="148" t="s">
        <v>77</v>
      </c>
      <c r="E19" s="143"/>
      <c r="F19" s="3" t="s">
        <v>69</v>
      </c>
      <c r="G19" s="27">
        <v>1</v>
      </c>
      <c r="H19" s="27">
        <v>0</v>
      </c>
      <c r="I19" s="27">
        <f t="shared" si="0"/>
        <v>0</v>
      </c>
      <c r="J19" s="27">
        <f t="shared" si="1"/>
        <v>0</v>
      </c>
      <c r="K19" s="27">
        <f t="shared" si="2"/>
        <v>0</v>
      </c>
      <c r="L19" s="28" t="s">
        <v>70</v>
      </c>
      <c r="Z19" s="27">
        <f t="shared" si="3"/>
        <v>0</v>
      </c>
      <c r="AB19" s="27">
        <f t="shared" si="4"/>
        <v>0</v>
      </c>
      <c r="AC19" s="27">
        <f t="shared" si="5"/>
        <v>0</v>
      </c>
      <c r="AD19" s="27">
        <f t="shared" si="6"/>
        <v>0</v>
      </c>
      <c r="AE19" s="27">
        <f t="shared" si="7"/>
        <v>0</v>
      </c>
      <c r="AF19" s="27">
        <f t="shared" si="8"/>
        <v>0</v>
      </c>
      <c r="AG19" s="27">
        <f t="shared" si="9"/>
        <v>0</v>
      </c>
      <c r="AH19" s="27">
        <f t="shared" si="10"/>
        <v>0</v>
      </c>
      <c r="AI19" s="9" t="s">
        <v>53</v>
      </c>
      <c r="AJ19" s="27">
        <f t="shared" si="11"/>
        <v>0</v>
      </c>
      <c r="AK19" s="27">
        <f t="shared" si="12"/>
        <v>0</v>
      </c>
      <c r="AL19" s="27">
        <f t="shared" si="13"/>
        <v>0</v>
      </c>
      <c r="AN19" s="27">
        <v>21</v>
      </c>
      <c r="AO19" s="27">
        <f t="shared" si="14"/>
        <v>0</v>
      </c>
      <c r="AP19" s="27">
        <f t="shared" si="15"/>
        <v>0</v>
      </c>
      <c r="AQ19" s="29" t="s">
        <v>60</v>
      </c>
      <c r="AV19" s="27">
        <f t="shared" si="16"/>
        <v>0</v>
      </c>
      <c r="AW19" s="27">
        <f t="shared" si="17"/>
        <v>0</v>
      </c>
      <c r="AX19" s="27">
        <f t="shared" si="18"/>
        <v>0</v>
      </c>
      <c r="AY19" s="29" t="s">
        <v>71</v>
      </c>
      <c r="AZ19" s="29" t="s">
        <v>62</v>
      </c>
      <c r="BA19" s="9" t="s">
        <v>63</v>
      </c>
      <c r="BC19" s="27">
        <f t="shared" si="19"/>
        <v>0</v>
      </c>
      <c r="BD19" s="27">
        <f t="shared" si="20"/>
        <v>0</v>
      </c>
      <c r="BE19" s="27">
        <v>0</v>
      </c>
      <c r="BF19" s="27">
        <f>19</f>
        <v>19</v>
      </c>
      <c r="BH19" s="27">
        <f t="shared" si="21"/>
        <v>0</v>
      </c>
      <c r="BI19" s="27">
        <f t="shared" si="22"/>
        <v>0</v>
      </c>
      <c r="BJ19" s="27">
        <f t="shared" si="23"/>
        <v>0</v>
      </c>
      <c r="BK19" s="27"/>
      <c r="BL19" s="27"/>
      <c r="BW19" s="27">
        <v>21</v>
      </c>
    </row>
    <row r="20" spans="1:75" ht="13.5" customHeight="1">
      <c r="A20" s="2" t="s">
        <v>78</v>
      </c>
      <c r="B20" s="3" t="s">
        <v>53</v>
      </c>
      <c r="C20" s="3" t="s">
        <v>79</v>
      </c>
      <c r="D20" s="148" t="s">
        <v>80</v>
      </c>
      <c r="E20" s="143"/>
      <c r="F20" s="3" t="s">
        <v>69</v>
      </c>
      <c r="G20" s="27">
        <v>1</v>
      </c>
      <c r="H20" s="27">
        <v>0</v>
      </c>
      <c r="I20" s="27">
        <f t="shared" si="0"/>
        <v>0</v>
      </c>
      <c r="J20" s="27">
        <f t="shared" si="1"/>
        <v>0</v>
      </c>
      <c r="K20" s="27">
        <f t="shared" si="2"/>
        <v>0</v>
      </c>
      <c r="L20" s="28" t="s">
        <v>70</v>
      </c>
      <c r="Z20" s="27">
        <f t="shared" si="3"/>
        <v>0</v>
      </c>
      <c r="AB20" s="27">
        <f t="shared" si="4"/>
        <v>0</v>
      </c>
      <c r="AC20" s="27">
        <f t="shared" si="5"/>
        <v>0</v>
      </c>
      <c r="AD20" s="27">
        <f t="shared" si="6"/>
        <v>0</v>
      </c>
      <c r="AE20" s="27">
        <f t="shared" si="7"/>
        <v>0</v>
      </c>
      <c r="AF20" s="27">
        <f t="shared" si="8"/>
        <v>0</v>
      </c>
      <c r="AG20" s="27">
        <f t="shared" si="9"/>
        <v>0</v>
      </c>
      <c r="AH20" s="27">
        <f t="shared" si="10"/>
        <v>0</v>
      </c>
      <c r="AI20" s="9" t="s">
        <v>53</v>
      </c>
      <c r="AJ20" s="27">
        <f t="shared" si="11"/>
        <v>0</v>
      </c>
      <c r="AK20" s="27">
        <f t="shared" si="12"/>
        <v>0</v>
      </c>
      <c r="AL20" s="27">
        <f t="shared" si="13"/>
        <v>0</v>
      </c>
      <c r="AN20" s="27">
        <v>21</v>
      </c>
      <c r="AO20" s="27">
        <f t="shared" si="14"/>
        <v>0</v>
      </c>
      <c r="AP20" s="27">
        <f t="shared" si="15"/>
        <v>0</v>
      </c>
      <c r="AQ20" s="29" t="s">
        <v>60</v>
      </c>
      <c r="AV20" s="27">
        <f t="shared" si="16"/>
        <v>0</v>
      </c>
      <c r="AW20" s="27">
        <f t="shared" si="17"/>
        <v>0</v>
      </c>
      <c r="AX20" s="27">
        <f t="shared" si="18"/>
        <v>0</v>
      </c>
      <c r="AY20" s="29" t="s">
        <v>71</v>
      </c>
      <c r="AZ20" s="29" t="s">
        <v>62</v>
      </c>
      <c r="BA20" s="9" t="s">
        <v>63</v>
      </c>
      <c r="BC20" s="27">
        <f t="shared" si="19"/>
        <v>0</v>
      </c>
      <c r="BD20" s="27">
        <f t="shared" si="20"/>
        <v>0</v>
      </c>
      <c r="BE20" s="27">
        <v>0</v>
      </c>
      <c r="BF20" s="27">
        <f>20</f>
        <v>20</v>
      </c>
      <c r="BH20" s="27">
        <f t="shared" si="21"/>
        <v>0</v>
      </c>
      <c r="BI20" s="27">
        <f t="shared" si="22"/>
        <v>0</v>
      </c>
      <c r="BJ20" s="27">
        <f t="shared" si="23"/>
        <v>0</v>
      </c>
      <c r="BK20" s="27"/>
      <c r="BL20" s="27"/>
      <c r="BW20" s="27">
        <v>21</v>
      </c>
    </row>
    <row r="21" spans="1:75" ht="13.5" customHeight="1">
      <c r="A21" s="2" t="s">
        <v>81</v>
      </c>
      <c r="B21" s="3" t="s">
        <v>53</v>
      </c>
      <c r="C21" s="3" t="s">
        <v>82</v>
      </c>
      <c r="D21" s="148" t="s">
        <v>83</v>
      </c>
      <c r="E21" s="143"/>
      <c r="F21" s="3" t="s">
        <v>69</v>
      </c>
      <c r="G21" s="27">
        <v>1</v>
      </c>
      <c r="H21" s="27">
        <v>0</v>
      </c>
      <c r="I21" s="27">
        <f t="shared" si="0"/>
        <v>0</v>
      </c>
      <c r="J21" s="27">
        <f t="shared" si="1"/>
        <v>0</v>
      </c>
      <c r="K21" s="27">
        <f t="shared" si="2"/>
        <v>0</v>
      </c>
      <c r="L21" s="28" t="s">
        <v>70</v>
      </c>
      <c r="Z21" s="27">
        <f t="shared" si="3"/>
        <v>0</v>
      </c>
      <c r="AB21" s="27">
        <f t="shared" si="4"/>
        <v>0</v>
      </c>
      <c r="AC21" s="27">
        <f t="shared" si="5"/>
        <v>0</v>
      </c>
      <c r="AD21" s="27">
        <f t="shared" si="6"/>
        <v>0</v>
      </c>
      <c r="AE21" s="27">
        <f t="shared" si="7"/>
        <v>0</v>
      </c>
      <c r="AF21" s="27">
        <f t="shared" si="8"/>
        <v>0</v>
      </c>
      <c r="AG21" s="27">
        <f t="shared" si="9"/>
        <v>0</v>
      </c>
      <c r="AH21" s="27">
        <f t="shared" si="10"/>
        <v>0</v>
      </c>
      <c r="AI21" s="9" t="s">
        <v>53</v>
      </c>
      <c r="AJ21" s="27">
        <f t="shared" si="11"/>
        <v>0</v>
      </c>
      <c r="AK21" s="27">
        <f t="shared" si="12"/>
        <v>0</v>
      </c>
      <c r="AL21" s="27">
        <f t="shared" si="13"/>
        <v>0</v>
      </c>
      <c r="AN21" s="27">
        <v>21</v>
      </c>
      <c r="AO21" s="27">
        <f t="shared" si="14"/>
        <v>0</v>
      </c>
      <c r="AP21" s="27">
        <f t="shared" si="15"/>
        <v>0</v>
      </c>
      <c r="AQ21" s="29" t="s">
        <v>60</v>
      </c>
      <c r="AV21" s="27">
        <f t="shared" si="16"/>
        <v>0</v>
      </c>
      <c r="AW21" s="27">
        <f t="shared" si="17"/>
        <v>0</v>
      </c>
      <c r="AX21" s="27">
        <f t="shared" si="18"/>
        <v>0</v>
      </c>
      <c r="AY21" s="29" t="s">
        <v>71</v>
      </c>
      <c r="AZ21" s="29" t="s">
        <v>62</v>
      </c>
      <c r="BA21" s="9" t="s">
        <v>63</v>
      </c>
      <c r="BC21" s="27">
        <f t="shared" si="19"/>
        <v>0</v>
      </c>
      <c r="BD21" s="27">
        <f t="shared" si="20"/>
        <v>0</v>
      </c>
      <c r="BE21" s="27">
        <v>0</v>
      </c>
      <c r="BF21" s="27">
        <f>21</f>
        <v>21</v>
      </c>
      <c r="BH21" s="27">
        <f t="shared" si="21"/>
        <v>0</v>
      </c>
      <c r="BI21" s="27">
        <f t="shared" si="22"/>
        <v>0</v>
      </c>
      <c r="BJ21" s="27">
        <f t="shared" si="23"/>
        <v>0</v>
      </c>
      <c r="BK21" s="27"/>
      <c r="BL21" s="27"/>
      <c r="BW21" s="27">
        <v>21</v>
      </c>
    </row>
    <row r="22" spans="1:75" ht="13.5" customHeight="1">
      <c r="A22" s="2" t="s">
        <v>84</v>
      </c>
      <c r="B22" s="3" t="s">
        <v>53</v>
      </c>
      <c r="C22" s="3" t="s">
        <v>85</v>
      </c>
      <c r="D22" s="148" t="s">
        <v>86</v>
      </c>
      <c r="E22" s="143"/>
      <c r="F22" s="3" t="s">
        <v>69</v>
      </c>
      <c r="G22" s="27">
        <v>1</v>
      </c>
      <c r="H22" s="27">
        <v>0</v>
      </c>
      <c r="I22" s="27">
        <f t="shared" si="0"/>
        <v>0</v>
      </c>
      <c r="J22" s="27">
        <f t="shared" si="1"/>
        <v>0</v>
      </c>
      <c r="K22" s="27">
        <f t="shared" si="2"/>
        <v>0</v>
      </c>
      <c r="L22" s="28" t="s">
        <v>70</v>
      </c>
      <c r="Z22" s="27">
        <f t="shared" si="3"/>
        <v>0</v>
      </c>
      <c r="AB22" s="27">
        <f t="shared" si="4"/>
        <v>0</v>
      </c>
      <c r="AC22" s="27">
        <f t="shared" si="5"/>
        <v>0</v>
      </c>
      <c r="AD22" s="27">
        <f t="shared" si="6"/>
        <v>0</v>
      </c>
      <c r="AE22" s="27">
        <f t="shared" si="7"/>
        <v>0</v>
      </c>
      <c r="AF22" s="27">
        <f t="shared" si="8"/>
        <v>0</v>
      </c>
      <c r="AG22" s="27">
        <f t="shared" si="9"/>
        <v>0</v>
      </c>
      <c r="AH22" s="27">
        <f t="shared" si="10"/>
        <v>0</v>
      </c>
      <c r="AI22" s="9" t="s">
        <v>53</v>
      </c>
      <c r="AJ22" s="27">
        <f t="shared" si="11"/>
        <v>0</v>
      </c>
      <c r="AK22" s="27">
        <f t="shared" si="12"/>
        <v>0</v>
      </c>
      <c r="AL22" s="27">
        <f t="shared" si="13"/>
        <v>0</v>
      </c>
      <c r="AN22" s="27">
        <v>21</v>
      </c>
      <c r="AO22" s="27">
        <f t="shared" si="14"/>
        <v>0</v>
      </c>
      <c r="AP22" s="27">
        <f t="shared" si="15"/>
        <v>0</v>
      </c>
      <c r="AQ22" s="29" t="s">
        <v>60</v>
      </c>
      <c r="AV22" s="27">
        <f t="shared" si="16"/>
        <v>0</v>
      </c>
      <c r="AW22" s="27">
        <f t="shared" si="17"/>
        <v>0</v>
      </c>
      <c r="AX22" s="27">
        <f t="shared" si="18"/>
        <v>0</v>
      </c>
      <c r="AY22" s="29" t="s">
        <v>71</v>
      </c>
      <c r="AZ22" s="29" t="s">
        <v>62</v>
      </c>
      <c r="BA22" s="9" t="s">
        <v>63</v>
      </c>
      <c r="BC22" s="27">
        <f t="shared" si="19"/>
        <v>0</v>
      </c>
      <c r="BD22" s="27">
        <f t="shared" si="20"/>
        <v>0</v>
      </c>
      <c r="BE22" s="27">
        <v>0</v>
      </c>
      <c r="BF22" s="27">
        <f>22</f>
        <v>22</v>
      </c>
      <c r="BH22" s="27">
        <f t="shared" si="21"/>
        <v>0</v>
      </c>
      <c r="BI22" s="27">
        <f t="shared" si="22"/>
        <v>0</v>
      </c>
      <c r="BJ22" s="27">
        <f t="shared" si="23"/>
        <v>0</v>
      </c>
      <c r="BK22" s="27"/>
      <c r="BL22" s="27"/>
      <c r="BW22" s="27">
        <v>21</v>
      </c>
    </row>
    <row r="23" spans="1:75" ht="13.5" customHeight="1">
      <c r="A23" s="2" t="s">
        <v>87</v>
      </c>
      <c r="B23" s="3" t="s">
        <v>53</v>
      </c>
      <c r="C23" s="3" t="s">
        <v>88</v>
      </c>
      <c r="D23" s="148" t="s">
        <v>89</v>
      </c>
      <c r="E23" s="143"/>
      <c r="F23" s="3" t="s">
        <v>69</v>
      </c>
      <c r="G23" s="27">
        <v>1</v>
      </c>
      <c r="H23" s="27">
        <v>0</v>
      </c>
      <c r="I23" s="27">
        <f t="shared" si="0"/>
        <v>0</v>
      </c>
      <c r="J23" s="27">
        <f t="shared" si="1"/>
        <v>0</v>
      </c>
      <c r="K23" s="27">
        <f t="shared" si="2"/>
        <v>0</v>
      </c>
      <c r="L23" s="28" t="s">
        <v>70</v>
      </c>
      <c r="Z23" s="27">
        <f t="shared" si="3"/>
        <v>0</v>
      </c>
      <c r="AB23" s="27">
        <f t="shared" si="4"/>
        <v>0</v>
      </c>
      <c r="AC23" s="27">
        <f t="shared" si="5"/>
        <v>0</v>
      </c>
      <c r="AD23" s="27">
        <f t="shared" si="6"/>
        <v>0</v>
      </c>
      <c r="AE23" s="27">
        <f t="shared" si="7"/>
        <v>0</v>
      </c>
      <c r="AF23" s="27">
        <f t="shared" si="8"/>
        <v>0</v>
      </c>
      <c r="AG23" s="27">
        <f t="shared" si="9"/>
        <v>0</v>
      </c>
      <c r="AH23" s="27">
        <f t="shared" si="10"/>
        <v>0</v>
      </c>
      <c r="AI23" s="9" t="s">
        <v>53</v>
      </c>
      <c r="AJ23" s="27">
        <f t="shared" si="11"/>
        <v>0</v>
      </c>
      <c r="AK23" s="27">
        <f t="shared" si="12"/>
        <v>0</v>
      </c>
      <c r="AL23" s="27">
        <f t="shared" si="13"/>
        <v>0</v>
      </c>
      <c r="AN23" s="27">
        <v>21</v>
      </c>
      <c r="AO23" s="27">
        <f t="shared" si="14"/>
        <v>0</v>
      </c>
      <c r="AP23" s="27">
        <f t="shared" si="15"/>
        <v>0</v>
      </c>
      <c r="AQ23" s="29" t="s">
        <v>60</v>
      </c>
      <c r="AV23" s="27">
        <f t="shared" si="16"/>
        <v>0</v>
      </c>
      <c r="AW23" s="27">
        <f t="shared" si="17"/>
        <v>0</v>
      </c>
      <c r="AX23" s="27">
        <f t="shared" si="18"/>
        <v>0</v>
      </c>
      <c r="AY23" s="29" t="s">
        <v>71</v>
      </c>
      <c r="AZ23" s="29" t="s">
        <v>62</v>
      </c>
      <c r="BA23" s="9" t="s">
        <v>63</v>
      </c>
      <c r="BC23" s="27">
        <f t="shared" si="19"/>
        <v>0</v>
      </c>
      <c r="BD23" s="27">
        <f t="shared" si="20"/>
        <v>0</v>
      </c>
      <c r="BE23" s="27">
        <v>0</v>
      </c>
      <c r="BF23" s="27">
        <f>23</f>
        <v>23</v>
      </c>
      <c r="BH23" s="27">
        <f t="shared" si="21"/>
        <v>0</v>
      </c>
      <c r="BI23" s="27">
        <f t="shared" si="22"/>
        <v>0</v>
      </c>
      <c r="BJ23" s="27">
        <f t="shared" si="23"/>
        <v>0</v>
      </c>
      <c r="BK23" s="27"/>
      <c r="BL23" s="27"/>
      <c r="BW23" s="27">
        <v>21</v>
      </c>
    </row>
    <row r="24" spans="1:47" ht="15">
      <c r="A24" s="23" t="s">
        <v>52</v>
      </c>
      <c r="B24" s="24" t="s">
        <v>53</v>
      </c>
      <c r="C24" s="24" t="s">
        <v>90</v>
      </c>
      <c r="D24" s="164" t="s">
        <v>91</v>
      </c>
      <c r="E24" s="165"/>
      <c r="F24" s="25" t="s">
        <v>4</v>
      </c>
      <c r="G24" s="25" t="s">
        <v>4</v>
      </c>
      <c r="H24" s="25" t="s">
        <v>4</v>
      </c>
      <c r="I24" s="1">
        <f>SUM(I25:I25)</f>
        <v>0</v>
      </c>
      <c r="J24" s="1">
        <f>SUM(J25:J25)</f>
        <v>0</v>
      </c>
      <c r="K24" s="1">
        <f>SUM(K25:K25)</f>
        <v>0</v>
      </c>
      <c r="L24" s="26" t="s">
        <v>52</v>
      </c>
      <c r="AI24" s="9" t="s">
        <v>53</v>
      </c>
      <c r="AS24" s="1">
        <f>SUM(AJ25:AJ25)</f>
        <v>0</v>
      </c>
      <c r="AT24" s="1">
        <f>SUM(AK25:AK25)</f>
        <v>0</v>
      </c>
      <c r="AU24" s="1">
        <f>SUM(AL25:AL25)</f>
        <v>0</v>
      </c>
    </row>
    <row r="25" spans="1:75" ht="13.5" customHeight="1">
      <c r="A25" s="2" t="s">
        <v>92</v>
      </c>
      <c r="B25" s="3" t="s">
        <v>53</v>
      </c>
      <c r="C25" s="3" t="s">
        <v>93</v>
      </c>
      <c r="D25" s="148" t="s">
        <v>94</v>
      </c>
      <c r="E25" s="143"/>
      <c r="F25" s="3" t="s">
        <v>95</v>
      </c>
      <c r="G25" s="27">
        <v>0.02002</v>
      </c>
      <c r="H25" s="27">
        <v>0</v>
      </c>
      <c r="I25" s="27">
        <f>G25*AO25</f>
        <v>0</v>
      </c>
      <c r="J25" s="27">
        <f>G25*AP25</f>
        <v>0</v>
      </c>
      <c r="K25" s="27">
        <f>G25*H25</f>
        <v>0</v>
      </c>
      <c r="L25" s="28" t="s">
        <v>96</v>
      </c>
      <c r="Z25" s="27">
        <f>IF(AQ25="5",BJ25,0)</f>
        <v>0</v>
      </c>
      <c r="AB25" s="27">
        <f>IF(AQ25="1",BH25,0)</f>
        <v>0</v>
      </c>
      <c r="AC25" s="27">
        <f>IF(AQ25="1",BI25,0)</f>
        <v>0</v>
      </c>
      <c r="AD25" s="27">
        <f>IF(AQ25="7",BH25,0)</f>
        <v>0</v>
      </c>
      <c r="AE25" s="27">
        <f>IF(AQ25="7",BI25,0)</f>
        <v>0</v>
      </c>
      <c r="AF25" s="27">
        <f>IF(AQ25="2",BH25,0)</f>
        <v>0</v>
      </c>
      <c r="AG25" s="27">
        <f>IF(AQ25="2",BI25,0)</f>
        <v>0</v>
      </c>
      <c r="AH25" s="27">
        <f>IF(AQ25="0",BJ25,0)</f>
        <v>0</v>
      </c>
      <c r="AI25" s="9" t="s">
        <v>53</v>
      </c>
      <c r="AJ25" s="27">
        <f>IF(AN25=0,K25,0)</f>
        <v>0</v>
      </c>
      <c r="AK25" s="27">
        <f>IF(AN25=12,K25,0)</f>
        <v>0</v>
      </c>
      <c r="AL25" s="27">
        <f>IF(AN25=21,K25,0)</f>
        <v>0</v>
      </c>
      <c r="AN25" s="27">
        <v>21</v>
      </c>
      <c r="AO25" s="27">
        <f>H25*0.59878165</f>
        <v>0</v>
      </c>
      <c r="AP25" s="27">
        <f>H25*(1-0.59878165)</f>
        <v>0</v>
      </c>
      <c r="AQ25" s="29" t="s">
        <v>57</v>
      </c>
      <c r="AV25" s="27">
        <f>AW25+AX25</f>
        <v>0</v>
      </c>
      <c r="AW25" s="27">
        <f>G25*AO25</f>
        <v>0</v>
      </c>
      <c r="AX25" s="27">
        <f>G25*AP25</f>
        <v>0</v>
      </c>
      <c r="AY25" s="29" t="s">
        <v>97</v>
      </c>
      <c r="AZ25" s="29" t="s">
        <v>98</v>
      </c>
      <c r="BA25" s="9" t="s">
        <v>63</v>
      </c>
      <c r="BC25" s="27">
        <f>AW25+AX25</f>
        <v>0</v>
      </c>
      <c r="BD25" s="27">
        <f>H25/(100-BE25)*100</f>
        <v>0</v>
      </c>
      <c r="BE25" s="27">
        <v>0</v>
      </c>
      <c r="BF25" s="27">
        <f>25</f>
        <v>25</v>
      </c>
      <c r="BH25" s="27">
        <f>G25*AO25</f>
        <v>0</v>
      </c>
      <c r="BI25" s="27">
        <f>G25*AP25</f>
        <v>0</v>
      </c>
      <c r="BJ25" s="27">
        <f>G25*H25</f>
        <v>0</v>
      </c>
      <c r="BK25" s="27"/>
      <c r="BL25" s="27">
        <v>31</v>
      </c>
      <c r="BW25" s="27">
        <v>21</v>
      </c>
    </row>
    <row r="26" spans="1:12" ht="13.5" customHeight="1">
      <c r="A26" s="30"/>
      <c r="D26" s="166" t="s">
        <v>99</v>
      </c>
      <c r="E26" s="167"/>
      <c r="F26" s="167"/>
      <c r="G26" s="167"/>
      <c r="H26" s="167"/>
      <c r="I26" s="167"/>
      <c r="J26" s="167"/>
      <c r="K26" s="167"/>
      <c r="L26" s="168"/>
    </row>
    <row r="27" spans="1:12" ht="15">
      <c r="A27" s="30"/>
      <c r="D27" s="32" t="s">
        <v>100</v>
      </c>
      <c r="E27" s="31" t="s">
        <v>101</v>
      </c>
      <c r="G27" s="33">
        <v>0.02002</v>
      </c>
      <c r="L27" s="34"/>
    </row>
    <row r="28" spans="1:12" ht="13.5" customHeight="1">
      <c r="A28" s="30"/>
      <c r="C28" s="35" t="s">
        <v>102</v>
      </c>
      <c r="D28" s="166" t="s">
        <v>103</v>
      </c>
      <c r="E28" s="167"/>
      <c r="F28" s="167"/>
      <c r="G28" s="167"/>
      <c r="H28" s="167"/>
      <c r="I28" s="167"/>
      <c r="J28" s="167"/>
      <c r="K28" s="167"/>
      <c r="L28" s="168"/>
    </row>
    <row r="29" spans="1:47" ht="15">
      <c r="A29" s="23" t="s">
        <v>52</v>
      </c>
      <c r="B29" s="24" t="s">
        <v>53</v>
      </c>
      <c r="C29" s="24" t="s">
        <v>104</v>
      </c>
      <c r="D29" s="164" t="s">
        <v>105</v>
      </c>
      <c r="E29" s="165"/>
      <c r="F29" s="25" t="s">
        <v>4</v>
      </c>
      <c r="G29" s="25" t="s">
        <v>4</v>
      </c>
      <c r="H29" s="25" t="s">
        <v>4</v>
      </c>
      <c r="I29" s="1">
        <f>SUM(I30:I34)</f>
        <v>0</v>
      </c>
      <c r="J29" s="1">
        <f>SUM(J30:J34)</f>
        <v>0</v>
      </c>
      <c r="K29" s="1">
        <f>SUM(K30:K34)</f>
        <v>0</v>
      </c>
      <c r="L29" s="26" t="s">
        <v>52</v>
      </c>
      <c r="AI29" s="9" t="s">
        <v>53</v>
      </c>
      <c r="AS29" s="1">
        <f>SUM(AJ30:AJ34)</f>
        <v>0</v>
      </c>
      <c r="AT29" s="1">
        <f>SUM(AK30:AK34)</f>
        <v>0</v>
      </c>
      <c r="AU29" s="1">
        <f>SUM(AL30:AL34)</f>
        <v>0</v>
      </c>
    </row>
    <row r="30" spans="1:75" ht="13.5" customHeight="1">
      <c r="A30" s="2" t="s">
        <v>106</v>
      </c>
      <c r="B30" s="3" t="s">
        <v>53</v>
      </c>
      <c r="C30" s="3" t="s">
        <v>107</v>
      </c>
      <c r="D30" s="148" t="s">
        <v>108</v>
      </c>
      <c r="E30" s="143"/>
      <c r="F30" s="3" t="s">
        <v>109</v>
      </c>
      <c r="G30" s="27">
        <v>0.585</v>
      </c>
      <c r="H30" s="27">
        <v>0</v>
      </c>
      <c r="I30" s="27">
        <f>G30*AO30</f>
        <v>0</v>
      </c>
      <c r="J30" s="27">
        <f>G30*AP30</f>
        <v>0</v>
      </c>
      <c r="K30" s="27">
        <f>G30*H30</f>
        <v>0</v>
      </c>
      <c r="L30" s="28" t="s">
        <v>96</v>
      </c>
      <c r="Z30" s="27">
        <f>IF(AQ30="5",BJ30,0)</f>
        <v>0</v>
      </c>
      <c r="AB30" s="27">
        <f>IF(AQ30="1",BH30,0)</f>
        <v>0</v>
      </c>
      <c r="AC30" s="27">
        <f>IF(AQ30="1",BI30,0)</f>
        <v>0</v>
      </c>
      <c r="AD30" s="27">
        <f>IF(AQ30="7",BH30,0)</f>
        <v>0</v>
      </c>
      <c r="AE30" s="27">
        <f>IF(AQ30="7",BI30,0)</f>
        <v>0</v>
      </c>
      <c r="AF30" s="27">
        <f>IF(AQ30="2",BH30,0)</f>
        <v>0</v>
      </c>
      <c r="AG30" s="27">
        <f>IF(AQ30="2",BI30,0)</f>
        <v>0</v>
      </c>
      <c r="AH30" s="27">
        <f>IF(AQ30="0",BJ30,0)</f>
        <v>0</v>
      </c>
      <c r="AI30" s="9" t="s">
        <v>53</v>
      </c>
      <c r="AJ30" s="27">
        <f>IF(AN30=0,K30,0)</f>
        <v>0</v>
      </c>
      <c r="AK30" s="27">
        <f>IF(AN30=12,K30,0)</f>
        <v>0</v>
      </c>
      <c r="AL30" s="27">
        <f>IF(AN30=21,K30,0)</f>
        <v>0</v>
      </c>
      <c r="AN30" s="27">
        <v>21</v>
      </c>
      <c r="AO30" s="27">
        <f>H30*0.507537792</f>
        <v>0</v>
      </c>
      <c r="AP30" s="27">
        <f>H30*(1-0.507537792)</f>
        <v>0</v>
      </c>
      <c r="AQ30" s="29" t="s">
        <v>57</v>
      </c>
      <c r="AV30" s="27">
        <f>AW30+AX30</f>
        <v>0</v>
      </c>
      <c r="AW30" s="27">
        <f>G30*AO30</f>
        <v>0</v>
      </c>
      <c r="AX30" s="27">
        <f>G30*AP30</f>
        <v>0</v>
      </c>
      <c r="AY30" s="29" t="s">
        <v>110</v>
      </c>
      <c r="AZ30" s="29" t="s">
        <v>98</v>
      </c>
      <c r="BA30" s="9" t="s">
        <v>63</v>
      </c>
      <c r="BC30" s="27">
        <f>AW30+AX30</f>
        <v>0</v>
      </c>
      <c r="BD30" s="27">
        <f>H30/(100-BE30)*100</f>
        <v>0</v>
      </c>
      <c r="BE30" s="27">
        <v>0</v>
      </c>
      <c r="BF30" s="27">
        <f>30</f>
        <v>30</v>
      </c>
      <c r="BH30" s="27">
        <f>G30*AO30</f>
        <v>0</v>
      </c>
      <c r="BI30" s="27">
        <f>G30*AP30</f>
        <v>0</v>
      </c>
      <c r="BJ30" s="27">
        <f>G30*H30</f>
        <v>0</v>
      </c>
      <c r="BK30" s="27"/>
      <c r="BL30" s="27">
        <v>34</v>
      </c>
      <c r="BW30" s="27">
        <v>21</v>
      </c>
    </row>
    <row r="31" spans="1:12" ht="13.5" customHeight="1">
      <c r="A31" s="30"/>
      <c r="D31" s="166" t="s">
        <v>111</v>
      </c>
      <c r="E31" s="167"/>
      <c r="F31" s="167"/>
      <c r="G31" s="167"/>
      <c r="H31" s="167"/>
      <c r="I31" s="167"/>
      <c r="J31" s="167"/>
      <c r="K31" s="167"/>
      <c r="L31" s="168"/>
    </row>
    <row r="32" spans="1:12" ht="15">
      <c r="A32" s="30"/>
      <c r="D32" s="32" t="s">
        <v>112</v>
      </c>
      <c r="E32" s="31" t="s">
        <v>113</v>
      </c>
      <c r="G32" s="33">
        <v>0.585</v>
      </c>
      <c r="L32" s="34"/>
    </row>
    <row r="33" spans="1:12" ht="13.5" customHeight="1">
      <c r="A33" s="30"/>
      <c r="C33" s="35" t="s">
        <v>102</v>
      </c>
      <c r="D33" s="166" t="s">
        <v>114</v>
      </c>
      <c r="E33" s="167"/>
      <c r="F33" s="167"/>
      <c r="G33" s="167"/>
      <c r="H33" s="167"/>
      <c r="I33" s="167"/>
      <c r="J33" s="167"/>
      <c r="K33" s="167"/>
      <c r="L33" s="168"/>
    </row>
    <row r="34" spans="1:75" ht="13.5" customHeight="1">
      <c r="A34" s="2" t="s">
        <v>115</v>
      </c>
      <c r="B34" s="3" t="s">
        <v>53</v>
      </c>
      <c r="C34" s="3" t="s">
        <v>116</v>
      </c>
      <c r="D34" s="148" t="s">
        <v>117</v>
      </c>
      <c r="E34" s="143"/>
      <c r="F34" s="3" t="s">
        <v>109</v>
      </c>
      <c r="G34" s="27">
        <v>7.65</v>
      </c>
      <c r="H34" s="27">
        <v>0</v>
      </c>
      <c r="I34" s="27">
        <f>G34*AO34</f>
        <v>0</v>
      </c>
      <c r="J34" s="27">
        <f>G34*AP34</f>
        <v>0</v>
      </c>
      <c r="K34" s="27">
        <f>G34*H34</f>
        <v>0</v>
      </c>
      <c r="L34" s="28" t="s">
        <v>96</v>
      </c>
      <c r="Z34" s="27">
        <f>IF(AQ34="5",BJ34,0)</f>
        <v>0</v>
      </c>
      <c r="AB34" s="27">
        <f>IF(AQ34="1",BH34,0)</f>
        <v>0</v>
      </c>
      <c r="AC34" s="27">
        <f>IF(AQ34="1",BI34,0)</f>
        <v>0</v>
      </c>
      <c r="AD34" s="27">
        <f>IF(AQ34="7",BH34,0)</f>
        <v>0</v>
      </c>
      <c r="AE34" s="27">
        <f>IF(AQ34="7",BI34,0)</f>
        <v>0</v>
      </c>
      <c r="AF34" s="27">
        <f>IF(AQ34="2",BH34,0)</f>
        <v>0</v>
      </c>
      <c r="AG34" s="27">
        <f>IF(AQ34="2",BI34,0)</f>
        <v>0</v>
      </c>
      <c r="AH34" s="27">
        <f>IF(AQ34="0",BJ34,0)</f>
        <v>0</v>
      </c>
      <c r="AI34" s="9" t="s">
        <v>53</v>
      </c>
      <c r="AJ34" s="27">
        <f>IF(AN34=0,K34,0)</f>
        <v>0</v>
      </c>
      <c r="AK34" s="27">
        <f>IF(AN34=12,K34,0)</f>
        <v>0</v>
      </c>
      <c r="AL34" s="27">
        <f>IF(AN34=21,K34,0)</f>
        <v>0</v>
      </c>
      <c r="AN34" s="27">
        <v>21</v>
      </c>
      <c r="AO34" s="27">
        <f>H34*0.538300421</f>
        <v>0</v>
      </c>
      <c r="AP34" s="27">
        <f>H34*(1-0.538300421)</f>
        <v>0</v>
      </c>
      <c r="AQ34" s="29" t="s">
        <v>57</v>
      </c>
      <c r="AV34" s="27">
        <f>AW34+AX34</f>
        <v>0</v>
      </c>
      <c r="AW34" s="27">
        <f>G34*AO34</f>
        <v>0</v>
      </c>
      <c r="AX34" s="27">
        <f>G34*AP34</f>
        <v>0</v>
      </c>
      <c r="AY34" s="29" t="s">
        <v>110</v>
      </c>
      <c r="AZ34" s="29" t="s">
        <v>98</v>
      </c>
      <c r="BA34" s="9" t="s">
        <v>63</v>
      </c>
      <c r="BC34" s="27">
        <f>AW34+AX34</f>
        <v>0</v>
      </c>
      <c r="BD34" s="27">
        <f>H34/(100-BE34)*100</f>
        <v>0</v>
      </c>
      <c r="BE34" s="27">
        <v>0</v>
      </c>
      <c r="BF34" s="27">
        <f>34</f>
        <v>34</v>
      </c>
      <c r="BH34" s="27">
        <f>G34*AO34</f>
        <v>0</v>
      </c>
      <c r="BI34" s="27">
        <f>G34*AP34</f>
        <v>0</v>
      </c>
      <c r="BJ34" s="27">
        <f>G34*H34</f>
        <v>0</v>
      </c>
      <c r="BK34" s="27"/>
      <c r="BL34" s="27">
        <v>34</v>
      </c>
      <c r="BW34" s="27">
        <v>21</v>
      </c>
    </row>
    <row r="35" spans="1:12" ht="15">
      <c r="A35" s="30"/>
      <c r="D35" s="32" t="s">
        <v>118</v>
      </c>
      <c r="E35" s="31" t="s">
        <v>119</v>
      </c>
      <c r="G35" s="33">
        <v>7.65</v>
      </c>
      <c r="L35" s="34"/>
    </row>
    <row r="36" spans="1:12" ht="27" customHeight="1">
      <c r="A36" s="30"/>
      <c r="C36" s="35" t="s">
        <v>102</v>
      </c>
      <c r="D36" s="166" t="s">
        <v>120</v>
      </c>
      <c r="E36" s="167"/>
      <c r="F36" s="167"/>
      <c r="G36" s="167"/>
      <c r="H36" s="167"/>
      <c r="I36" s="167"/>
      <c r="J36" s="167"/>
      <c r="K36" s="167"/>
      <c r="L36" s="168"/>
    </row>
    <row r="37" spans="1:47" ht="15">
      <c r="A37" s="36" t="s">
        <v>52</v>
      </c>
      <c r="B37" s="37" t="s">
        <v>53</v>
      </c>
      <c r="C37" s="37" t="s">
        <v>121</v>
      </c>
      <c r="D37" s="169" t="s">
        <v>122</v>
      </c>
      <c r="E37" s="170"/>
      <c r="F37" s="38" t="s">
        <v>4</v>
      </c>
      <c r="G37" s="38" t="s">
        <v>4</v>
      </c>
      <c r="H37" s="38" t="s">
        <v>4</v>
      </c>
      <c r="I37" s="39">
        <f>SUM(I38:I49)</f>
        <v>0</v>
      </c>
      <c r="J37" s="39">
        <f>SUM(J38:J49)</f>
        <v>0</v>
      </c>
      <c r="K37" s="39">
        <f>SUM(K38:K49)</f>
        <v>0</v>
      </c>
      <c r="L37" s="40" t="s">
        <v>52</v>
      </c>
      <c r="AI37" s="9" t="s">
        <v>53</v>
      </c>
      <c r="AS37" s="1">
        <f>SUM(AJ38:AJ49)</f>
        <v>0</v>
      </c>
      <c r="AT37" s="1">
        <f>SUM(AK38:AK49)</f>
        <v>0</v>
      </c>
      <c r="AU37" s="1">
        <f>SUM(AL38:AL49)</f>
        <v>0</v>
      </c>
    </row>
    <row r="38" spans="1:75" ht="13.5" customHeight="1">
      <c r="A38" s="41" t="s">
        <v>123</v>
      </c>
      <c r="B38" s="42" t="s">
        <v>53</v>
      </c>
      <c r="C38" s="42" t="s">
        <v>124</v>
      </c>
      <c r="D38" s="171" t="s">
        <v>125</v>
      </c>
      <c r="E38" s="172"/>
      <c r="F38" s="42" t="s">
        <v>126</v>
      </c>
      <c r="G38" s="43">
        <v>29</v>
      </c>
      <c r="H38" s="43">
        <v>0</v>
      </c>
      <c r="I38" s="43">
        <f>G38*AO38</f>
        <v>0</v>
      </c>
      <c r="J38" s="43">
        <f>G38*AP38</f>
        <v>0</v>
      </c>
      <c r="K38" s="43">
        <f>G38*H38</f>
        <v>0</v>
      </c>
      <c r="L38" s="44" t="s">
        <v>96</v>
      </c>
      <c r="Z38" s="27">
        <f>IF(AQ38="5",BJ38,0)</f>
        <v>0</v>
      </c>
      <c r="AB38" s="27">
        <f>IF(AQ38="1",BH38,0)</f>
        <v>0</v>
      </c>
      <c r="AC38" s="27">
        <f>IF(AQ38="1",BI38,0)</f>
        <v>0</v>
      </c>
      <c r="AD38" s="27">
        <f>IF(AQ38="7",BH38,0)</f>
        <v>0</v>
      </c>
      <c r="AE38" s="27">
        <f>IF(AQ38="7",BI38,0)</f>
        <v>0</v>
      </c>
      <c r="AF38" s="27">
        <f>IF(AQ38="2",BH38,0)</f>
        <v>0</v>
      </c>
      <c r="AG38" s="27">
        <f>IF(AQ38="2",BI38,0)</f>
        <v>0</v>
      </c>
      <c r="AH38" s="27">
        <f>IF(AQ38="0",BJ38,0)</f>
        <v>0</v>
      </c>
      <c r="AI38" s="9" t="s">
        <v>53</v>
      </c>
      <c r="AJ38" s="27">
        <f>IF(AN38=0,K38,0)</f>
        <v>0</v>
      </c>
      <c r="AK38" s="27">
        <f>IF(AN38=12,K38,0)</f>
        <v>0</v>
      </c>
      <c r="AL38" s="27">
        <f>IF(AN38=21,K38,0)</f>
        <v>0</v>
      </c>
      <c r="AN38" s="27">
        <v>21</v>
      </c>
      <c r="AO38" s="27">
        <f>H38*0.205701754</f>
        <v>0</v>
      </c>
      <c r="AP38" s="27">
        <f>H38*(1-0.205701754)</f>
        <v>0</v>
      </c>
      <c r="AQ38" s="29" t="s">
        <v>57</v>
      </c>
      <c r="AV38" s="27">
        <f>AW38+AX38</f>
        <v>0</v>
      </c>
      <c r="AW38" s="27">
        <f>G38*AO38</f>
        <v>0</v>
      </c>
      <c r="AX38" s="27">
        <f>G38*AP38</f>
        <v>0</v>
      </c>
      <c r="AY38" s="29" t="s">
        <v>127</v>
      </c>
      <c r="AZ38" s="29" t="s">
        <v>128</v>
      </c>
      <c r="BA38" s="9" t="s">
        <v>63</v>
      </c>
      <c r="BC38" s="27">
        <f>AW38+AX38</f>
        <v>0</v>
      </c>
      <c r="BD38" s="27">
        <f>H38/(100-BE38)*100</f>
        <v>0</v>
      </c>
      <c r="BE38" s="27">
        <v>0</v>
      </c>
      <c r="BF38" s="27">
        <f>38</f>
        <v>38</v>
      </c>
      <c r="BH38" s="27">
        <f>G38*AO38</f>
        <v>0</v>
      </c>
      <c r="BI38" s="27">
        <f>G38*AP38</f>
        <v>0</v>
      </c>
      <c r="BJ38" s="27">
        <f>G38*H38</f>
        <v>0</v>
      </c>
      <c r="BK38" s="27"/>
      <c r="BL38" s="27">
        <v>61</v>
      </c>
      <c r="BW38" s="27">
        <v>21</v>
      </c>
    </row>
    <row r="39" spans="1:12" ht="13.5" customHeight="1">
      <c r="A39" s="45"/>
      <c r="D39" s="173" t="s">
        <v>129</v>
      </c>
      <c r="E39" s="174"/>
      <c r="F39" s="174"/>
      <c r="G39" s="174"/>
      <c r="H39" s="174"/>
      <c r="I39" s="174"/>
      <c r="J39" s="174"/>
      <c r="K39" s="174"/>
      <c r="L39" s="175"/>
    </row>
    <row r="40" spans="1:12" ht="15">
      <c r="A40" s="46"/>
      <c r="B40" s="47"/>
      <c r="C40" s="47"/>
      <c r="D40" s="48" t="s">
        <v>130</v>
      </c>
      <c r="E40" s="49" t="s">
        <v>131</v>
      </c>
      <c r="F40" s="47"/>
      <c r="G40" s="50">
        <v>14.5</v>
      </c>
      <c r="H40" s="47"/>
      <c r="I40" s="47"/>
      <c r="J40" s="47"/>
      <c r="K40" s="47"/>
      <c r="L40" s="51"/>
    </row>
    <row r="41" spans="1:12" ht="15">
      <c r="A41" s="52"/>
      <c r="B41" s="53"/>
      <c r="C41" s="53"/>
      <c r="D41" s="54" t="s">
        <v>130</v>
      </c>
      <c r="E41" s="55" t="s">
        <v>132</v>
      </c>
      <c r="F41" s="53"/>
      <c r="G41" s="56">
        <v>14.5</v>
      </c>
      <c r="H41" s="53"/>
      <c r="I41" s="53"/>
      <c r="J41" s="53"/>
      <c r="K41" s="53"/>
      <c r="L41" s="57"/>
    </row>
    <row r="42" spans="1:12" ht="13.5" customHeight="1">
      <c r="A42" s="58"/>
      <c r="C42" s="59" t="s">
        <v>102</v>
      </c>
      <c r="D42" s="176" t="s">
        <v>133</v>
      </c>
      <c r="E42" s="177"/>
      <c r="F42" s="177"/>
      <c r="G42" s="177"/>
      <c r="H42" s="177"/>
      <c r="I42" s="177"/>
      <c r="J42" s="177"/>
      <c r="K42" s="177"/>
      <c r="L42" s="178"/>
    </row>
    <row r="43" spans="1:75" ht="13.5" customHeight="1">
      <c r="A43" s="2" t="s">
        <v>134</v>
      </c>
      <c r="B43" s="3" t="s">
        <v>53</v>
      </c>
      <c r="C43" s="3" t="s">
        <v>135</v>
      </c>
      <c r="D43" s="148" t="s">
        <v>136</v>
      </c>
      <c r="E43" s="143"/>
      <c r="F43" s="3" t="s">
        <v>109</v>
      </c>
      <c r="G43" s="27">
        <v>78.291</v>
      </c>
      <c r="H43" s="27">
        <v>0</v>
      </c>
      <c r="I43" s="27">
        <f>G43*AO43</f>
        <v>0</v>
      </c>
      <c r="J43" s="27">
        <f>G43*AP43</f>
        <v>0</v>
      </c>
      <c r="K43" s="27">
        <f>G43*H43</f>
        <v>0</v>
      </c>
      <c r="L43" s="28" t="s">
        <v>137</v>
      </c>
      <c r="Z43" s="27">
        <f>IF(AQ43="5",BJ43,0)</f>
        <v>0</v>
      </c>
      <c r="AB43" s="27">
        <f>IF(AQ43="1",BH43,0)</f>
        <v>0</v>
      </c>
      <c r="AC43" s="27">
        <f>IF(AQ43="1",BI43,0)</f>
        <v>0</v>
      </c>
      <c r="AD43" s="27">
        <f>IF(AQ43="7",BH43,0)</f>
        <v>0</v>
      </c>
      <c r="AE43" s="27">
        <f>IF(AQ43="7",BI43,0)</f>
        <v>0</v>
      </c>
      <c r="AF43" s="27">
        <f>IF(AQ43="2",BH43,0)</f>
        <v>0</v>
      </c>
      <c r="AG43" s="27">
        <f>IF(AQ43="2",BI43,0)</f>
        <v>0</v>
      </c>
      <c r="AH43" s="27">
        <f>IF(AQ43="0",BJ43,0)</f>
        <v>0</v>
      </c>
      <c r="AI43" s="9" t="s">
        <v>53</v>
      </c>
      <c r="AJ43" s="27">
        <f>IF(AN43=0,K43,0)</f>
        <v>0</v>
      </c>
      <c r="AK43" s="27">
        <f>IF(AN43=12,K43,0)</f>
        <v>0</v>
      </c>
      <c r="AL43" s="27">
        <f>IF(AN43=21,K43,0)</f>
        <v>0</v>
      </c>
      <c r="AN43" s="27">
        <v>21</v>
      </c>
      <c r="AO43" s="27">
        <f>H43*0.351126326</f>
        <v>0</v>
      </c>
      <c r="AP43" s="27">
        <f>H43*(1-0.351126326)</f>
        <v>0</v>
      </c>
      <c r="AQ43" s="29" t="s">
        <v>57</v>
      </c>
      <c r="AV43" s="27">
        <f>AW43+AX43</f>
        <v>0</v>
      </c>
      <c r="AW43" s="27">
        <f>G43*AO43</f>
        <v>0</v>
      </c>
      <c r="AX43" s="27">
        <f>G43*AP43</f>
        <v>0</v>
      </c>
      <c r="AY43" s="29" t="s">
        <v>127</v>
      </c>
      <c r="AZ43" s="29" t="s">
        <v>128</v>
      </c>
      <c r="BA43" s="9" t="s">
        <v>63</v>
      </c>
      <c r="BC43" s="27">
        <f>AW43+AX43</f>
        <v>0</v>
      </c>
      <c r="BD43" s="27">
        <f>H43/(100-BE43)*100</f>
        <v>0</v>
      </c>
      <c r="BE43" s="27">
        <v>0</v>
      </c>
      <c r="BF43" s="27">
        <f>43</f>
        <v>43</v>
      </c>
      <c r="BH43" s="27">
        <f>G43*AO43</f>
        <v>0</v>
      </c>
      <c r="BI43" s="27">
        <f>G43*AP43</f>
        <v>0</v>
      </c>
      <c r="BJ43" s="27">
        <f>G43*H43</f>
        <v>0</v>
      </c>
      <c r="BK43" s="27"/>
      <c r="BL43" s="27">
        <v>61</v>
      </c>
      <c r="BW43" s="27">
        <v>21</v>
      </c>
    </row>
    <row r="44" spans="1:12" ht="13.5" customHeight="1">
      <c r="A44" s="30"/>
      <c r="D44" s="166" t="s">
        <v>111</v>
      </c>
      <c r="E44" s="167"/>
      <c r="F44" s="167"/>
      <c r="G44" s="167"/>
      <c r="H44" s="167"/>
      <c r="I44" s="167"/>
      <c r="J44" s="167"/>
      <c r="K44" s="167"/>
      <c r="L44" s="168"/>
    </row>
    <row r="45" spans="1:12" ht="15">
      <c r="A45" s="30"/>
      <c r="D45" s="32" t="s">
        <v>138</v>
      </c>
      <c r="E45" s="31" t="s">
        <v>139</v>
      </c>
      <c r="G45" s="33">
        <v>24.597</v>
      </c>
      <c r="L45" s="34"/>
    </row>
    <row r="46" spans="1:12" ht="15">
      <c r="A46" s="30"/>
      <c r="D46" s="32" t="s">
        <v>138</v>
      </c>
      <c r="E46" s="31" t="s">
        <v>140</v>
      </c>
      <c r="G46" s="33">
        <v>24.597</v>
      </c>
      <c r="L46" s="34"/>
    </row>
    <row r="47" spans="1:12" ht="15">
      <c r="A47" s="30"/>
      <c r="D47" s="32" t="s">
        <v>141</v>
      </c>
      <c r="E47" s="31" t="s">
        <v>142</v>
      </c>
      <c r="G47" s="33">
        <v>29.097</v>
      </c>
      <c r="L47" s="34"/>
    </row>
    <row r="48" spans="1:12" ht="13.5" customHeight="1">
      <c r="A48" s="30"/>
      <c r="C48" s="35" t="s">
        <v>102</v>
      </c>
      <c r="D48" s="166" t="s">
        <v>143</v>
      </c>
      <c r="E48" s="167"/>
      <c r="F48" s="167"/>
      <c r="G48" s="167"/>
      <c r="H48" s="167"/>
      <c r="I48" s="167"/>
      <c r="J48" s="167"/>
      <c r="K48" s="167"/>
      <c r="L48" s="168"/>
    </row>
    <row r="49" spans="1:75" ht="13.5" customHeight="1">
      <c r="A49" s="2" t="s">
        <v>144</v>
      </c>
      <c r="B49" s="3" t="s">
        <v>53</v>
      </c>
      <c r="C49" s="3" t="s">
        <v>145</v>
      </c>
      <c r="D49" s="148" t="s">
        <v>146</v>
      </c>
      <c r="E49" s="143"/>
      <c r="F49" s="3" t="s">
        <v>109</v>
      </c>
      <c r="G49" s="27">
        <v>9.544</v>
      </c>
      <c r="H49" s="27">
        <v>0</v>
      </c>
      <c r="I49" s="27">
        <f>G49*AO49</f>
        <v>0</v>
      </c>
      <c r="J49" s="27">
        <f>G49*AP49</f>
        <v>0</v>
      </c>
      <c r="K49" s="27">
        <f>G49*H49</f>
        <v>0</v>
      </c>
      <c r="L49" s="28" t="s">
        <v>137</v>
      </c>
      <c r="Z49" s="27">
        <f>IF(AQ49="5",BJ49,0)</f>
        <v>0</v>
      </c>
      <c r="AB49" s="27">
        <f>IF(AQ49="1",BH49,0)</f>
        <v>0</v>
      </c>
      <c r="AC49" s="27">
        <f>IF(AQ49="1",BI49,0)</f>
        <v>0</v>
      </c>
      <c r="AD49" s="27">
        <f>IF(AQ49="7",BH49,0)</f>
        <v>0</v>
      </c>
      <c r="AE49" s="27">
        <f>IF(AQ49="7",BI49,0)</f>
        <v>0</v>
      </c>
      <c r="AF49" s="27">
        <f>IF(AQ49="2",BH49,0)</f>
        <v>0</v>
      </c>
      <c r="AG49" s="27">
        <f>IF(AQ49="2",BI49,0)</f>
        <v>0</v>
      </c>
      <c r="AH49" s="27">
        <f>IF(AQ49="0",BJ49,0)</f>
        <v>0</v>
      </c>
      <c r="AI49" s="9" t="s">
        <v>53</v>
      </c>
      <c r="AJ49" s="27">
        <f>IF(AN49=0,K49,0)</f>
        <v>0</v>
      </c>
      <c r="AK49" s="27">
        <f>IF(AN49=12,K49,0)</f>
        <v>0</v>
      </c>
      <c r="AL49" s="27">
        <f>IF(AN49=21,K49,0)</f>
        <v>0</v>
      </c>
      <c r="AN49" s="27">
        <v>21</v>
      </c>
      <c r="AO49" s="27">
        <f>H49*0.334084983</f>
        <v>0</v>
      </c>
      <c r="AP49" s="27">
        <f>H49*(1-0.334084983)</f>
        <v>0</v>
      </c>
      <c r="AQ49" s="29" t="s">
        <v>57</v>
      </c>
      <c r="AV49" s="27">
        <f>AW49+AX49</f>
        <v>0</v>
      </c>
      <c r="AW49" s="27">
        <f>G49*AO49</f>
        <v>0</v>
      </c>
      <c r="AX49" s="27">
        <f>G49*AP49</f>
        <v>0</v>
      </c>
      <c r="AY49" s="29" t="s">
        <v>127</v>
      </c>
      <c r="AZ49" s="29" t="s">
        <v>128</v>
      </c>
      <c r="BA49" s="9" t="s">
        <v>63</v>
      </c>
      <c r="BC49" s="27">
        <f>AW49+AX49</f>
        <v>0</v>
      </c>
      <c r="BD49" s="27">
        <f>H49/(100-BE49)*100</f>
        <v>0</v>
      </c>
      <c r="BE49" s="27">
        <v>0</v>
      </c>
      <c r="BF49" s="27">
        <f>49</f>
        <v>49</v>
      </c>
      <c r="BH49" s="27">
        <f>G49*AO49</f>
        <v>0</v>
      </c>
      <c r="BI49" s="27">
        <f>G49*AP49</f>
        <v>0</v>
      </c>
      <c r="BJ49" s="27">
        <f>G49*H49</f>
        <v>0</v>
      </c>
      <c r="BK49" s="27"/>
      <c r="BL49" s="27">
        <v>61</v>
      </c>
      <c r="BW49" s="27">
        <v>21</v>
      </c>
    </row>
    <row r="50" spans="1:12" ht="15">
      <c r="A50" s="30"/>
      <c r="D50" s="32" t="s">
        <v>147</v>
      </c>
      <c r="E50" s="31" t="s">
        <v>52</v>
      </c>
      <c r="G50" s="33">
        <v>1.944</v>
      </c>
      <c r="L50" s="34"/>
    </row>
    <row r="51" spans="1:12" ht="15">
      <c r="A51" s="30"/>
      <c r="D51" s="32" t="s">
        <v>148</v>
      </c>
      <c r="E51" s="31" t="s">
        <v>52</v>
      </c>
      <c r="G51" s="33">
        <v>7.6</v>
      </c>
      <c r="L51" s="34"/>
    </row>
    <row r="52" spans="1:47" ht="15">
      <c r="A52" s="23" t="s">
        <v>52</v>
      </c>
      <c r="B52" s="24" t="s">
        <v>53</v>
      </c>
      <c r="C52" s="24" t="s">
        <v>149</v>
      </c>
      <c r="D52" s="164" t="s">
        <v>150</v>
      </c>
      <c r="E52" s="165"/>
      <c r="F52" s="25" t="s">
        <v>4</v>
      </c>
      <c r="G52" s="25" t="s">
        <v>4</v>
      </c>
      <c r="H52" s="25" t="s">
        <v>4</v>
      </c>
      <c r="I52" s="1">
        <f>SUM(I53:I60)</f>
        <v>0</v>
      </c>
      <c r="J52" s="1">
        <f>SUM(J53:J60)</f>
        <v>0</v>
      </c>
      <c r="K52" s="1">
        <f>SUM(K53:K60)</f>
        <v>0</v>
      </c>
      <c r="L52" s="26" t="s">
        <v>52</v>
      </c>
      <c r="AI52" s="9" t="s">
        <v>53</v>
      </c>
      <c r="AS52" s="1">
        <f>SUM(AJ53:AJ60)</f>
        <v>0</v>
      </c>
      <c r="AT52" s="1">
        <f>SUM(AK53:AK60)</f>
        <v>0</v>
      </c>
      <c r="AU52" s="1">
        <f>SUM(AL53:AL60)</f>
        <v>0</v>
      </c>
    </row>
    <row r="53" spans="1:75" ht="13.5" customHeight="1">
      <c r="A53" s="2" t="s">
        <v>151</v>
      </c>
      <c r="B53" s="3" t="s">
        <v>53</v>
      </c>
      <c r="C53" s="3" t="s">
        <v>152</v>
      </c>
      <c r="D53" s="148" t="s">
        <v>153</v>
      </c>
      <c r="E53" s="143"/>
      <c r="F53" s="3" t="s">
        <v>154</v>
      </c>
      <c r="G53" s="27">
        <v>1</v>
      </c>
      <c r="H53" s="27">
        <v>0</v>
      </c>
      <c r="I53" s="27">
        <f>G53*AO53</f>
        <v>0</v>
      </c>
      <c r="J53" s="27">
        <f>G53*AP53</f>
        <v>0</v>
      </c>
      <c r="K53" s="27">
        <f>G53*H53</f>
        <v>0</v>
      </c>
      <c r="L53" s="28" t="s">
        <v>96</v>
      </c>
      <c r="Z53" s="27">
        <f>IF(AQ53="5",BJ53,0)</f>
        <v>0</v>
      </c>
      <c r="AB53" s="27">
        <f>IF(AQ53="1",BH53,0)</f>
        <v>0</v>
      </c>
      <c r="AC53" s="27">
        <f>IF(AQ53="1",BI53,0)</f>
        <v>0</v>
      </c>
      <c r="AD53" s="27">
        <f>IF(AQ53="7",BH53,0)</f>
        <v>0</v>
      </c>
      <c r="AE53" s="27">
        <f>IF(AQ53="7",BI53,0)</f>
        <v>0</v>
      </c>
      <c r="AF53" s="27">
        <f>IF(AQ53="2",BH53,0)</f>
        <v>0</v>
      </c>
      <c r="AG53" s="27">
        <f>IF(AQ53="2",BI53,0)</f>
        <v>0</v>
      </c>
      <c r="AH53" s="27">
        <f>IF(AQ53="0",BJ53,0)</f>
        <v>0</v>
      </c>
      <c r="AI53" s="9" t="s">
        <v>53</v>
      </c>
      <c r="AJ53" s="27">
        <f>IF(AN53=0,K53,0)</f>
        <v>0</v>
      </c>
      <c r="AK53" s="27">
        <f>IF(AN53=12,K53,0)</f>
        <v>0</v>
      </c>
      <c r="AL53" s="27">
        <f>IF(AN53=21,K53,0)</f>
        <v>0</v>
      </c>
      <c r="AN53" s="27">
        <v>21</v>
      </c>
      <c r="AO53" s="27">
        <f>H53*0.689856462</f>
        <v>0</v>
      </c>
      <c r="AP53" s="27">
        <f>H53*(1-0.689856462)</f>
        <v>0</v>
      </c>
      <c r="AQ53" s="29" t="s">
        <v>57</v>
      </c>
      <c r="AV53" s="27">
        <f>AW53+AX53</f>
        <v>0</v>
      </c>
      <c r="AW53" s="27">
        <f>G53*AO53</f>
        <v>0</v>
      </c>
      <c r="AX53" s="27">
        <f>G53*AP53</f>
        <v>0</v>
      </c>
      <c r="AY53" s="29" t="s">
        <v>155</v>
      </c>
      <c r="AZ53" s="29" t="s">
        <v>128</v>
      </c>
      <c r="BA53" s="9" t="s">
        <v>63</v>
      </c>
      <c r="BC53" s="27">
        <f>AW53+AX53</f>
        <v>0</v>
      </c>
      <c r="BD53" s="27">
        <f>H53/(100-BE53)*100</f>
        <v>0</v>
      </c>
      <c r="BE53" s="27">
        <v>0</v>
      </c>
      <c r="BF53" s="27">
        <f>53</f>
        <v>53</v>
      </c>
      <c r="BH53" s="27">
        <f>G53*AO53</f>
        <v>0</v>
      </c>
      <c r="BI53" s="27">
        <f>G53*AP53</f>
        <v>0</v>
      </c>
      <c r="BJ53" s="27">
        <f>G53*H53</f>
        <v>0</v>
      </c>
      <c r="BK53" s="27"/>
      <c r="BL53" s="27">
        <v>64</v>
      </c>
      <c r="BW53" s="27">
        <v>21</v>
      </c>
    </row>
    <row r="54" spans="1:12" ht="27" customHeight="1">
      <c r="A54" s="30"/>
      <c r="D54" s="166" t="s">
        <v>156</v>
      </c>
      <c r="E54" s="167"/>
      <c r="F54" s="167"/>
      <c r="G54" s="167"/>
      <c r="H54" s="167"/>
      <c r="I54" s="167"/>
      <c r="J54" s="167"/>
      <c r="K54" s="167"/>
      <c r="L54" s="168"/>
    </row>
    <row r="55" spans="1:12" ht="15">
      <c r="A55" s="30"/>
      <c r="D55" s="32" t="s">
        <v>57</v>
      </c>
      <c r="E55" s="31" t="s">
        <v>157</v>
      </c>
      <c r="G55" s="33">
        <v>1</v>
      </c>
      <c r="L55" s="34"/>
    </row>
    <row r="56" spans="1:12" ht="13.5" customHeight="1">
      <c r="A56" s="30"/>
      <c r="C56" s="35" t="s">
        <v>102</v>
      </c>
      <c r="D56" s="166" t="s">
        <v>158</v>
      </c>
      <c r="E56" s="167"/>
      <c r="F56" s="167"/>
      <c r="G56" s="167"/>
      <c r="H56" s="167"/>
      <c r="I56" s="167"/>
      <c r="J56" s="167"/>
      <c r="K56" s="167"/>
      <c r="L56" s="168"/>
    </row>
    <row r="57" spans="1:75" ht="13.5" customHeight="1">
      <c r="A57" s="2" t="s">
        <v>159</v>
      </c>
      <c r="B57" s="3" t="s">
        <v>53</v>
      </c>
      <c r="C57" s="3" t="s">
        <v>160</v>
      </c>
      <c r="D57" s="148" t="s">
        <v>161</v>
      </c>
      <c r="E57" s="143"/>
      <c r="F57" s="3" t="s">
        <v>154</v>
      </c>
      <c r="G57" s="27">
        <v>3</v>
      </c>
      <c r="H57" s="27">
        <v>0</v>
      </c>
      <c r="I57" s="27">
        <f>G57*AO57</f>
        <v>0</v>
      </c>
      <c r="J57" s="27">
        <f>G57*AP57</f>
        <v>0</v>
      </c>
      <c r="K57" s="27">
        <f>G57*H57</f>
        <v>0</v>
      </c>
      <c r="L57" s="28" t="s">
        <v>96</v>
      </c>
      <c r="Z57" s="27">
        <f>IF(AQ57="5",BJ57,0)</f>
        <v>0</v>
      </c>
      <c r="AB57" s="27">
        <f>IF(AQ57="1",BH57,0)</f>
        <v>0</v>
      </c>
      <c r="AC57" s="27">
        <f>IF(AQ57="1",BI57,0)</f>
        <v>0</v>
      </c>
      <c r="AD57" s="27">
        <f>IF(AQ57="7",BH57,0)</f>
        <v>0</v>
      </c>
      <c r="AE57" s="27">
        <f>IF(AQ57="7",BI57,0)</f>
        <v>0</v>
      </c>
      <c r="AF57" s="27">
        <f>IF(AQ57="2",BH57,0)</f>
        <v>0</v>
      </c>
      <c r="AG57" s="27">
        <f>IF(AQ57="2",BI57,0)</f>
        <v>0</v>
      </c>
      <c r="AH57" s="27">
        <f>IF(AQ57="0",BJ57,0)</f>
        <v>0</v>
      </c>
      <c r="AI57" s="9" t="s">
        <v>53</v>
      </c>
      <c r="AJ57" s="27">
        <f>IF(AN57=0,K57,0)</f>
        <v>0</v>
      </c>
      <c r="AK57" s="27">
        <f>IF(AN57=12,K57,0)</f>
        <v>0</v>
      </c>
      <c r="AL57" s="27">
        <f>IF(AN57=21,K57,0)</f>
        <v>0</v>
      </c>
      <c r="AN57" s="27">
        <v>21</v>
      </c>
      <c r="AO57" s="27">
        <f>H57*0</f>
        <v>0</v>
      </c>
      <c r="AP57" s="27">
        <f>H57*(1-0)</f>
        <v>0</v>
      </c>
      <c r="AQ57" s="29" t="s">
        <v>57</v>
      </c>
      <c r="AV57" s="27">
        <f>AW57+AX57</f>
        <v>0</v>
      </c>
      <c r="AW57" s="27">
        <f>G57*AO57</f>
        <v>0</v>
      </c>
      <c r="AX57" s="27">
        <f>G57*AP57</f>
        <v>0</v>
      </c>
      <c r="AY57" s="29" t="s">
        <v>155</v>
      </c>
      <c r="AZ57" s="29" t="s">
        <v>128</v>
      </c>
      <c r="BA57" s="9" t="s">
        <v>63</v>
      </c>
      <c r="BC57" s="27">
        <f>AW57+AX57</f>
        <v>0</v>
      </c>
      <c r="BD57" s="27">
        <f>H57/(100-BE57)*100</f>
        <v>0</v>
      </c>
      <c r="BE57" s="27">
        <v>0</v>
      </c>
      <c r="BF57" s="27">
        <f>57</f>
        <v>57</v>
      </c>
      <c r="BH57" s="27">
        <f>G57*AO57</f>
        <v>0</v>
      </c>
      <c r="BI57" s="27">
        <f>G57*AP57</f>
        <v>0</v>
      </c>
      <c r="BJ57" s="27">
        <f>G57*H57</f>
        <v>0</v>
      </c>
      <c r="BK57" s="27"/>
      <c r="BL57" s="27">
        <v>64</v>
      </c>
      <c r="BW57" s="27">
        <v>21</v>
      </c>
    </row>
    <row r="58" spans="1:12" ht="13.5" customHeight="1">
      <c r="A58" s="30"/>
      <c r="D58" s="166" t="s">
        <v>162</v>
      </c>
      <c r="E58" s="167"/>
      <c r="F58" s="167"/>
      <c r="G58" s="167"/>
      <c r="H58" s="167"/>
      <c r="I58" s="167"/>
      <c r="J58" s="167"/>
      <c r="K58" s="167"/>
      <c r="L58" s="168"/>
    </row>
    <row r="59" spans="1:12" ht="15">
      <c r="A59" s="30"/>
      <c r="D59" s="32" t="s">
        <v>72</v>
      </c>
      <c r="E59" s="31" t="s">
        <v>163</v>
      </c>
      <c r="G59" s="33">
        <v>3</v>
      </c>
      <c r="L59" s="34"/>
    </row>
    <row r="60" spans="1:75" ht="13.5" customHeight="1">
      <c r="A60" s="60" t="s">
        <v>164</v>
      </c>
      <c r="B60" s="61" t="s">
        <v>53</v>
      </c>
      <c r="C60" s="61" t="s">
        <v>165</v>
      </c>
      <c r="D60" s="179" t="s">
        <v>166</v>
      </c>
      <c r="E60" s="180"/>
      <c r="F60" s="61" t="s">
        <v>154</v>
      </c>
      <c r="G60" s="62">
        <v>3</v>
      </c>
      <c r="H60" s="62">
        <v>0</v>
      </c>
      <c r="I60" s="62">
        <f>G60*AO60</f>
        <v>0</v>
      </c>
      <c r="J60" s="62">
        <f>G60*AP60</f>
        <v>0</v>
      </c>
      <c r="K60" s="62">
        <f>G60*H60</f>
        <v>0</v>
      </c>
      <c r="L60" s="63" t="s">
        <v>96</v>
      </c>
      <c r="Z60" s="27">
        <f>IF(AQ60="5",BJ60,0)</f>
        <v>0</v>
      </c>
      <c r="AB60" s="27">
        <f>IF(AQ60="1",BH60,0)</f>
        <v>0</v>
      </c>
      <c r="AC60" s="27">
        <f>IF(AQ60="1",BI60,0)</f>
        <v>0</v>
      </c>
      <c r="AD60" s="27">
        <f>IF(AQ60="7",BH60,0)</f>
        <v>0</v>
      </c>
      <c r="AE60" s="27">
        <f>IF(AQ60="7",BI60,0)</f>
        <v>0</v>
      </c>
      <c r="AF60" s="27">
        <f>IF(AQ60="2",BH60,0)</f>
        <v>0</v>
      </c>
      <c r="AG60" s="27">
        <f>IF(AQ60="2",BI60,0)</f>
        <v>0</v>
      </c>
      <c r="AH60" s="27">
        <f>IF(AQ60="0",BJ60,0)</f>
        <v>0</v>
      </c>
      <c r="AI60" s="9" t="s">
        <v>53</v>
      </c>
      <c r="AJ60" s="62">
        <f>IF(AN60=0,K60,0)</f>
        <v>0</v>
      </c>
      <c r="AK60" s="62">
        <f>IF(AN60=12,K60,0)</f>
        <v>0</v>
      </c>
      <c r="AL60" s="62">
        <f>IF(AN60=21,K60,0)</f>
        <v>0</v>
      </c>
      <c r="AN60" s="27">
        <v>21</v>
      </c>
      <c r="AO60" s="27">
        <f>H60*1</f>
        <v>0</v>
      </c>
      <c r="AP60" s="27">
        <f>H60*(1-1)</f>
        <v>0</v>
      </c>
      <c r="AQ60" s="64" t="s">
        <v>57</v>
      </c>
      <c r="AV60" s="27">
        <f>AW60+AX60</f>
        <v>0</v>
      </c>
      <c r="AW60" s="27">
        <f>G60*AO60</f>
        <v>0</v>
      </c>
      <c r="AX60" s="27">
        <f>G60*AP60</f>
        <v>0</v>
      </c>
      <c r="AY60" s="29" t="s">
        <v>155</v>
      </c>
      <c r="AZ60" s="29" t="s">
        <v>128</v>
      </c>
      <c r="BA60" s="9" t="s">
        <v>63</v>
      </c>
      <c r="BC60" s="27">
        <f>AW60+AX60</f>
        <v>0</v>
      </c>
      <c r="BD60" s="27">
        <f>H60/(100-BE60)*100</f>
        <v>0</v>
      </c>
      <c r="BE60" s="27">
        <v>0</v>
      </c>
      <c r="BF60" s="27">
        <f>60</f>
        <v>60</v>
      </c>
      <c r="BH60" s="62">
        <f>G60*AO60</f>
        <v>0</v>
      </c>
      <c r="BI60" s="62">
        <f>G60*AP60</f>
        <v>0</v>
      </c>
      <c r="BJ60" s="62">
        <f>G60*H60</f>
        <v>0</v>
      </c>
      <c r="BK60" s="62"/>
      <c r="BL60" s="27">
        <v>64</v>
      </c>
      <c r="BW60" s="27">
        <v>21</v>
      </c>
    </row>
    <row r="61" spans="1:12" ht="15">
      <c r="A61" s="30"/>
      <c r="D61" s="32" t="s">
        <v>72</v>
      </c>
      <c r="E61" s="31" t="s">
        <v>167</v>
      </c>
      <c r="G61" s="33">
        <v>3</v>
      </c>
      <c r="L61" s="34"/>
    </row>
    <row r="62" spans="1:12" ht="13.5" customHeight="1">
      <c r="A62" s="30"/>
      <c r="C62" s="35" t="s">
        <v>102</v>
      </c>
      <c r="D62" s="166" t="s">
        <v>168</v>
      </c>
      <c r="E62" s="167"/>
      <c r="F62" s="167"/>
      <c r="G62" s="167"/>
      <c r="H62" s="167"/>
      <c r="I62" s="167"/>
      <c r="J62" s="167"/>
      <c r="K62" s="167"/>
      <c r="L62" s="168"/>
    </row>
    <row r="63" spans="1:47" ht="15">
      <c r="A63" s="36" t="s">
        <v>52</v>
      </c>
      <c r="B63" s="37" t="s">
        <v>53</v>
      </c>
      <c r="C63" s="37" t="s">
        <v>169</v>
      </c>
      <c r="D63" s="169" t="s">
        <v>170</v>
      </c>
      <c r="E63" s="170"/>
      <c r="F63" s="38" t="s">
        <v>4</v>
      </c>
      <c r="G63" s="38" t="s">
        <v>4</v>
      </c>
      <c r="H63" s="38" t="s">
        <v>4</v>
      </c>
      <c r="I63" s="39">
        <f>SUM(I64:I75)</f>
        <v>0</v>
      </c>
      <c r="J63" s="39">
        <f>SUM(J64:J75)</f>
        <v>0</v>
      </c>
      <c r="K63" s="39">
        <f>SUM(K64:K75)</f>
        <v>0</v>
      </c>
      <c r="L63" s="40" t="s">
        <v>52</v>
      </c>
      <c r="AI63" s="9" t="s">
        <v>53</v>
      </c>
      <c r="AS63" s="1">
        <f>SUM(AJ64:AJ75)</f>
        <v>0</v>
      </c>
      <c r="AT63" s="1">
        <f>SUM(AK64:AK75)</f>
        <v>0</v>
      </c>
      <c r="AU63" s="1">
        <f>SUM(AL64:AL75)</f>
        <v>0</v>
      </c>
    </row>
    <row r="64" spans="1:75" ht="13.5" customHeight="1">
      <c r="A64" s="41" t="s">
        <v>171</v>
      </c>
      <c r="B64" s="42" t="s">
        <v>53</v>
      </c>
      <c r="C64" s="42" t="s">
        <v>172</v>
      </c>
      <c r="D64" s="171" t="s">
        <v>173</v>
      </c>
      <c r="E64" s="172"/>
      <c r="F64" s="42" t="s">
        <v>109</v>
      </c>
      <c r="G64" s="43">
        <v>21.04</v>
      </c>
      <c r="H64" s="43">
        <v>0</v>
      </c>
      <c r="I64" s="43">
        <f>G64*AO64</f>
        <v>0</v>
      </c>
      <c r="J64" s="43">
        <f>G64*AP64</f>
        <v>0</v>
      </c>
      <c r="K64" s="43">
        <f>G64*H64</f>
        <v>0</v>
      </c>
      <c r="L64" s="44" t="s">
        <v>96</v>
      </c>
      <c r="Z64" s="27">
        <f>IF(AQ64="5",BJ64,0)</f>
        <v>0</v>
      </c>
      <c r="AB64" s="27">
        <f>IF(AQ64="1",BH64,0)</f>
        <v>0</v>
      </c>
      <c r="AC64" s="27">
        <f>IF(AQ64="1",BI64,0)</f>
        <v>0</v>
      </c>
      <c r="AD64" s="27">
        <f>IF(AQ64="7",BH64,0)</f>
        <v>0</v>
      </c>
      <c r="AE64" s="27">
        <f>IF(AQ64="7",BI64,0)</f>
        <v>0</v>
      </c>
      <c r="AF64" s="27">
        <f>IF(AQ64="2",BH64,0)</f>
        <v>0</v>
      </c>
      <c r="AG64" s="27">
        <f>IF(AQ64="2",BI64,0)</f>
        <v>0</v>
      </c>
      <c r="AH64" s="27">
        <f>IF(AQ64="0",BJ64,0)</f>
        <v>0</v>
      </c>
      <c r="AI64" s="9" t="s">
        <v>53</v>
      </c>
      <c r="AJ64" s="27">
        <f>IF(AN64=0,K64,0)</f>
        <v>0</v>
      </c>
      <c r="AK64" s="27">
        <f>IF(AN64=12,K64,0)</f>
        <v>0</v>
      </c>
      <c r="AL64" s="27">
        <f>IF(AN64=21,K64,0)</f>
        <v>0</v>
      </c>
      <c r="AN64" s="27">
        <v>21</v>
      </c>
      <c r="AO64" s="27">
        <f>H64*0.345868674</f>
        <v>0</v>
      </c>
      <c r="AP64" s="27">
        <f>H64*(1-0.345868674)</f>
        <v>0</v>
      </c>
      <c r="AQ64" s="29" t="s">
        <v>84</v>
      </c>
      <c r="AV64" s="27">
        <f>AW64+AX64</f>
        <v>0</v>
      </c>
      <c r="AW64" s="27">
        <f>G64*AO64</f>
        <v>0</v>
      </c>
      <c r="AX64" s="27">
        <f>G64*AP64</f>
        <v>0</v>
      </c>
      <c r="AY64" s="29" t="s">
        <v>174</v>
      </c>
      <c r="AZ64" s="29" t="s">
        <v>175</v>
      </c>
      <c r="BA64" s="9" t="s">
        <v>63</v>
      </c>
      <c r="BC64" s="27">
        <f>AW64+AX64</f>
        <v>0</v>
      </c>
      <c r="BD64" s="27">
        <f>H64/(100-BE64)*100</f>
        <v>0</v>
      </c>
      <c r="BE64" s="27">
        <v>0</v>
      </c>
      <c r="BF64" s="27">
        <f>64</f>
        <v>64</v>
      </c>
      <c r="BH64" s="27">
        <f>G64*AO64</f>
        <v>0</v>
      </c>
      <c r="BI64" s="27">
        <f>G64*AP64</f>
        <v>0</v>
      </c>
      <c r="BJ64" s="27">
        <f>G64*H64</f>
        <v>0</v>
      </c>
      <c r="BK64" s="27"/>
      <c r="BL64" s="27">
        <v>711</v>
      </c>
      <c r="BW64" s="27">
        <v>21</v>
      </c>
    </row>
    <row r="65" spans="1:12" ht="13.5" customHeight="1">
      <c r="A65" s="45"/>
      <c r="D65" s="173" t="s">
        <v>176</v>
      </c>
      <c r="E65" s="174"/>
      <c r="F65" s="174"/>
      <c r="G65" s="174"/>
      <c r="H65" s="174"/>
      <c r="I65" s="174"/>
      <c r="J65" s="174"/>
      <c r="K65" s="174"/>
      <c r="L65" s="175"/>
    </row>
    <row r="66" spans="1:12" ht="15">
      <c r="A66" s="46"/>
      <c r="B66" s="47"/>
      <c r="C66" s="47"/>
      <c r="D66" s="48" t="s">
        <v>177</v>
      </c>
      <c r="E66" s="49" t="s">
        <v>178</v>
      </c>
      <c r="F66" s="47"/>
      <c r="G66" s="50">
        <v>16.63</v>
      </c>
      <c r="H66" s="47"/>
      <c r="I66" s="47"/>
      <c r="J66" s="47"/>
      <c r="K66" s="47"/>
      <c r="L66" s="51"/>
    </row>
    <row r="67" spans="1:12" ht="15">
      <c r="A67" s="52"/>
      <c r="B67" s="53"/>
      <c r="C67" s="53"/>
      <c r="D67" s="54" t="s">
        <v>179</v>
      </c>
      <c r="E67" s="55" t="s">
        <v>180</v>
      </c>
      <c r="F67" s="53"/>
      <c r="G67" s="56">
        <v>4.41</v>
      </c>
      <c r="H67" s="53"/>
      <c r="I67" s="53"/>
      <c r="J67" s="53"/>
      <c r="K67" s="53"/>
      <c r="L67" s="57"/>
    </row>
    <row r="68" spans="1:12" ht="13.5" customHeight="1">
      <c r="A68" s="45"/>
      <c r="C68" s="65" t="s">
        <v>102</v>
      </c>
      <c r="D68" s="173" t="s">
        <v>181</v>
      </c>
      <c r="E68" s="174"/>
      <c r="F68" s="174"/>
      <c r="G68" s="174"/>
      <c r="H68" s="174"/>
      <c r="I68" s="174"/>
      <c r="J68" s="174"/>
      <c r="K68" s="174"/>
      <c r="L68" s="175"/>
    </row>
    <row r="69" spans="1:75" ht="13.5" customHeight="1">
      <c r="A69" s="41" t="s">
        <v>182</v>
      </c>
      <c r="B69" s="42" t="s">
        <v>53</v>
      </c>
      <c r="C69" s="42" t="s">
        <v>183</v>
      </c>
      <c r="D69" s="171" t="s">
        <v>184</v>
      </c>
      <c r="E69" s="172"/>
      <c r="F69" s="42" t="s">
        <v>109</v>
      </c>
      <c r="G69" s="43">
        <v>21.04</v>
      </c>
      <c r="H69" s="43">
        <v>0</v>
      </c>
      <c r="I69" s="43">
        <f>G69*AO69</f>
        <v>0</v>
      </c>
      <c r="J69" s="43">
        <f>G69*AP69</f>
        <v>0</v>
      </c>
      <c r="K69" s="43">
        <f>G69*H69</f>
        <v>0</v>
      </c>
      <c r="L69" s="44" t="s">
        <v>96</v>
      </c>
      <c r="Z69" s="27">
        <f>IF(AQ69="5",BJ69,0)</f>
        <v>0</v>
      </c>
      <c r="AB69" s="27">
        <f>IF(AQ69="1",BH69,0)</f>
        <v>0</v>
      </c>
      <c r="AC69" s="27">
        <f>IF(AQ69="1",BI69,0)</f>
        <v>0</v>
      </c>
      <c r="AD69" s="27">
        <f>IF(AQ69="7",BH69,0)</f>
        <v>0</v>
      </c>
      <c r="AE69" s="27">
        <f>IF(AQ69="7",BI69,0)</f>
        <v>0</v>
      </c>
      <c r="AF69" s="27">
        <f>IF(AQ69="2",BH69,0)</f>
        <v>0</v>
      </c>
      <c r="AG69" s="27">
        <f>IF(AQ69="2",BI69,0)</f>
        <v>0</v>
      </c>
      <c r="AH69" s="27">
        <f>IF(AQ69="0",BJ69,0)</f>
        <v>0</v>
      </c>
      <c r="AI69" s="9" t="s">
        <v>53</v>
      </c>
      <c r="AJ69" s="27">
        <f>IF(AN69=0,K69,0)</f>
        <v>0</v>
      </c>
      <c r="AK69" s="27">
        <f>IF(AN69=12,K69,0)</f>
        <v>0</v>
      </c>
      <c r="AL69" s="27">
        <f>IF(AN69=21,K69,0)</f>
        <v>0</v>
      </c>
      <c r="AN69" s="27">
        <v>21</v>
      </c>
      <c r="AO69" s="27">
        <f>H69*0.658440335</f>
        <v>0</v>
      </c>
      <c r="AP69" s="27">
        <f>H69*(1-0.658440335)</f>
        <v>0</v>
      </c>
      <c r="AQ69" s="29" t="s">
        <v>84</v>
      </c>
      <c r="AV69" s="27">
        <f>AW69+AX69</f>
        <v>0</v>
      </c>
      <c r="AW69" s="27">
        <f>G69*AO69</f>
        <v>0</v>
      </c>
      <c r="AX69" s="27">
        <f>G69*AP69</f>
        <v>0</v>
      </c>
      <c r="AY69" s="29" t="s">
        <v>174</v>
      </c>
      <c r="AZ69" s="29" t="s">
        <v>175</v>
      </c>
      <c r="BA69" s="9" t="s">
        <v>63</v>
      </c>
      <c r="BC69" s="27">
        <f>AW69+AX69</f>
        <v>0</v>
      </c>
      <c r="BD69" s="27">
        <f>H69/(100-BE69)*100</f>
        <v>0</v>
      </c>
      <c r="BE69" s="27">
        <v>0</v>
      </c>
      <c r="BF69" s="27">
        <f>69</f>
        <v>69</v>
      </c>
      <c r="BH69" s="27">
        <f>G69*AO69</f>
        <v>0</v>
      </c>
      <c r="BI69" s="27">
        <f>G69*AP69</f>
        <v>0</v>
      </c>
      <c r="BJ69" s="27">
        <f>G69*H69</f>
        <v>0</v>
      </c>
      <c r="BK69" s="27"/>
      <c r="BL69" s="27">
        <v>711</v>
      </c>
      <c r="BW69" s="27">
        <v>21</v>
      </c>
    </row>
    <row r="70" spans="1:12" ht="15">
      <c r="A70" s="52"/>
      <c r="B70" s="53"/>
      <c r="C70" s="53"/>
      <c r="D70" s="54" t="s">
        <v>185</v>
      </c>
      <c r="E70" s="55" t="s">
        <v>186</v>
      </c>
      <c r="F70" s="53"/>
      <c r="G70" s="56">
        <v>21.04</v>
      </c>
      <c r="H70" s="53"/>
      <c r="I70" s="53"/>
      <c r="J70" s="53"/>
      <c r="K70" s="53"/>
      <c r="L70" s="57"/>
    </row>
    <row r="71" spans="1:12" ht="13.5" customHeight="1">
      <c r="A71" s="45"/>
      <c r="C71" s="65" t="s">
        <v>102</v>
      </c>
      <c r="D71" s="173" t="s">
        <v>187</v>
      </c>
      <c r="E71" s="174"/>
      <c r="F71" s="174"/>
      <c r="G71" s="174"/>
      <c r="H71" s="174"/>
      <c r="I71" s="174"/>
      <c r="J71" s="174"/>
      <c r="K71" s="174"/>
      <c r="L71" s="175"/>
    </row>
    <row r="72" spans="1:75" ht="27" customHeight="1">
      <c r="A72" s="41" t="s">
        <v>188</v>
      </c>
      <c r="B72" s="42" t="s">
        <v>53</v>
      </c>
      <c r="C72" s="42" t="s">
        <v>189</v>
      </c>
      <c r="D72" s="171" t="s">
        <v>190</v>
      </c>
      <c r="E72" s="172"/>
      <c r="F72" s="42" t="s">
        <v>154</v>
      </c>
      <c r="G72" s="43">
        <v>12</v>
      </c>
      <c r="H72" s="43">
        <v>0</v>
      </c>
      <c r="I72" s="43">
        <f>G72*AO72</f>
        <v>0</v>
      </c>
      <c r="J72" s="43">
        <f>G72*AP72</f>
        <v>0</v>
      </c>
      <c r="K72" s="43">
        <f>G72*H72</f>
        <v>0</v>
      </c>
      <c r="L72" s="44" t="s">
        <v>96</v>
      </c>
      <c r="Z72" s="27">
        <f>IF(AQ72="5",BJ72,0)</f>
        <v>0</v>
      </c>
      <c r="AB72" s="27">
        <f>IF(AQ72="1",BH72,0)</f>
        <v>0</v>
      </c>
      <c r="AC72" s="27">
        <f>IF(AQ72="1",BI72,0)</f>
        <v>0</v>
      </c>
      <c r="AD72" s="27">
        <f>IF(AQ72="7",BH72,0)</f>
        <v>0</v>
      </c>
      <c r="AE72" s="27">
        <f>IF(AQ72="7",BI72,0)</f>
        <v>0</v>
      </c>
      <c r="AF72" s="27">
        <f>IF(AQ72="2",BH72,0)</f>
        <v>0</v>
      </c>
      <c r="AG72" s="27">
        <f>IF(AQ72="2",BI72,0)</f>
        <v>0</v>
      </c>
      <c r="AH72" s="27">
        <f>IF(AQ72="0",BJ72,0)</f>
        <v>0</v>
      </c>
      <c r="AI72" s="9" t="s">
        <v>53</v>
      </c>
      <c r="AJ72" s="27">
        <f>IF(AN72=0,K72,0)</f>
        <v>0</v>
      </c>
      <c r="AK72" s="27">
        <f>IF(AN72=12,K72,0)</f>
        <v>0</v>
      </c>
      <c r="AL72" s="27">
        <f>IF(AN72=21,K72,0)</f>
        <v>0</v>
      </c>
      <c r="AN72" s="27">
        <v>21</v>
      </c>
      <c r="AO72" s="27">
        <f>H72*0.871779551</f>
        <v>0</v>
      </c>
      <c r="AP72" s="27">
        <f>H72*(1-0.871779551)</f>
        <v>0</v>
      </c>
      <c r="AQ72" s="29" t="s">
        <v>84</v>
      </c>
      <c r="AV72" s="27">
        <f>AW72+AX72</f>
        <v>0</v>
      </c>
      <c r="AW72" s="27">
        <f>G72*AO72</f>
        <v>0</v>
      </c>
      <c r="AX72" s="27">
        <f>G72*AP72</f>
        <v>0</v>
      </c>
      <c r="AY72" s="29" t="s">
        <v>174</v>
      </c>
      <c r="AZ72" s="29" t="s">
        <v>175</v>
      </c>
      <c r="BA72" s="9" t="s">
        <v>63</v>
      </c>
      <c r="BC72" s="27">
        <f>AW72+AX72</f>
        <v>0</v>
      </c>
      <c r="BD72" s="27">
        <f>H72/(100-BE72)*100</f>
        <v>0</v>
      </c>
      <c r="BE72" s="27">
        <v>0</v>
      </c>
      <c r="BF72" s="27">
        <f>72</f>
        <v>72</v>
      </c>
      <c r="BH72" s="27">
        <f>G72*AO72</f>
        <v>0</v>
      </c>
      <c r="BI72" s="27">
        <f>G72*AP72</f>
        <v>0</v>
      </c>
      <c r="BJ72" s="27">
        <f>G72*H72</f>
        <v>0</v>
      </c>
      <c r="BK72" s="27"/>
      <c r="BL72" s="27">
        <v>711</v>
      </c>
      <c r="BW72" s="27">
        <v>21</v>
      </c>
    </row>
    <row r="73" spans="1:12" ht="13.5" customHeight="1">
      <c r="A73" s="45"/>
      <c r="D73" s="173" t="s">
        <v>191</v>
      </c>
      <c r="E73" s="174"/>
      <c r="F73" s="174"/>
      <c r="G73" s="174"/>
      <c r="H73" s="174"/>
      <c r="I73" s="174"/>
      <c r="J73" s="174"/>
      <c r="K73" s="174"/>
      <c r="L73" s="175"/>
    </row>
    <row r="74" spans="1:12" ht="15">
      <c r="A74" s="46"/>
      <c r="B74" s="47"/>
      <c r="C74" s="47"/>
      <c r="D74" s="48" t="s">
        <v>192</v>
      </c>
      <c r="E74" s="49" t="s">
        <v>167</v>
      </c>
      <c r="F74" s="47"/>
      <c r="G74" s="50">
        <v>12</v>
      </c>
      <c r="H74" s="47"/>
      <c r="I74" s="47"/>
      <c r="J74" s="47"/>
      <c r="K74" s="47"/>
      <c r="L74" s="51"/>
    </row>
    <row r="75" spans="1:75" ht="13.5" customHeight="1">
      <c r="A75" s="66" t="s">
        <v>193</v>
      </c>
      <c r="B75" s="67" t="s">
        <v>53</v>
      </c>
      <c r="C75" s="67" t="s">
        <v>194</v>
      </c>
      <c r="D75" s="181" t="s">
        <v>195</v>
      </c>
      <c r="E75" s="182"/>
      <c r="F75" s="67" t="s">
        <v>126</v>
      </c>
      <c r="G75" s="68">
        <v>24.6</v>
      </c>
      <c r="H75" s="68">
        <v>0</v>
      </c>
      <c r="I75" s="68">
        <f>G75*AO75</f>
        <v>0</v>
      </c>
      <c r="J75" s="68">
        <f>G75*AP75</f>
        <v>0</v>
      </c>
      <c r="K75" s="68">
        <f>G75*H75</f>
        <v>0</v>
      </c>
      <c r="L75" s="69" t="s">
        <v>96</v>
      </c>
      <c r="Z75" s="27">
        <f>IF(AQ75="5",BJ75,0)</f>
        <v>0</v>
      </c>
      <c r="AB75" s="27">
        <f>IF(AQ75="1",BH75,0)</f>
        <v>0</v>
      </c>
      <c r="AC75" s="27">
        <f>IF(AQ75="1",BI75,0)</f>
        <v>0</v>
      </c>
      <c r="AD75" s="27">
        <f>IF(AQ75="7",BH75,0)</f>
        <v>0</v>
      </c>
      <c r="AE75" s="27">
        <f>IF(AQ75="7",BI75,0)</f>
        <v>0</v>
      </c>
      <c r="AF75" s="27">
        <f>IF(AQ75="2",BH75,0)</f>
        <v>0</v>
      </c>
      <c r="AG75" s="27">
        <f>IF(AQ75="2",BI75,0)</f>
        <v>0</v>
      </c>
      <c r="AH75" s="27">
        <f>IF(AQ75="0",BJ75,0)</f>
        <v>0</v>
      </c>
      <c r="AI75" s="9" t="s">
        <v>53</v>
      </c>
      <c r="AJ75" s="27">
        <f>IF(AN75=0,K75,0)</f>
        <v>0</v>
      </c>
      <c r="AK75" s="27">
        <f>IF(AN75=12,K75,0)</f>
        <v>0</v>
      </c>
      <c r="AL75" s="27">
        <f>IF(AN75=21,K75,0)</f>
        <v>0</v>
      </c>
      <c r="AN75" s="27">
        <v>21</v>
      </c>
      <c r="AO75" s="27">
        <f>H75*0.695267176</f>
        <v>0</v>
      </c>
      <c r="AP75" s="27">
        <f>H75*(1-0.695267176)</f>
        <v>0</v>
      </c>
      <c r="AQ75" s="29" t="s">
        <v>84</v>
      </c>
      <c r="AV75" s="27">
        <f>AW75+AX75</f>
        <v>0</v>
      </c>
      <c r="AW75" s="27">
        <f>G75*AO75</f>
        <v>0</v>
      </c>
      <c r="AX75" s="27">
        <f>G75*AP75</f>
        <v>0</v>
      </c>
      <c r="AY75" s="29" t="s">
        <v>174</v>
      </c>
      <c r="AZ75" s="29" t="s">
        <v>175</v>
      </c>
      <c r="BA75" s="9" t="s">
        <v>63</v>
      </c>
      <c r="BC75" s="27">
        <f>AW75+AX75</f>
        <v>0</v>
      </c>
      <c r="BD75" s="27">
        <f>H75/(100-BE75)*100</f>
        <v>0</v>
      </c>
      <c r="BE75" s="27">
        <v>0</v>
      </c>
      <c r="BF75" s="27">
        <f>75</f>
        <v>75</v>
      </c>
      <c r="BH75" s="27">
        <f>G75*AO75</f>
        <v>0</v>
      </c>
      <c r="BI75" s="27">
        <f>G75*AP75</f>
        <v>0</v>
      </c>
      <c r="BJ75" s="27">
        <f>G75*H75</f>
        <v>0</v>
      </c>
      <c r="BK75" s="27"/>
      <c r="BL75" s="27">
        <v>711</v>
      </c>
      <c r="BW75" s="27">
        <v>21</v>
      </c>
    </row>
    <row r="76" spans="1:12" ht="13.5" customHeight="1">
      <c r="A76" s="45"/>
      <c r="D76" s="173" t="s">
        <v>196</v>
      </c>
      <c r="E76" s="174"/>
      <c r="F76" s="174"/>
      <c r="G76" s="174"/>
      <c r="H76" s="174"/>
      <c r="I76" s="174"/>
      <c r="J76" s="174"/>
      <c r="K76" s="174"/>
      <c r="L76" s="175"/>
    </row>
    <row r="77" spans="1:12" ht="15">
      <c r="A77" s="46"/>
      <c r="B77" s="47"/>
      <c r="C77" s="47"/>
      <c r="D77" s="48" t="s">
        <v>197</v>
      </c>
      <c r="E77" s="49" t="s">
        <v>198</v>
      </c>
      <c r="F77" s="47"/>
      <c r="G77" s="50">
        <v>24.6</v>
      </c>
      <c r="H77" s="47"/>
      <c r="I77" s="47"/>
      <c r="J77" s="47"/>
      <c r="K77" s="47"/>
      <c r="L77" s="51"/>
    </row>
    <row r="78" spans="1:12" ht="13.5" customHeight="1">
      <c r="A78" s="45"/>
      <c r="C78" s="65" t="s">
        <v>102</v>
      </c>
      <c r="D78" s="173" t="s">
        <v>199</v>
      </c>
      <c r="E78" s="174"/>
      <c r="F78" s="174"/>
      <c r="G78" s="174"/>
      <c r="H78" s="174"/>
      <c r="I78" s="174"/>
      <c r="J78" s="174"/>
      <c r="K78" s="174"/>
      <c r="L78" s="175"/>
    </row>
    <row r="79" spans="1:47" ht="15">
      <c r="A79" s="70" t="s">
        <v>52</v>
      </c>
      <c r="B79" s="71" t="s">
        <v>53</v>
      </c>
      <c r="C79" s="71" t="s">
        <v>200</v>
      </c>
      <c r="D79" s="183" t="s">
        <v>201</v>
      </c>
      <c r="E79" s="184"/>
      <c r="F79" s="72" t="s">
        <v>4</v>
      </c>
      <c r="G79" s="72" t="s">
        <v>4</v>
      </c>
      <c r="H79" s="72" t="s">
        <v>4</v>
      </c>
      <c r="I79" s="73">
        <f>SUM(I80:I80)</f>
        <v>0</v>
      </c>
      <c r="J79" s="73">
        <f>SUM(J80:J80)</f>
        <v>0</v>
      </c>
      <c r="K79" s="73">
        <f>SUM(K80:K80)</f>
        <v>0</v>
      </c>
      <c r="L79" s="74" t="s">
        <v>52</v>
      </c>
      <c r="AI79" s="9" t="s">
        <v>53</v>
      </c>
      <c r="AS79" s="1">
        <f>SUM(AJ80:AJ80)</f>
        <v>0</v>
      </c>
      <c r="AT79" s="1">
        <f>SUM(AK80:AK80)</f>
        <v>0</v>
      </c>
      <c r="AU79" s="1">
        <f>SUM(AL80:AL80)</f>
        <v>0</v>
      </c>
    </row>
    <row r="80" spans="1:75" ht="13.5" customHeight="1">
      <c r="A80" s="66" t="s">
        <v>202</v>
      </c>
      <c r="B80" s="67" t="s">
        <v>53</v>
      </c>
      <c r="C80" s="67" t="s">
        <v>203</v>
      </c>
      <c r="D80" s="181" t="s">
        <v>204</v>
      </c>
      <c r="E80" s="182"/>
      <c r="F80" s="67" t="s">
        <v>126</v>
      </c>
      <c r="G80" s="68">
        <v>12.71</v>
      </c>
      <c r="H80" s="68">
        <v>0</v>
      </c>
      <c r="I80" s="68">
        <f>G80*AO80</f>
        <v>0</v>
      </c>
      <c r="J80" s="68">
        <f>G80*AP80</f>
        <v>0</v>
      </c>
      <c r="K80" s="68">
        <f>G80*H80</f>
        <v>0</v>
      </c>
      <c r="L80" s="69" t="s">
        <v>96</v>
      </c>
      <c r="Z80" s="27">
        <f>IF(AQ80="5",BJ80,0)</f>
        <v>0</v>
      </c>
      <c r="AB80" s="27">
        <f>IF(AQ80="1",BH80,0)</f>
        <v>0</v>
      </c>
      <c r="AC80" s="27">
        <f>IF(AQ80="1",BI80,0)</f>
        <v>0</v>
      </c>
      <c r="AD80" s="27">
        <f>IF(AQ80="7",BH80,0)</f>
        <v>0</v>
      </c>
      <c r="AE80" s="27">
        <f>IF(AQ80="7",BI80,0)</f>
        <v>0</v>
      </c>
      <c r="AF80" s="27">
        <f>IF(AQ80="2",BH80,0)</f>
        <v>0</v>
      </c>
      <c r="AG80" s="27">
        <f>IF(AQ80="2",BI80,0)</f>
        <v>0</v>
      </c>
      <c r="AH80" s="27">
        <f>IF(AQ80="0",BJ80,0)</f>
        <v>0</v>
      </c>
      <c r="AI80" s="9" t="s">
        <v>53</v>
      </c>
      <c r="AJ80" s="27">
        <f>IF(AN80=0,K80,0)</f>
        <v>0</v>
      </c>
      <c r="AK80" s="27">
        <f>IF(AN80=12,K80,0)</f>
        <v>0</v>
      </c>
      <c r="AL80" s="27">
        <f>IF(AN80=21,K80,0)</f>
        <v>0</v>
      </c>
      <c r="AN80" s="27">
        <v>21</v>
      </c>
      <c r="AO80" s="27">
        <f>H80*0</f>
        <v>0</v>
      </c>
      <c r="AP80" s="27">
        <f>H80*(1-0)</f>
        <v>0</v>
      </c>
      <c r="AQ80" s="29" t="s">
        <v>84</v>
      </c>
      <c r="AV80" s="27">
        <f>AW80+AX80</f>
        <v>0</v>
      </c>
      <c r="AW80" s="27">
        <f>G80*AO80</f>
        <v>0</v>
      </c>
      <c r="AX80" s="27">
        <f>G80*AP80</f>
        <v>0</v>
      </c>
      <c r="AY80" s="29" t="s">
        <v>205</v>
      </c>
      <c r="AZ80" s="29" t="s">
        <v>206</v>
      </c>
      <c r="BA80" s="9" t="s">
        <v>63</v>
      </c>
      <c r="BC80" s="27">
        <f>AW80+AX80</f>
        <v>0</v>
      </c>
      <c r="BD80" s="27">
        <f>H80/(100-BE80)*100</f>
        <v>0</v>
      </c>
      <c r="BE80" s="27">
        <v>0</v>
      </c>
      <c r="BF80" s="27">
        <f>80</f>
        <v>80</v>
      </c>
      <c r="BH80" s="27">
        <f>G80*AO80</f>
        <v>0</v>
      </c>
      <c r="BI80" s="27">
        <f>G80*AP80</f>
        <v>0</v>
      </c>
      <c r="BJ80" s="27">
        <f>G80*H80</f>
        <v>0</v>
      </c>
      <c r="BK80" s="27"/>
      <c r="BL80" s="27">
        <v>721</v>
      </c>
      <c r="BW80" s="27">
        <v>21</v>
      </c>
    </row>
    <row r="81" spans="1:12" ht="15">
      <c r="A81" s="52"/>
      <c r="B81" s="53"/>
      <c r="C81" s="53"/>
      <c r="D81" s="54" t="s">
        <v>207</v>
      </c>
      <c r="E81" s="55" t="s">
        <v>208</v>
      </c>
      <c r="F81" s="53"/>
      <c r="G81" s="56">
        <v>12.71</v>
      </c>
      <c r="H81" s="53"/>
      <c r="I81" s="53"/>
      <c r="J81" s="53"/>
      <c r="K81" s="53"/>
      <c r="L81" s="57"/>
    </row>
    <row r="82" spans="1:47" ht="15">
      <c r="A82" s="75" t="s">
        <v>52</v>
      </c>
      <c r="B82" s="76" t="s">
        <v>53</v>
      </c>
      <c r="C82" s="76" t="s">
        <v>209</v>
      </c>
      <c r="D82" s="185" t="s">
        <v>210</v>
      </c>
      <c r="E82" s="186"/>
      <c r="F82" s="77" t="s">
        <v>4</v>
      </c>
      <c r="G82" s="77" t="s">
        <v>4</v>
      </c>
      <c r="H82" s="77" t="s">
        <v>4</v>
      </c>
      <c r="I82" s="78">
        <f>SUM(I83:I100)</f>
        <v>0</v>
      </c>
      <c r="J82" s="78">
        <f>SUM(J83:J100)</f>
        <v>0</v>
      </c>
      <c r="K82" s="78">
        <f>SUM(K83:K100)</f>
        <v>0</v>
      </c>
      <c r="L82" s="79" t="s">
        <v>52</v>
      </c>
      <c r="AI82" s="9" t="s">
        <v>53</v>
      </c>
      <c r="AS82" s="1">
        <f>SUM(AJ83:AJ100)</f>
        <v>0</v>
      </c>
      <c r="AT82" s="1">
        <f>SUM(AK83:AK100)</f>
        <v>0</v>
      </c>
      <c r="AU82" s="1">
        <f>SUM(AL83:AL100)</f>
        <v>0</v>
      </c>
    </row>
    <row r="83" spans="1:75" ht="13.5" customHeight="1">
      <c r="A83" s="66" t="s">
        <v>211</v>
      </c>
      <c r="B83" s="67" t="s">
        <v>53</v>
      </c>
      <c r="C83" s="67" t="s">
        <v>212</v>
      </c>
      <c r="D83" s="181" t="s">
        <v>213</v>
      </c>
      <c r="E83" s="182"/>
      <c r="F83" s="67" t="s">
        <v>154</v>
      </c>
      <c r="G83" s="68">
        <v>5</v>
      </c>
      <c r="H83" s="68">
        <v>0</v>
      </c>
      <c r="I83" s="68">
        <f>G83*AO83</f>
        <v>0</v>
      </c>
      <c r="J83" s="68">
        <f>G83*AP83</f>
        <v>0</v>
      </c>
      <c r="K83" s="68">
        <f>G83*H83</f>
        <v>0</v>
      </c>
      <c r="L83" s="69" t="s">
        <v>96</v>
      </c>
      <c r="Z83" s="27">
        <f>IF(AQ83="5",BJ83,0)</f>
        <v>0</v>
      </c>
      <c r="AB83" s="27">
        <f>IF(AQ83="1",BH83,0)</f>
        <v>0</v>
      </c>
      <c r="AC83" s="27">
        <f>IF(AQ83="1",BI83,0)</f>
        <v>0</v>
      </c>
      <c r="AD83" s="27">
        <f>IF(AQ83="7",BH83,0)</f>
        <v>0</v>
      </c>
      <c r="AE83" s="27">
        <f>IF(AQ83="7",BI83,0)</f>
        <v>0</v>
      </c>
      <c r="AF83" s="27">
        <f>IF(AQ83="2",BH83,0)</f>
        <v>0</v>
      </c>
      <c r="AG83" s="27">
        <f>IF(AQ83="2",BI83,0)</f>
        <v>0</v>
      </c>
      <c r="AH83" s="27">
        <f>IF(AQ83="0",BJ83,0)</f>
        <v>0</v>
      </c>
      <c r="AI83" s="9" t="s">
        <v>53</v>
      </c>
      <c r="AJ83" s="27">
        <f>IF(AN83=0,K83,0)</f>
        <v>0</v>
      </c>
      <c r="AK83" s="27">
        <f>IF(AN83=12,K83,0)</f>
        <v>0</v>
      </c>
      <c r="AL83" s="27">
        <f>IF(AN83=21,K83,0)</f>
        <v>0</v>
      </c>
      <c r="AN83" s="27">
        <v>21</v>
      </c>
      <c r="AO83" s="27">
        <f>H83*0</f>
        <v>0</v>
      </c>
      <c r="AP83" s="27">
        <f>H83*(1-0)</f>
        <v>0</v>
      </c>
      <c r="AQ83" s="29" t="s">
        <v>84</v>
      </c>
      <c r="AV83" s="27">
        <f>AW83+AX83</f>
        <v>0</v>
      </c>
      <c r="AW83" s="27">
        <f>G83*AO83</f>
        <v>0</v>
      </c>
      <c r="AX83" s="27">
        <f>G83*AP83</f>
        <v>0</v>
      </c>
      <c r="AY83" s="29" t="s">
        <v>214</v>
      </c>
      <c r="AZ83" s="29" t="s">
        <v>206</v>
      </c>
      <c r="BA83" s="9" t="s">
        <v>63</v>
      </c>
      <c r="BC83" s="27">
        <f>AW83+AX83</f>
        <v>0</v>
      </c>
      <c r="BD83" s="27">
        <f>H83/(100-BE83)*100</f>
        <v>0</v>
      </c>
      <c r="BE83" s="27">
        <v>0</v>
      </c>
      <c r="BF83" s="27">
        <f>83</f>
        <v>83</v>
      </c>
      <c r="BH83" s="27">
        <f>G83*AO83</f>
        <v>0</v>
      </c>
      <c r="BI83" s="27">
        <f>G83*AP83</f>
        <v>0</v>
      </c>
      <c r="BJ83" s="27">
        <f>G83*H83</f>
        <v>0</v>
      </c>
      <c r="BK83" s="27"/>
      <c r="BL83" s="27">
        <v>725</v>
      </c>
      <c r="BW83" s="27">
        <v>21</v>
      </c>
    </row>
    <row r="84" spans="1:12" ht="15">
      <c r="A84" s="52"/>
      <c r="B84" s="53"/>
      <c r="C84" s="53"/>
      <c r="D84" s="54" t="s">
        <v>72</v>
      </c>
      <c r="E84" s="55" t="s">
        <v>215</v>
      </c>
      <c r="F84" s="53"/>
      <c r="G84" s="56">
        <v>3</v>
      </c>
      <c r="H84" s="53"/>
      <c r="I84" s="53"/>
      <c r="J84" s="53"/>
      <c r="K84" s="53"/>
      <c r="L84" s="57"/>
    </row>
    <row r="85" spans="1:12" ht="15">
      <c r="A85" s="52"/>
      <c r="B85" s="53"/>
      <c r="C85" s="53"/>
      <c r="D85" s="54" t="s">
        <v>57</v>
      </c>
      <c r="E85" s="55" t="s">
        <v>216</v>
      </c>
      <c r="F85" s="53"/>
      <c r="G85" s="56">
        <v>1</v>
      </c>
      <c r="H85" s="53"/>
      <c r="I85" s="53"/>
      <c r="J85" s="53"/>
      <c r="K85" s="53"/>
      <c r="L85" s="57"/>
    </row>
    <row r="86" spans="1:12" ht="15">
      <c r="A86" s="52"/>
      <c r="B86" s="53"/>
      <c r="C86" s="53"/>
      <c r="D86" s="54" t="s">
        <v>57</v>
      </c>
      <c r="E86" s="55" t="s">
        <v>217</v>
      </c>
      <c r="F86" s="53"/>
      <c r="G86" s="56">
        <v>1</v>
      </c>
      <c r="H86" s="53"/>
      <c r="I86" s="53"/>
      <c r="J86" s="53"/>
      <c r="K86" s="53"/>
      <c r="L86" s="57"/>
    </row>
    <row r="87" spans="1:75" ht="13.5" customHeight="1">
      <c r="A87" s="66" t="s">
        <v>218</v>
      </c>
      <c r="B87" s="67" t="s">
        <v>53</v>
      </c>
      <c r="C87" s="67" t="s">
        <v>219</v>
      </c>
      <c r="D87" s="181" t="s">
        <v>220</v>
      </c>
      <c r="E87" s="182"/>
      <c r="F87" s="67" t="s">
        <v>154</v>
      </c>
      <c r="G87" s="68">
        <v>2</v>
      </c>
      <c r="H87" s="68">
        <v>0</v>
      </c>
      <c r="I87" s="68">
        <f>G87*AO87</f>
        <v>0</v>
      </c>
      <c r="J87" s="68">
        <f>G87*AP87</f>
        <v>0</v>
      </c>
      <c r="K87" s="68">
        <f>G87*H87</f>
        <v>0</v>
      </c>
      <c r="L87" s="69" t="s">
        <v>96</v>
      </c>
      <c r="Z87" s="27">
        <f>IF(AQ87="5",BJ87,0)</f>
        <v>0</v>
      </c>
      <c r="AB87" s="27">
        <f>IF(AQ87="1",BH87,0)</f>
        <v>0</v>
      </c>
      <c r="AC87" s="27">
        <f>IF(AQ87="1",BI87,0)</f>
        <v>0</v>
      </c>
      <c r="AD87" s="27">
        <f>IF(AQ87="7",BH87,0)</f>
        <v>0</v>
      </c>
      <c r="AE87" s="27">
        <f>IF(AQ87="7",BI87,0)</f>
        <v>0</v>
      </c>
      <c r="AF87" s="27">
        <f>IF(AQ87="2",BH87,0)</f>
        <v>0</v>
      </c>
      <c r="AG87" s="27">
        <f>IF(AQ87="2",BI87,0)</f>
        <v>0</v>
      </c>
      <c r="AH87" s="27">
        <f>IF(AQ87="0",BJ87,0)</f>
        <v>0</v>
      </c>
      <c r="AI87" s="9" t="s">
        <v>53</v>
      </c>
      <c r="AJ87" s="27">
        <f>IF(AN87=0,K87,0)</f>
        <v>0</v>
      </c>
      <c r="AK87" s="27">
        <f>IF(AN87=12,K87,0)</f>
        <v>0</v>
      </c>
      <c r="AL87" s="27">
        <f>IF(AN87=21,K87,0)</f>
        <v>0</v>
      </c>
      <c r="AN87" s="27">
        <v>21</v>
      </c>
      <c r="AO87" s="27">
        <f>H87*0</f>
        <v>0</v>
      </c>
      <c r="AP87" s="27">
        <f>H87*(1-0)</f>
        <v>0</v>
      </c>
      <c r="AQ87" s="29" t="s">
        <v>84</v>
      </c>
      <c r="AV87" s="27">
        <f>AW87+AX87</f>
        <v>0</v>
      </c>
      <c r="AW87" s="27">
        <f>G87*AO87</f>
        <v>0</v>
      </c>
      <c r="AX87" s="27">
        <f>G87*AP87</f>
        <v>0</v>
      </c>
      <c r="AY87" s="29" t="s">
        <v>214</v>
      </c>
      <c r="AZ87" s="29" t="s">
        <v>206</v>
      </c>
      <c r="BA87" s="9" t="s">
        <v>63</v>
      </c>
      <c r="BC87" s="27">
        <f>AW87+AX87</f>
        <v>0</v>
      </c>
      <c r="BD87" s="27">
        <f>H87/(100-BE87)*100</f>
        <v>0</v>
      </c>
      <c r="BE87" s="27">
        <v>0</v>
      </c>
      <c r="BF87" s="27">
        <f>87</f>
        <v>87</v>
      </c>
      <c r="BH87" s="27">
        <f>G87*AO87</f>
        <v>0</v>
      </c>
      <c r="BI87" s="27">
        <f>G87*AP87</f>
        <v>0</v>
      </c>
      <c r="BJ87" s="27">
        <f>G87*H87</f>
        <v>0</v>
      </c>
      <c r="BK87" s="27"/>
      <c r="BL87" s="27">
        <v>725</v>
      </c>
      <c r="BW87" s="27">
        <v>21</v>
      </c>
    </row>
    <row r="88" spans="1:12" ht="15">
      <c r="A88" s="52"/>
      <c r="B88" s="53"/>
      <c r="C88" s="53"/>
      <c r="D88" s="54" t="s">
        <v>57</v>
      </c>
      <c r="E88" s="55" t="s">
        <v>216</v>
      </c>
      <c r="F88" s="53"/>
      <c r="G88" s="56">
        <v>1</v>
      </c>
      <c r="H88" s="53"/>
      <c r="I88" s="53"/>
      <c r="J88" s="53"/>
      <c r="K88" s="53"/>
      <c r="L88" s="57"/>
    </row>
    <row r="89" spans="1:12" ht="15">
      <c r="A89" s="52"/>
      <c r="B89" s="53"/>
      <c r="C89" s="53"/>
      <c r="D89" s="54" t="s">
        <v>57</v>
      </c>
      <c r="E89" s="55" t="s">
        <v>217</v>
      </c>
      <c r="F89" s="53"/>
      <c r="G89" s="56">
        <v>1</v>
      </c>
      <c r="H89" s="53"/>
      <c r="I89" s="53"/>
      <c r="J89" s="53"/>
      <c r="K89" s="53"/>
      <c r="L89" s="57"/>
    </row>
    <row r="90" spans="1:75" ht="13.5" customHeight="1">
      <c r="A90" s="66" t="s">
        <v>221</v>
      </c>
      <c r="B90" s="67" t="s">
        <v>53</v>
      </c>
      <c r="C90" s="67" t="s">
        <v>222</v>
      </c>
      <c r="D90" s="181" t="s">
        <v>223</v>
      </c>
      <c r="E90" s="182"/>
      <c r="F90" s="67" t="s">
        <v>224</v>
      </c>
      <c r="G90" s="68">
        <v>3</v>
      </c>
      <c r="H90" s="68">
        <v>0</v>
      </c>
      <c r="I90" s="68">
        <f>G90*AO90</f>
        <v>0</v>
      </c>
      <c r="J90" s="68">
        <f>G90*AP90</f>
        <v>0</v>
      </c>
      <c r="K90" s="68">
        <f>G90*H90</f>
        <v>0</v>
      </c>
      <c r="L90" s="69" t="s">
        <v>96</v>
      </c>
      <c r="Z90" s="27">
        <f>IF(AQ90="5",BJ90,0)</f>
        <v>0</v>
      </c>
      <c r="AB90" s="27">
        <f>IF(AQ90="1",BH90,0)</f>
        <v>0</v>
      </c>
      <c r="AC90" s="27">
        <f>IF(AQ90="1",BI90,0)</f>
        <v>0</v>
      </c>
      <c r="AD90" s="27">
        <f>IF(AQ90="7",BH90,0)</f>
        <v>0</v>
      </c>
      <c r="AE90" s="27">
        <f>IF(AQ90="7",BI90,0)</f>
        <v>0</v>
      </c>
      <c r="AF90" s="27">
        <f>IF(AQ90="2",BH90,0)</f>
        <v>0</v>
      </c>
      <c r="AG90" s="27">
        <f>IF(AQ90="2",BI90,0)</f>
        <v>0</v>
      </c>
      <c r="AH90" s="27">
        <f>IF(AQ90="0",BJ90,0)</f>
        <v>0</v>
      </c>
      <c r="AI90" s="9" t="s">
        <v>53</v>
      </c>
      <c r="AJ90" s="27">
        <f>IF(AN90=0,K90,0)</f>
        <v>0</v>
      </c>
      <c r="AK90" s="27">
        <f>IF(AN90=12,K90,0)</f>
        <v>0</v>
      </c>
      <c r="AL90" s="27">
        <f>IF(AN90=21,K90,0)</f>
        <v>0</v>
      </c>
      <c r="AN90" s="27">
        <v>21</v>
      </c>
      <c r="AO90" s="27">
        <f>H90*0.852124752</f>
        <v>0</v>
      </c>
      <c r="AP90" s="27">
        <f>H90*(1-0.852124752)</f>
        <v>0</v>
      </c>
      <c r="AQ90" s="29" t="s">
        <v>84</v>
      </c>
      <c r="AV90" s="27">
        <f>AW90+AX90</f>
        <v>0</v>
      </c>
      <c r="AW90" s="27">
        <f>G90*AO90</f>
        <v>0</v>
      </c>
      <c r="AX90" s="27">
        <f>G90*AP90</f>
        <v>0</v>
      </c>
      <c r="AY90" s="29" t="s">
        <v>214</v>
      </c>
      <c r="AZ90" s="29" t="s">
        <v>206</v>
      </c>
      <c r="BA90" s="9" t="s">
        <v>63</v>
      </c>
      <c r="BC90" s="27">
        <f>AW90+AX90</f>
        <v>0</v>
      </c>
      <c r="BD90" s="27">
        <f>H90/(100-BE90)*100</f>
        <v>0</v>
      </c>
      <c r="BE90" s="27">
        <v>0</v>
      </c>
      <c r="BF90" s="27">
        <f>90</f>
        <v>90</v>
      </c>
      <c r="BH90" s="27">
        <f>G90*AO90</f>
        <v>0</v>
      </c>
      <c r="BI90" s="27">
        <f>G90*AP90</f>
        <v>0</v>
      </c>
      <c r="BJ90" s="27">
        <f>G90*H90</f>
        <v>0</v>
      </c>
      <c r="BK90" s="27"/>
      <c r="BL90" s="27">
        <v>725</v>
      </c>
      <c r="BW90" s="27">
        <v>21</v>
      </c>
    </row>
    <row r="91" spans="1:12" ht="15">
      <c r="A91" s="52"/>
      <c r="B91" s="53"/>
      <c r="C91" s="53"/>
      <c r="D91" s="54" t="s">
        <v>72</v>
      </c>
      <c r="E91" s="55" t="s">
        <v>52</v>
      </c>
      <c r="F91" s="53"/>
      <c r="G91" s="56">
        <v>3</v>
      </c>
      <c r="H91" s="53"/>
      <c r="I91" s="53"/>
      <c r="J91" s="53"/>
      <c r="K91" s="53"/>
      <c r="L91" s="57"/>
    </row>
    <row r="92" spans="1:75" ht="13.5" customHeight="1">
      <c r="A92" s="66" t="s">
        <v>225</v>
      </c>
      <c r="B92" s="67" t="s">
        <v>53</v>
      </c>
      <c r="C92" s="67" t="s">
        <v>226</v>
      </c>
      <c r="D92" s="181" t="s">
        <v>227</v>
      </c>
      <c r="E92" s="182"/>
      <c r="F92" s="67" t="s">
        <v>224</v>
      </c>
      <c r="G92" s="68">
        <v>3</v>
      </c>
      <c r="H92" s="68">
        <v>0</v>
      </c>
      <c r="I92" s="68">
        <f>G92*AO92</f>
        <v>0</v>
      </c>
      <c r="J92" s="68">
        <f>G92*AP92</f>
        <v>0</v>
      </c>
      <c r="K92" s="68">
        <f>G92*H92</f>
        <v>0</v>
      </c>
      <c r="L92" s="69" t="s">
        <v>96</v>
      </c>
      <c r="Z92" s="27">
        <f>IF(AQ92="5",BJ92,0)</f>
        <v>0</v>
      </c>
      <c r="AB92" s="27">
        <f>IF(AQ92="1",BH92,0)</f>
        <v>0</v>
      </c>
      <c r="AC92" s="27">
        <f>IF(AQ92="1",BI92,0)</f>
        <v>0</v>
      </c>
      <c r="AD92" s="27">
        <f>IF(AQ92="7",BH92,0)</f>
        <v>0</v>
      </c>
      <c r="AE92" s="27">
        <f>IF(AQ92="7",BI92,0)</f>
        <v>0</v>
      </c>
      <c r="AF92" s="27">
        <f>IF(AQ92="2",BH92,0)</f>
        <v>0</v>
      </c>
      <c r="AG92" s="27">
        <f>IF(AQ92="2",BI92,0)</f>
        <v>0</v>
      </c>
      <c r="AH92" s="27">
        <f>IF(AQ92="0",BJ92,0)</f>
        <v>0</v>
      </c>
      <c r="AI92" s="9" t="s">
        <v>53</v>
      </c>
      <c r="AJ92" s="27">
        <f>IF(AN92=0,K92,0)</f>
        <v>0</v>
      </c>
      <c r="AK92" s="27">
        <f>IF(AN92=12,K92,0)</f>
        <v>0</v>
      </c>
      <c r="AL92" s="27">
        <f>IF(AN92=21,K92,0)</f>
        <v>0</v>
      </c>
      <c r="AN92" s="27">
        <v>21</v>
      </c>
      <c r="AO92" s="27">
        <f>H92*0.928422311</f>
        <v>0</v>
      </c>
      <c r="AP92" s="27">
        <f>H92*(1-0.928422311)</f>
        <v>0</v>
      </c>
      <c r="AQ92" s="29" t="s">
        <v>84</v>
      </c>
      <c r="AV92" s="27">
        <f>AW92+AX92</f>
        <v>0</v>
      </c>
      <c r="AW92" s="27">
        <f>G92*AO92</f>
        <v>0</v>
      </c>
      <c r="AX92" s="27">
        <f>G92*AP92</f>
        <v>0</v>
      </c>
      <c r="AY92" s="29" t="s">
        <v>214</v>
      </c>
      <c r="AZ92" s="29" t="s">
        <v>206</v>
      </c>
      <c r="BA92" s="9" t="s">
        <v>63</v>
      </c>
      <c r="BC92" s="27">
        <f>AW92+AX92</f>
        <v>0</v>
      </c>
      <c r="BD92" s="27">
        <f>H92/(100-BE92)*100</f>
        <v>0</v>
      </c>
      <c r="BE92" s="27">
        <v>0</v>
      </c>
      <c r="BF92" s="27">
        <f>92</f>
        <v>92</v>
      </c>
      <c r="BH92" s="27">
        <f>G92*AO92</f>
        <v>0</v>
      </c>
      <c r="BI92" s="27">
        <f>G92*AP92</f>
        <v>0</v>
      </c>
      <c r="BJ92" s="27">
        <f>G92*H92</f>
        <v>0</v>
      </c>
      <c r="BK92" s="27"/>
      <c r="BL92" s="27">
        <v>725</v>
      </c>
      <c r="BW92" s="27">
        <v>21</v>
      </c>
    </row>
    <row r="93" spans="1:12" ht="15">
      <c r="A93" s="52"/>
      <c r="B93" s="53"/>
      <c r="C93" s="53"/>
      <c r="D93" s="54" t="s">
        <v>72</v>
      </c>
      <c r="E93" s="55" t="s">
        <v>52</v>
      </c>
      <c r="F93" s="53"/>
      <c r="G93" s="56">
        <v>3</v>
      </c>
      <c r="H93" s="53"/>
      <c r="I93" s="53"/>
      <c r="J93" s="53"/>
      <c r="K93" s="53"/>
      <c r="L93" s="57"/>
    </row>
    <row r="94" spans="1:75" ht="13.5" customHeight="1">
      <c r="A94" s="66" t="s">
        <v>228</v>
      </c>
      <c r="B94" s="67" t="s">
        <v>53</v>
      </c>
      <c r="C94" s="67" t="s">
        <v>229</v>
      </c>
      <c r="D94" s="181" t="s">
        <v>230</v>
      </c>
      <c r="E94" s="182"/>
      <c r="F94" s="67" t="s">
        <v>224</v>
      </c>
      <c r="G94" s="68">
        <v>3</v>
      </c>
      <c r="H94" s="68">
        <v>0</v>
      </c>
      <c r="I94" s="68">
        <f>G94*AO94</f>
        <v>0</v>
      </c>
      <c r="J94" s="68">
        <f>G94*AP94</f>
        <v>0</v>
      </c>
      <c r="K94" s="68">
        <f>G94*H94</f>
        <v>0</v>
      </c>
      <c r="L94" s="69" t="s">
        <v>96</v>
      </c>
      <c r="Z94" s="27">
        <f>IF(AQ94="5",BJ94,0)</f>
        <v>0</v>
      </c>
      <c r="AB94" s="27">
        <f>IF(AQ94="1",BH94,0)</f>
        <v>0</v>
      </c>
      <c r="AC94" s="27">
        <f>IF(AQ94="1",BI94,0)</f>
        <v>0</v>
      </c>
      <c r="AD94" s="27">
        <f>IF(AQ94="7",BH94,0)</f>
        <v>0</v>
      </c>
      <c r="AE94" s="27">
        <f>IF(AQ94="7",BI94,0)</f>
        <v>0</v>
      </c>
      <c r="AF94" s="27">
        <f>IF(AQ94="2",BH94,0)</f>
        <v>0</v>
      </c>
      <c r="AG94" s="27">
        <f>IF(AQ94="2",BI94,0)</f>
        <v>0</v>
      </c>
      <c r="AH94" s="27">
        <f>IF(AQ94="0",BJ94,0)</f>
        <v>0</v>
      </c>
      <c r="AI94" s="9" t="s">
        <v>53</v>
      </c>
      <c r="AJ94" s="27">
        <f>IF(AN94=0,K94,0)</f>
        <v>0</v>
      </c>
      <c r="AK94" s="27">
        <f>IF(AN94=12,K94,0)</f>
        <v>0</v>
      </c>
      <c r="AL94" s="27">
        <f>IF(AN94=21,K94,0)</f>
        <v>0</v>
      </c>
      <c r="AN94" s="27">
        <v>21</v>
      </c>
      <c r="AO94" s="27">
        <f>H94*0.867372881</f>
        <v>0</v>
      </c>
      <c r="AP94" s="27">
        <f>H94*(1-0.867372881)</f>
        <v>0</v>
      </c>
      <c r="AQ94" s="29" t="s">
        <v>84</v>
      </c>
      <c r="AV94" s="27">
        <f>AW94+AX94</f>
        <v>0</v>
      </c>
      <c r="AW94" s="27">
        <f>G94*AO94</f>
        <v>0</v>
      </c>
      <c r="AX94" s="27">
        <f>G94*AP94</f>
        <v>0</v>
      </c>
      <c r="AY94" s="29" t="s">
        <v>214</v>
      </c>
      <c r="AZ94" s="29" t="s">
        <v>206</v>
      </c>
      <c r="BA94" s="9" t="s">
        <v>63</v>
      </c>
      <c r="BC94" s="27">
        <f>AW94+AX94</f>
        <v>0</v>
      </c>
      <c r="BD94" s="27">
        <f>H94/(100-BE94)*100</f>
        <v>0</v>
      </c>
      <c r="BE94" s="27">
        <v>0</v>
      </c>
      <c r="BF94" s="27">
        <f>94</f>
        <v>94</v>
      </c>
      <c r="BH94" s="27">
        <f>G94*AO94</f>
        <v>0</v>
      </c>
      <c r="BI94" s="27">
        <f>G94*AP94</f>
        <v>0</v>
      </c>
      <c r="BJ94" s="27">
        <f>G94*H94</f>
        <v>0</v>
      </c>
      <c r="BK94" s="27"/>
      <c r="BL94" s="27">
        <v>725</v>
      </c>
      <c r="BW94" s="27">
        <v>21</v>
      </c>
    </row>
    <row r="95" spans="1:12" ht="15">
      <c r="A95" s="52"/>
      <c r="B95" s="53"/>
      <c r="C95" s="53"/>
      <c r="D95" s="54" t="s">
        <v>72</v>
      </c>
      <c r="E95" s="55" t="s">
        <v>52</v>
      </c>
      <c r="F95" s="53"/>
      <c r="G95" s="56">
        <v>3</v>
      </c>
      <c r="H95" s="53"/>
      <c r="I95" s="53"/>
      <c r="J95" s="53"/>
      <c r="K95" s="53"/>
      <c r="L95" s="57"/>
    </row>
    <row r="96" spans="1:75" ht="13.5" customHeight="1">
      <c r="A96" s="66" t="s">
        <v>231</v>
      </c>
      <c r="B96" s="67" t="s">
        <v>53</v>
      </c>
      <c r="C96" s="67" t="s">
        <v>232</v>
      </c>
      <c r="D96" s="181" t="s">
        <v>233</v>
      </c>
      <c r="E96" s="182"/>
      <c r="F96" s="67" t="s">
        <v>224</v>
      </c>
      <c r="G96" s="68">
        <v>3</v>
      </c>
      <c r="H96" s="68">
        <v>0</v>
      </c>
      <c r="I96" s="68">
        <f>G96*AO96</f>
        <v>0</v>
      </c>
      <c r="J96" s="68">
        <f>G96*AP96</f>
        <v>0</v>
      </c>
      <c r="K96" s="68">
        <f>G96*H96</f>
        <v>0</v>
      </c>
      <c r="L96" s="69" t="s">
        <v>96</v>
      </c>
      <c r="Z96" s="27">
        <f>IF(AQ96="5",BJ96,0)</f>
        <v>0</v>
      </c>
      <c r="AB96" s="27">
        <f>IF(AQ96="1",BH96,0)</f>
        <v>0</v>
      </c>
      <c r="AC96" s="27">
        <f>IF(AQ96="1",BI96,0)</f>
        <v>0</v>
      </c>
      <c r="AD96" s="27">
        <f>IF(AQ96="7",BH96,0)</f>
        <v>0</v>
      </c>
      <c r="AE96" s="27">
        <f>IF(AQ96="7",BI96,0)</f>
        <v>0</v>
      </c>
      <c r="AF96" s="27">
        <f>IF(AQ96="2",BH96,0)</f>
        <v>0</v>
      </c>
      <c r="AG96" s="27">
        <f>IF(AQ96="2",BI96,0)</f>
        <v>0</v>
      </c>
      <c r="AH96" s="27">
        <f>IF(AQ96="0",BJ96,0)</f>
        <v>0</v>
      </c>
      <c r="AI96" s="9" t="s">
        <v>53</v>
      </c>
      <c r="AJ96" s="27">
        <f>IF(AN96=0,K96,0)</f>
        <v>0</v>
      </c>
      <c r="AK96" s="27">
        <f>IF(AN96=12,K96,0)</f>
        <v>0</v>
      </c>
      <c r="AL96" s="27">
        <f>IF(AN96=21,K96,0)</f>
        <v>0</v>
      </c>
      <c r="AN96" s="27">
        <v>21</v>
      </c>
      <c r="AO96" s="27">
        <f>H96*0.944845815</f>
        <v>0</v>
      </c>
      <c r="AP96" s="27">
        <f>H96*(1-0.944845815)</f>
        <v>0</v>
      </c>
      <c r="AQ96" s="29" t="s">
        <v>84</v>
      </c>
      <c r="AV96" s="27">
        <f>AW96+AX96</f>
        <v>0</v>
      </c>
      <c r="AW96" s="27">
        <f>G96*AO96</f>
        <v>0</v>
      </c>
      <c r="AX96" s="27">
        <f>G96*AP96</f>
        <v>0</v>
      </c>
      <c r="AY96" s="29" t="s">
        <v>214</v>
      </c>
      <c r="AZ96" s="29" t="s">
        <v>206</v>
      </c>
      <c r="BA96" s="9" t="s">
        <v>63</v>
      </c>
      <c r="BC96" s="27">
        <f>AW96+AX96</f>
        <v>0</v>
      </c>
      <c r="BD96" s="27">
        <f>H96/(100-BE96)*100</f>
        <v>0</v>
      </c>
      <c r="BE96" s="27">
        <v>0</v>
      </c>
      <c r="BF96" s="27">
        <f>96</f>
        <v>96</v>
      </c>
      <c r="BH96" s="27">
        <f>G96*AO96</f>
        <v>0</v>
      </c>
      <c r="BI96" s="27">
        <f>G96*AP96</f>
        <v>0</v>
      </c>
      <c r="BJ96" s="27">
        <f>G96*H96</f>
        <v>0</v>
      </c>
      <c r="BK96" s="27"/>
      <c r="BL96" s="27">
        <v>725</v>
      </c>
      <c r="BW96" s="27">
        <v>21</v>
      </c>
    </row>
    <row r="97" spans="1:12" ht="15">
      <c r="A97" s="52"/>
      <c r="B97" s="53"/>
      <c r="C97" s="53"/>
      <c r="D97" s="54" t="s">
        <v>72</v>
      </c>
      <c r="E97" s="55" t="s">
        <v>52</v>
      </c>
      <c r="F97" s="53"/>
      <c r="G97" s="56">
        <v>3</v>
      </c>
      <c r="H97" s="53"/>
      <c r="I97" s="53"/>
      <c r="J97" s="53"/>
      <c r="K97" s="53"/>
      <c r="L97" s="57"/>
    </row>
    <row r="98" spans="1:75" ht="13.5" customHeight="1">
      <c r="A98" s="66" t="s">
        <v>234</v>
      </c>
      <c r="B98" s="67" t="s">
        <v>53</v>
      </c>
      <c r="C98" s="67" t="s">
        <v>235</v>
      </c>
      <c r="D98" s="181" t="s">
        <v>236</v>
      </c>
      <c r="E98" s="182"/>
      <c r="F98" s="67" t="s">
        <v>224</v>
      </c>
      <c r="G98" s="68">
        <v>6</v>
      </c>
      <c r="H98" s="68">
        <v>0</v>
      </c>
      <c r="I98" s="68">
        <f>G98*AO98</f>
        <v>0</v>
      </c>
      <c r="J98" s="68">
        <f>G98*AP98</f>
        <v>0</v>
      </c>
      <c r="K98" s="68">
        <f>G98*H98</f>
        <v>0</v>
      </c>
      <c r="L98" s="69" t="s">
        <v>70</v>
      </c>
      <c r="Z98" s="27">
        <f>IF(AQ98="5",BJ98,0)</f>
        <v>0</v>
      </c>
      <c r="AB98" s="27">
        <f>IF(AQ98="1",BH98,0)</f>
        <v>0</v>
      </c>
      <c r="AC98" s="27">
        <f>IF(AQ98="1",BI98,0)</f>
        <v>0</v>
      </c>
      <c r="AD98" s="27">
        <f>IF(AQ98="7",BH98,0)</f>
        <v>0</v>
      </c>
      <c r="AE98" s="27">
        <f>IF(AQ98="7",BI98,0)</f>
        <v>0</v>
      </c>
      <c r="AF98" s="27">
        <f>IF(AQ98="2",BH98,0)</f>
        <v>0</v>
      </c>
      <c r="AG98" s="27">
        <f>IF(AQ98="2",BI98,0)</f>
        <v>0</v>
      </c>
      <c r="AH98" s="27">
        <f>IF(AQ98="0",BJ98,0)</f>
        <v>0</v>
      </c>
      <c r="AI98" s="9" t="s">
        <v>53</v>
      </c>
      <c r="AJ98" s="27">
        <f>IF(AN98=0,K98,0)</f>
        <v>0</v>
      </c>
      <c r="AK98" s="27">
        <f>IF(AN98=12,K98,0)</f>
        <v>0</v>
      </c>
      <c r="AL98" s="27">
        <f>IF(AN98=21,K98,0)</f>
        <v>0</v>
      </c>
      <c r="AN98" s="27">
        <v>21</v>
      </c>
      <c r="AO98" s="27">
        <f>H98*0.928454545</f>
        <v>0</v>
      </c>
      <c r="AP98" s="27">
        <f>H98*(1-0.928454545)</f>
        <v>0</v>
      </c>
      <c r="AQ98" s="29" t="s">
        <v>84</v>
      </c>
      <c r="AV98" s="27">
        <f>AW98+AX98</f>
        <v>0</v>
      </c>
      <c r="AW98" s="27">
        <f>G98*AO98</f>
        <v>0</v>
      </c>
      <c r="AX98" s="27">
        <f>G98*AP98</f>
        <v>0</v>
      </c>
      <c r="AY98" s="29" t="s">
        <v>214</v>
      </c>
      <c r="AZ98" s="29" t="s">
        <v>206</v>
      </c>
      <c r="BA98" s="9" t="s">
        <v>63</v>
      </c>
      <c r="BC98" s="27">
        <f>AW98+AX98</f>
        <v>0</v>
      </c>
      <c r="BD98" s="27">
        <f>H98/(100-BE98)*100</f>
        <v>0</v>
      </c>
      <c r="BE98" s="27">
        <v>0</v>
      </c>
      <c r="BF98" s="27">
        <f>98</f>
        <v>98</v>
      </c>
      <c r="BH98" s="27">
        <f>G98*AO98</f>
        <v>0</v>
      </c>
      <c r="BI98" s="27">
        <f>G98*AP98</f>
        <v>0</v>
      </c>
      <c r="BJ98" s="27">
        <f>G98*H98</f>
        <v>0</v>
      </c>
      <c r="BK98" s="27"/>
      <c r="BL98" s="27">
        <v>725</v>
      </c>
      <c r="BW98" s="27">
        <v>21</v>
      </c>
    </row>
    <row r="99" spans="1:12" ht="15">
      <c r="A99" s="52"/>
      <c r="B99" s="53"/>
      <c r="C99" s="53"/>
      <c r="D99" s="54" t="s">
        <v>237</v>
      </c>
      <c r="E99" s="55" t="s">
        <v>52</v>
      </c>
      <c r="F99" s="53"/>
      <c r="G99" s="56">
        <v>6</v>
      </c>
      <c r="H99" s="53"/>
      <c r="I99" s="53"/>
      <c r="J99" s="53"/>
      <c r="K99" s="53"/>
      <c r="L99" s="57"/>
    </row>
    <row r="100" spans="1:75" ht="13.5" customHeight="1">
      <c r="A100" s="80" t="s">
        <v>238</v>
      </c>
      <c r="B100" s="81" t="s">
        <v>53</v>
      </c>
      <c r="C100" s="81" t="s">
        <v>239</v>
      </c>
      <c r="D100" s="187" t="s">
        <v>240</v>
      </c>
      <c r="E100" s="188"/>
      <c r="F100" s="81" t="s">
        <v>154</v>
      </c>
      <c r="G100" s="82">
        <v>3</v>
      </c>
      <c r="H100" s="82">
        <v>0</v>
      </c>
      <c r="I100" s="82">
        <f>G100*AO100</f>
        <v>0</v>
      </c>
      <c r="J100" s="82">
        <f>G100*AP100</f>
        <v>0</v>
      </c>
      <c r="K100" s="82">
        <f>G100*H100</f>
        <v>0</v>
      </c>
      <c r="L100" s="83" t="s">
        <v>96</v>
      </c>
      <c r="Z100" s="27">
        <f>IF(AQ100="5",BJ100,0)</f>
        <v>0</v>
      </c>
      <c r="AB100" s="27">
        <f>IF(AQ100="1",BH100,0)</f>
        <v>0</v>
      </c>
      <c r="AC100" s="27">
        <f>IF(AQ100="1",BI100,0)</f>
        <v>0</v>
      </c>
      <c r="AD100" s="27">
        <f>IF(AQ100="7",BH100,0)</f>
        <v>0</v>
      </c>
      <c r="AE100" s="27">
        <f>IF(AQ100="7",BI100,0)</f>
        <v>0</v>
      </c>
      <c r="AF100" s="27">
        <f>IF(AQ100="2",BH100,0)</f>
        <v>0</v>
      </c>
      <c r="AG100" s="27">
        <f>IF(AQ100="2",BI100,0)</f>
        <v>0</v>
      </c>
      <c r="AH100" s="27">
        <f>IF(AQ100="0",BJ100,0)</f>
        <v>0</v>
      </c>
      <c r="AI100" s="9" t="s">
        <v>53</v>
      </c>
      <c r="AJ100" s="62">
        <f>IF(AN100=0,K100,0)</f>
        <v>0</v>
      </c>
      <c r="AK100" s="62">
        <f>IF(AN100=12,K100,0)</f>
        <v>0</v>
      </c>
      <c r="AL100" s="62">
        <f>IF(AN100=21,K100,0)</f>
        <v>0</v>
      </c>
      <c r="AN100" s="27">
        <v>21</v>
      </c>
      <c r="AO100" s="27">
        <f>H100*1</f>
        <v>0</v>
      </c>
      <c r="AP100" s="27">
        <f>H100*(1-1)</f>
        <v>0</v>
      </c>
      <c r="AQ100" s="64" t="s">
        <v>84</v>
      </c>
      <c r="AV100" s="27">
        <f>AW100+AX100</f>
        <v>0</v>
      </c>
      <c r="AW100" s="27">
        <f>G100*AO100</f>
        <v>0</v>
      </c>
      <c r="AX100" s="27">
        <f>G100*AP100</f>
        <v>0</v>
      </c>
      <c r="AY100" s="29" t="s">
        <v>214</v>
      </c>
      <c r="AZ100" s="29" t="s">
        <v>206</v>
      </c>
      <c r="BA100" s="9" t="s">
        <v>63</v>
      </c>
      <c r="BC100" s="27">
        <f>AW100+AX100</f>
        <v>0</v>
      </c>
      <c r="BD100" s="27">
        <f>H100/(100-BE100)*100</f>
        <v>0</v>
      </c>
      <c r="BE100" s="27">
        <v>0</v>
      </c>
      <c r="BF100" s="27">
        <f>100</f>
        <v>100</v>
      </c>
      <c r="BH100" s="62">
        <f>G100*AO100</f>
        <v>0</v>
      </c>
      <c r="BI100" s="62">
        <f>G100*AP100</f>
        <v>0</v>
      </c>
      <c r="BJ100" s="62">
        <f>G100*H100</f>
        <v>0</v>
      </c>
      <c r="BK100" s="62"/>
      <c r="BL100" s="27">
        <v>725</v>
      </c>
      <c r="BW100" s="27">
        <v>21</v>
      </c>
    </row>
    <row r="101" spans="1:12" ht="15">
      <c r="A101" s="52"/>
      <c r="B101" s="53"/>
      <c r="C101" s="53"/>
      <c r="D101" s="54" t="s">
        <v>72</v>
      </c>
      <c r="E101" s="55" t="s">
        <v>52</v>
      </c>
      <c r="F101" s="53"/>
      <c r="G101" s="56">
        <v>3</v>
      </c>
      <c r="H101" s="53"/>
      <c r="I101" s="53"/>
      <c r="J101" s="53"/>
      <c r="K101" s="53"/>
      <c r="L101" s="57"/>
    </row>
    <row r="102" spans="1:47" ht="15">
      <c r="A102" s="75" t="s">
        <v>52</v>
      </c>
      <c r="B102" s="76" t="s">
        <v>53</v>
      </c>
      <c r="C102" s="76" t="s">
        <v>241</v>
      </c>
      <c r="D102" s="185" t="s">
        <v>242</v>
      </c>
      <c r="E102" s="186"/>
      <c r="F102" s="77" t="s">
        <v>4</v>
      </c>
      <c r="G102" s="77" t="s">
        <v>4</v>
      </c>
      <c r="H102" s="77" t="s">
        <v>4</v>
      </c>
      <c r="I102" s="78">
        <f>SUM(I103:I103)</f>
        <v>0</v>
      </c>
      <c r="J102" s="78">
        <f>SUM(J103:J103)</f>
        <v>0</v>
      </c>
      <c r="K102" s="78">
        <f>SUM(K103:K103)</f>
        <v>0</v>
      </c>
      <c r="L102" s="79" t="s">
        <v>52</v>
      </c>
      <c r="AI102" s="9" t="s">
        <v>53</v>
      </c>
      <c r="AS102" s="1">
        <f>SUM(AJ103:AJ103)</f>
        <v>0</v>
      </c>
      <c r="AT102" s="1">
        <f>SUM(AK103:AK103)</f>
        <v>0</v>
      </c>
      <c r="AU102" s="1">
        <f>SUM(AL103:AL103)</f>
        <v>0</v>
      </c>
    </row>
    <row r="103" spans="1:75" ht="13.5" customHeight="1">
      <c r="A103" s="66" t="s">
        <v>90</v>
      </c>
      <c r="B103" s="67" t="s">
        <v>53</v>
      </c>
      <c r="C103" s="67" t="s">
        <v>243</v>
      </c>
      <c r="D103" s="181" t="s">
        <v>244</v>
      </c>
      <c r="E103" s="182"/>
      <c r="F103" s="67" t="s">
        <v>154</v>
      </c>
      <c r="G103" s="68">
        <v>3</v>
      </c>
      <c r="H103" s="68">
        <v>0</v>
      </c>
      <c r="I103" s="68">
        <f>G103*AO103</f>
        <v>0</v>
      </c>
      <c r="J103" s="68">
        <f>G103*AP103</f>
        <v>0</v>
      </c>
      <c r="K103" s="68">
        <f>G103*H103</f>
        <v>0</v>
      </c>
      <c r="L103" s="69" t="s">
        <v>96</v>
      </c>
      <c r="Z103" s="27">
        <f>IF(AQ103="5",BJ103,0)</f>
        <v>0</v>
      </c>
      <c r="AB103" s="27">
        <f>IF(AQ103="1",BH103,0)</f>
        <v>0</v>
      </c>
      <c r="AC103" s="27">
        <f>IF(AQ103="1",BI103,0)</f>
        <v>0</v>
      </c>
      <c r="AD103" s="27">
        <f>IF(AQ103="7",BH103,0)</f>
        <v>0</v>
      </c>
      <c r="AE103" s="27">
        <f>IF(AQ103="7",BI103,0)</f>
        <v>0</v>
      </c>
      <c r="AF103" s="27">
        <f>IF(AQ103="2",BH103,0)</f>
        <v>0</v>
      </c>
      <c r="AG103" s="27">
        <f>IF(AQ103="2",BI103,0)</f>
        <v>0</v>
      </c>
      <c r="AH103" s="27">
        <f>IF(AQ103="0",BJ103,0)</f>
        <v>0</v>
      </c>
      <c r="AI103" s="9" t="s">
        <v>53</v>
      </c>
      <c r="AJ103" s="27">
        <f>IF(AN103=0,K103,0)</f>
        <v>0</v>
      </c>
      <c r="AK103" s="27">
        <f>IF(AN103=12,K103,0)</f>
        <v>0</v>
      </c>
      <c r="AL103" s="27">
        <f>IF(AN103=21,K103,0)</f>
        <v>0</v>
      </c>
      <c r="AN103" s="27">
        <v>21</v>
      </c>
      <c r="AO103" s="27">
        <f>H103*0.095969582</f>
        <v>0</v>
      </c>
      <c r="AP103" s="27">
        <f>H103*(1-0.095969582)</f>
        <v>0</v>
      </c>
      <c r="AQ103" s="29" t="s">
        <v>84</v>
      </c>
      <c r="AV103" s="27">
        <f>AW103+AX103</f>
        <v>0</v>
      </c>
      <c r="AW103" s="27">
        <f>G103*AO103</f>
        <v>0</v>
      </c>
      <c r="AX103" s="27">
        <f>G103*AP103</f>
        <v>0</v>
      </c>
      <c r="AY103" s="29" t="s">
        <v>245</v>
      </c>
      <c r="AZ103" s="29" t="s">
        <v>246</v>
      </c>
      <c r="BA103" s="9" t="s">
        <v>63</v>
      </c>
      <c r="BC103" s="27">
        <f>AW103+AX103</f>
        <v>0</v>
      </c>
      <c r="BD103" s="27">
        <f>H103/(100-BE103)*100</f>
        <v>0</v>
      </c>
      <c r="BE103" s="27">
        <v>0</v>
      </c>
      <c r="BF103" s="27">
        <f>103</f>
        <v>103</v>
      </c>
      <c r="BH103" s="27">
        <f>G103*AO103</f>
        <v>0</v>
      </c>
      <c r="BI103" s="27">
        <f>G103*AP103</f>
        <v>0</v>
      </c>
      <c r="BJ103" s="27">
        <f>G103*H103</f>
        <v>0</v>
      </c>
      <c r="BK103" s="27"/>
      <c r="BL103" s="27">
        <v>735</v>
      </c>
      <c r="BW103" s="27">
        <v>21</v>
      </c>
    </row>
    <row r="104" spans="1:12" ht="15">
      <c r="A104" s="52"/>
      <c r="B104" s="53"/>
      <c r="C104" s="53"/>
      <c r="D104" s="54" t="s">
        <v>57</v>
      </c>
      <c r="E104" s="55" t="s">
        <v>247</v>
      </c>
      <c r="F104" s="53"/>
      <c r="G104" s="56">
        <v>1</v>
      </c>
      <c r="H104" s="53"/>
      <c r="I104" s="53"/>
      <c r="J104" s="53"/>
      <c r="K104" s="53"/>
      <c r="L104" s="57"/>
    </row>
    <row r="105" spans="1:12" ht="15">
      <c r="A105" s="52"/>
      <c r="B105" s="53"/>
      <c r="C105" s="53"/>
      <c r="D105" s="54" t="s">
        <v>57</v>
      </c>
      <c r="E105" s="55" t="s">
        <v>248</v>
      </c>
      <c r="F105" s="53"/>
      <c r="G105" s="56">
        <v>1</v>
      </c>
      <c r="H105" s="53"/>
      <c r="I105" s="53"/>
      <c r="J105" s="53"/>
      <c r="K105" s="53"/>
      <c r="L105" s="57"/>
    </row>
    <row r="106" spans="1:12" ht="15">
      <c r="A106" s="52"/>
      <c r="B106" s="53"/>
      <c r="C106" s="53"/>
      <c r="D106" s="54" t="s">
        <v>57</v>
      </c>
      <c r="E106" s="55" t="s">
        <v>249</v>
      </c>
      <c r="F106" s="53"/>
      <c r="G106" s="56">
        <v>1</v>
      </c>
      <c r="H106" s="53"/>
      <c r="I106" s="53"/>
      <c r="J106" s="53"/>
      <c r="K106" s="53"/>
      <c r="L106" s="57"/>
    </row>
    <row r="107" spans="1:47" ht="15">
      <c r="A107" s="75" t="s">
        <v>52</v>
      </c>
      <c r="B107" s="76" t="s">
        <v>53</v>
      </c>
      <c r="C107" s="76" t="s">
        <v>250</v>
      </c>
      <c r="D107" s="185" t="s">
        <v>251</v>
      </c>
      <c r="E107" s="186"/>
      <c r="F107" s="77" t="s">
        <v>4</v>
      </c>
      <c r="G107" s="77" t="s">
        <v>4</v>
      </c>
      <c r="H107" s="77" t="s">
        <v>4</v>
      </c>
      <c r="I107" s="78">
        <f>SUM(I108:I117)</f>
        <v>0</v>
      </c>
      <c r="J107" s="78">
        <f>SUM(J108:J117)</f>
        <v>0</v>
      </c>
      <c r="K107" s="78">
        <f>SUM(K108:K117)</f>
        <v>0</v>
      </c>
      <c r="L107" s="79" t="s">
        <v>52</v>
      </c>
      <c r="AI107" s="9" t="s">
        <v>53</v>
      </c>
      <c r="AS107" s="1">
        <f>SUM(AJ108:AJ117)</f>
        <v>0</v>
      </c>
      <c r="AT107" s="1">
        <f>SUM(AK108:AK117)</f>
        <v>0</v>
      </c>
      <c r="AU107" s="1">
        <f>SUM(AL108:AL117)</f>
        <v>0</v>
      </c>
    </row>
    <row r="108" spans="1:75" ht="13.5" customHeight="1">
      <c r="A108" s="66" t="s">
        <v>252</v>
      </c>
      <c r="B108" s="67" t="s">
        <v>53</v>
      </c>
      <c r="C108" s="67" t="s">
        <v>253</v>
      </c>
      <c r="D108" s="181" t="s">
        <v>254</v>
      </c>
      <c r="E108" s="182"/>
      <c r="F108" s="67" t="s">
        <v>154</v>
      </c>
      <c r="G108" s="68">
        <v>9</v>
      </c>
      <c r="H108" s="68">
        <v>0</v>
      </c>
      <c r="I108" s="68">
        <f>G108*AO108</f>
        <v>0</v>
      </c>
      <c r="J108" s="68">
        <f>G108*AP108</f>
        <v>0</v>
      </c>
      <c r="K108" s="68">
        <f>G108*H108</f>
        <v>0</v>
      </c>
      <c r="L108" s="69" t="s">
        <v>96</v>
      </c>
      <c r="Z108" s="27">
        <f>IF(AQ108="5",BJ108,0)</f>
        <v>0</v>
      </c>
      <c r="AB108" s="27">
        <f>IF(AQ108="1",BH108,0)</f>
        <v>0</v>
      </c>
      <c r="AC108" s="27">
        <f>IF(AQ108="1",BI108,0)</f>
        <v>0</v>
      </c>
      <c r="AD108" s="27">
        <f>IF(AQ108="7",BH108,0)</f>
        <v>0</v>
      </c>
      <c r="AE108" s="27">
        <f>IF(AQ108="7",BI108,0)</f>
        <v>0</v>
      </c>
      <c r="AF108" s="27">
        <f>IF(AQ108="2",BH108,0)</f>
        <v>0</v>
      </c>
      <c r="AG108" s="27">
        <f>IF(AQ108="2",BI108,0)</f>
        <v>0</v>
      </c>
      <c r="AH108" s="27">
        <f>IF(AQ108="0",BJ108,0)</f>
        <v>0</v>
      </c>
      <c r="AI108" s="9" t="s">
        <v>53</v>
      </c>
      <c r="AJ108" s="27">
        <f>IF(AN108=0,K108,0)</f>
        <v>0</v>
      </c>
      <c r="AK108" s="27">
        <f>IF(AN108=12,K108,0)</f>
        <v>0</v>
      </c>
      <c r="AL108" s="27">
        <f>IF(AN108=21,K108,0)</f>
        <v>0</v>
      </c>
      <c r="AN108" s="27">
        <v>21</v>
      </c>
      <c r="AO108" s="27">
        <f>H108*0.066666667</f>
        <v>0</v>
      </c>
      <c r="AP108" s="27">
        <f>H108*(1-0.066666667)</f>
        <v>0</v>
      </c>
      <c r="AQ108" s="29" t="s">
        <v>84</v>
      </c>
      <c r="AV108" s="27">
        <f>AW108+AX108</f>
        <v>0</v>
      </c>
      <c r="AW108" s="27">
        <f>G108*AO108</f>
        <v>0</v>
      </c>
      <c r="AX108" s="27">
        <f>G108*AP108</f>
        <v>0</v>
      </c>
      <c r="AY108" s="29" t="s">
        <v>255</v>
      </c>
      <c r="AZ108" s="29" t="s">
        <v>256</v>
      </c>
      <c r="BA108" s="9" t="s">
        <v>63</v>
      </c>
      <c r="BC108" s="27">
        <f>AW108+AX108</f>
        <v>0</v>
      </c>
      <c r="BD108" s="27">
        <f>H108/(100-BE108)*100</f>
        <v>0</v>
      </c>
      <c r="BE108" s="27">
        <v>0</v>
      </c>
      <c r="BF108" s="27">
        <f>108</f>
        <v>108</v>
      </c>
      <c r="BH108" s="27">
        <f>G108*AO108</f>
        <v>0</v>
      </c>
      <c r="BI108" s="27">
        <f>G108*AP108</f>
        <v>0</v>
      </c>
      <c r="BJ108" s="27">
        <f>G108*H108</f>
        <v>0</v>
      </c>
      <c r="BK108" s="27"/>
      <c r="BL108" s="27">
        <v>767</v>
      </c>
      <c r="BW108" s="27">
        <v>21</v>
      </c>
    </row>
    <row r="109" spans="1:12" ht="13.5" customHeight="1">
      <c r="A109" s="45"/>
      <c r="D109" s="173" t="s">
        <v>257</v>
      </c>
      <c r="E109" s="174"/>
      <c r="F109" s="174"/>
      <c r="G109" s="174"/>
      <c r="H109" s="174"/>
      <c r="I109" s="174"/>
      <c r="J109" s="174"/>
      <c r="K109" s="174"/>
      <c r="L109" s="175"/>
    </row>
    <row r="110" spans="1:12" ht="15">
      <c r="A110" s="46"/>
      <c r="B110" s="47"/>
      <c r="C110" s="47"/>
      <c r="D110" s="48" t="s">
        <v>258</v>
      </c>
      <c r="E110" s="49" t="s">
        <v>259</v>
      </c>
      <c r="F110" s="47"/>
      <c r="G110" s="50">
        <v>3</v>
      </c>
      <c r="H110" s="47"/>
      <c r="I110" s="47"/>
      <c r="J110" s="47"/>
      <c r="K110" s="47"/>
      <c r="L110" s="51"/>
    </row>
    <row r="111" spans="1:12" ht="15">
      <c r="A111" s="52"/>
      <c r="B111" s="53"/>
      <c r="C111" s="53"/>
      <c r="D111" s="54" t="s">
        <v>258</v>
      </c>
      <c r="E111" s="55" t="s">
        <v>260</v>
      </c>
      <c r="F111" s="53"/>
      <c r="G111" s="56">
        <v>3</v>
      </c>
      <c r="H111" s="53"/>
      <c r="I111" s="53"/>
      <c r="J111" s="53"/>
      <c r="K111" s="53"/>
      <c r="L111" s="57"/>
    </row>
    <row r="112" spans="1:12" ht="15">
      <c r="A112" s="52"/>
      <c r="B112" s="53"/>
      <c r="C112" s="53"/>
      <c r="D112" s="54" t="s">
        <v>258</v>
      </c>
      <c r="E112" s="55" t="s">
        <v>261</v>
      </c>
      <c r="F112" s="53"/>
      <c r="G112" s="56">
        <v>3</v>
      </c>
      <c r="H112" s="53"/>
      <c r="I112" s="53"/>
      <c r="J112" s="53"/>
      <c r="K112" s="53"/>
      <c r="L112" s="57"/>
    </row>
    <row r="113" spans="1:75" ht="13.5" customHeight="1">
      <c r="A113" s="80" t="s">
        <v>262</v>
      </c>
      <c r="B113" s="81" t="s">
        <v>53</v>
      </c>
      <c r="C113" s="81" t="s">
        <v>263</v>
      </c>
      <c r="D113" s="187" t="s">
        <v>259</v>
      </c>
      <c r="E113" s="188"/>
      <c r="F113" s="81" t="s">
        <v>154</v>
      </c>
      <c r="G113" s="82">
        <v>3</v>
      </c>
      <c r="H113" s="82">
        <v>0</v>
      </c>
      <c r="I113" s="82">
        <f>G113*AO113</f>
        <v>0</v>
      </c>
      <c r="J113" s="82">
        <f>G113*AP113</f>
        <v>0</v>
      </c>
      <c r="K113" s="82">
        <f>G113*H113</f>
        <v>0</v>
      </c>
      <c r="L113" s="83" t="s">
        <v>96</v>
      </c>
      <c r="Z113" s="27">
        <f>IF(AQ113="5",BJ113,0)</f>
        <v>0</v>
      </c>
      <c r="AB113" s="27">
        <f>IF(AQ113="1",BH113,0)</f>
        <v>0</v>
      </c>
      <c r="AC113" s="27">
        <f>IF(AQ113="1",BI113,0)</f>
        <v>0</v>
      </c>
      <c r="AD113" s="27">
        <f>IF(AQ113="7",BH113,0)</f>
        <v>0</v>
      </c>
      <c r="AE113" s="27">
        <f>IF(AQ113="7",BI113,0)</f>
        <v>0</v>
      </c>
      <c r="AF113" s="27">
        <f>IF(AQ113="2",BH113,0)</f>
        <v>0</v>
      </c>
      <c r="AG113" s="27">
        <f>IF(AQ113="2",BI113,0)</f>
        <v>0</v>
      </c>
      <c r="AH113" s="27">
        <f>IF(AQ113="0",BJ113,0)</f>
        <v>0</v>
      </c>
      <c r="AI113" s="9" t="s">
        <v>53</v>
      </c>
      <c r="AJ113" s="62">
        <f>IF(AN113=0,K113,0)</f>
        <v>0</v>
      </c>
      <c r="AK113" s="62">
        <f>IF(AN113=12,K113,0)</f>
        <v>0</v>
      </c>
      <c r="AL113" s="62">
        <f>IF(AN113=21,K113,0)</f>
        <v>0</v>
      </c>
      <c r="AN113" s="27">
        <v>21</v>
      </c>
      <c r="AO113" s="27">
        <f>H113*1</f>
        <v>0</v>
      </c>
      <c r="AP113" s="27">
        <f>H113*(1-1)</f>
        <v>0</v>
      </c>
      <c r="AQ113" s="64" t="s">
        <v>84</v>
      </c>
      <c r="AV113" s="27">
        <f>AW113+AX113</f>
        <v>0</v>
      </c>
      <c r="AW113" s="27">
        <f>G113*AO113</f>
        <v>0</v>
      </c>
      <c r="AX113" s="27">
        <f>G113*AP113</f>
        <v>0</v>
      </c>
      <c r="AY113" s="29" t="s">
        <v>255</v>
      </c>
      <c r="AZ113" s="29" t="s">
        <v>256</v>
      </c>
      <c r="BA113" s="9" t="s">
        <v>63</v>
      </c>
      <c r="BC113" s="27">
        <f>AW113+AX113</f>
        <v>0</v>
      </c>
      <c r="BD113" s="27">
        <f>H113/(100-BE113)*100</f>
        <v>0</v>
      </c>
      <c r="BE113" s="27">
        <v>0</v>
      </c>
      <c r="BF113" s="27">
        <f>113</f>
        <v>113</v>
      </c>
      <c r="BH113" s="62">
        <f>G113*AO113</f>
        <v>0</v>
      </c>
      <c r="BI113" s="62">
        <f>G113*AP113</f>
        <v>0</v>
      </c>
      <c r="BJ113" s="62">
        <f>G113*H113</f>
        <v>0</v>
      </c>
      <c r="BK113" s="62"/>
      <c r="BL113" s="27">
        <v>767</v>
      </c>
      <c r="BW113" s="27">
        <v>21</v>
      </c>
    </row>
    <row r="114" spans="1:12" ht="15">
      <c r="A114" s="52"/>
      <c r="B114" s="53"/>
      <c r="C114" s="53"/>
      <c r="D114" s="54" t="s">
        <v>57</v>
      </c>
      <c r="E114" s="55" t="s">
        <v>264</v>
      </c>
      <c r="F114" s="53"/>
      <c r="G114" s="56">
        <v>1</v>
      </c>
      <c r="H114" s="53"/>
      <c r="I114" s="53"/>
      <c r="J114" s="53"/>
      <c r="K114" s="53"/>
      <c r="L114" s="57"/>
    </row>
    <row r="115" spans="1:75" ht="13.5" customHeight="1">
      <c r="A115" s="80" t="s">
        <v>104</v>
      </c>
      <c r="B115" s="81" t="s">
        <v>53</v>
      </c>
      <c r="C115" s="81" t="s">
        <v>265</v>
      </c>
      <c r="D115" s="187" t="s">
        <v>260</v>
      </c>
      <c r="E115" s="188"/>
      <c r="F115" s="81" t="s">
        <v>154</v>
      </c>
      <c r="G115" s="82">
        <v>3</v>
      </c>
      <c r="H115" s="82">
        <v>0</v>
      </c>
      <c r="I115" s="82">
        <f>G115*AO115</f>
        <v>0</v>
      </c>
      <c r="J115" s="82">
        <f>G115*AP115</f>
        <v>0</v>
      </c>
      <c r="K115" s="82">
        <f>G115*H115</f>
        <v>0</v>
      </c>
      <c r="L115" s="83" t="s">
        <v>96</v>
      </c>
      <c r="Z115" s="27">
        <f>IF(AQ115="5",BJ115,0)</f>
        <v>0</v>
      </c>
      <c r="AB115" s="27">
        <f>IF(AQ115="1",BH115,0)</f>
        <v>0</v>
      </c>
      <c r="AC115" s="27">
        <f>IF(AQ115="1",BI115,0)</f>
        <v>0</v>
      </c>
      <c r="AD115" s="27">
        <f>IF(AQ115="7",BH115,0)</f>
        <v>0</v>
      </c>
      <c r="AE115" s="27">
        <f>IF(AQ115="7",BI115,0)</f>
        <v>0</v>
      </c>
      <c r="AF115" s="27">
        <f>IF(AQ115="2",BH115,0)</f>
        <v>0</v>
      </c>
      <c r="AG115" s="27">
        <f>IF(AQ115="2",BI115,0)</f>
        <v>0</v>
      </c>
      <c r="AH115" s="27">
        <f>IF(AQ115="0",BJ115,0)</f>
        <v>0</v>
      </c>
      <c r="AI115" s="9" t="s">
        <v>53</v>
      </c>
      <c r="AJ115" s="62">
        <f>IF(AN115=0,K115,0)</f>
        <v>0</v>
      </c>
      <c r="AK115" s="62">
        <f>IF(AN115=12,K115,0)</f>
        <v>0</v>
      </c>
      <c r="AL115" s="62">
        <f>IF(AN115=21,K115,0)</f>
        <v>0</v>
      </c>
      <c r="AN115" s="27">
        <v>21</v>
      </c>
      <c r="AO115" s="27">
        <f>H115*1</f>
        <v>0</v>
      </c>
      <c r="AP115" s="27">
        <f>H115*(1-1)</f>
        <v>0</v>
      </c>
      <c r="AQ115" s="64" t="s">
        <v>84</v>
      </c>
      <c r="AV115" s="27">
        <f>AW115+AX115</f>
        <v>0</v>
      </c>
      <c r="AW115" s="27">
        <f>G115*AO115</f>
        <v>0</v>
      </c>
      <c r="AX115" s="27">
        <f>G115*AP115</f>
        <v>0</v>
      </c>
      <c r="AY115" s="29" t="s">
        <v>255</v>
      </c>
      <c r="AZ115" s="29" t="s">
        <v>256</v>
      </c>
      <c r="BA115" s="9" t="s">
        <v>63</v>
      </c>
      <c r="BC115" s="27">
        <f>AW115+AX115</f>
        <v>0</v>
      </c>
      <c r="BD115" s="27">
        <f>H115/(100-BE115)*100</f>
        <v>0</v>
      </c>
      <c r="BE115" s="27">
        <v>0</v>
      </c>
      <c r="BF115" s="27">
        <f>115</f>
        <v>115</v>
      </c>
      <c r="BH115" s="62">
        <f>G115*AO115</f>
        <v>0</v>
      </c>
      <c r="BI115" s="62">
        <f>G115*AP115</f>
        <v>0</v>
      </c>
      <c r="BJ115" s="62">
        <f>G115*H115</f>
        <v>0</v>
      </c>
      <c r="BK115" s="62"/>
      <c r="BL115" s="27">
        <v>767</v>
      </c>
      <c r="BW115" s="27">
        <v>21</v>
      </c>
    </row>
    <row r="116" spans="1:12" ht="15">
      <c r="A116" s="52"/>
      <c r="B116" s="53"/>
      <c r="C116" s="53"/>
      <c r="D116" s="54" t="s">
        <v>57</v>
      </c>
      <c r="E116" s="55" t="s">
        <v>266</v>
      </c>
      <c r="F116" s="53"/>
      <c r="G116" s="56">
        <v>1</v>
      </c>
      <c r="H116" s="53"/>
      <c r="I116" s="53"/>
      <c r="J116" s="53"/>
      <c r="K116" s="53"/>
      <c r="L116" s="57"/>
    </row>
    <row r="117" spans="1:75" ht="13.5" customHeight="1">
      <c r="A117" s="80" t="s">
        <v>267</v>
      </c>
      <c r="B117" s="81" t="s">
        <v>53</v>
      </c>
      <c r="C117" s="81" t="s">
        <v>268</v>
      </c>
      <c r="D117" s="187" t="s">
        <v>261</v>
      </c>
      <c r="E117" s="188"/>
      <c r="F117" s="81" t="s">
        <v>154</v>
      </c>
      <c r="G117" s="82">
        <v>3</v>
      </c>
      <c r="H117" s="82">
        <v>0</v>
      </c>
      <c r="I117" s="82">
        <f>G117*AO117</f>
        <v>0</v>
      </c>
      <c r="J117" s="82">
        <f>G117*AP117</f>
        <v>0</v>
      </c>
      <c r="K117" s="82">
        <f>G117*H117</f>
        <v>0</v>
      </c>
      <c r="L117" s="83" t="s">
        <v>96</v>
      </c>
      <c r="Z117" s="27">
        <f>IF(AQ117="5",BJ117,0)</f>
        <v>0</v>
      </c>
      <c r="AB117" s="27">
        <f>IF(AQ117="1",BH117,0)</f>
        <v>0</v>
      </c>
      <c r="AC117" s="27">
        <f>IF(AQ117="1",BI117,0)</f>
        <v>0</v>
      </c>
      <c r="AD117" s="27">
        <f>IF(AQ117="7",BH117,0)</f>
        <v>0</v>
      </c>
      <c r="AE117" s="27">
        <f>IF(AQ117="7",BI117,0)</f>
        <v>0</v>
      </c>
      <c r="AF117" s="27">
        <f>IF(AQ117="2",BH117,0)</f>
        <v>0</v>
      </c>
      <c r="AG117" s="27">
        <f>IF(AQ117="2",BI117,0)</f>
        <v>0</v>
      </c>
      <c r="AH117" s="27">
        <f>IF(AQ117="0",BJ117,0)</f>
        <v>0</v>
      </c>
      <c r="AI117" s="9" t="s">
        <v>53</v>
      </c>
      <c r="AJ117" s="62">
        <f>IF(AN117=0,K117,0)</f>
        <v>0</v>
      </c>
      <c r="AK117" s="62">
        <f>IF(AN117=12,K117,0)</f>
        <v>0</v>
      </c>
      <c r="AL117" s="62">
        <f>IF(AN117=21,K117,0)</f>
        <v>0</v>
      </c>
      <c r="AN117" s="27">
        <v>21</v>
      </c>
      <c r="AO117" s="27">
        <f>H117*1</f>
        <v>0</v>
      </c>
      <c r="AP117" s="27">
        <f>H117*(1-1)</f>
        <v>0</v>
      </c>
      <c r="AQ117" s="64" t="s">
        <v>84</v>
      </c>
      <c r="AV117" s="27">
        <f>AW117+AX117</f>
        <v>0</v>
      </c>
      <c r="AW117" s="27">
        <f>G117*AO117</f>
        <v>0</v>
      </c>
      <c r="AX117" s="27">
        <f>G117*AP117</f>
        <v>0</v>
      </c>
      <c r="AY117" s="29" t="s">
        <v>255</v>
      </c>
      <c r="AZ117" s="29" t="s">
        <v>256</v>
      </c>
      <c r="BA117" s="9" t="s">
        <v>63</v>
      </c>
      <c r="BC117" s="27">
        <f>AW117+AX117</f>
        <v>0</v>
      </c>
      <c r="BD117" s="27">
        <f>H117/(100-BE117)*100</f>
        <v>0</v>
      </c>
      <c r="BE117" s="27">
        <v>0</v>
      </c>
      <c r="BF117" s="27">
        <f>117</f>
        <v>117</v>
      </c>
      <c r="BH117" s="62">
        <f>G117*AO117</f>
        <v>0</v>
      </c>
      <c r="BI117" s="62">
        <f>G117*AP117</f>
        <v>0</v>
      </c>
      <c r="BJ117" s="62">
        <f>G117*H117</f>
        <v>0</v>
      </c>
      <c r="BK117" s="62"/>
      <c r="BL117" s="27">
        <v>767</v>
      </c>
      <c r="BW117" s="27">
        <v>21</v>
      </c>
    </row>
    <row r="118" spans="1:12" ht="15">
      <c r="A118" s="52"/>
      <c r="B118" s="53"/>
      <c r="C118" s="53"/>
      <c r="D118" s="54" t="s">
        <v>57</v>
      </c>
      <c r="E118" s="55" t="s">
        <v>269</v>
      </c>
      <c r="F118" s="53"/>
      <c r="G118" s="56">
        <v>1</v>
      </c>
      <c r="H118" s="53"/>
      <c r="I118" s="53"/>
      <c r="J118" s="53"/>
      <c r="K118" s="53"/>
      <c r="L118" s="57"/>
    </row>
    <row r="119" spans="1:47" ht="15">
      <c r="A119" s="84" t="s">
        <v>52</v>
      </c>
      <c r="B119" s="85" t="s">
        <v>53</v>
      </c>
      <c r="C119" s="85" t="s">
        <v>270</v>
      </c>
      <c r="D119" s="189" t="s">
        <v>271</v>
      </c>
      <c r="E119" s="190"/>
      <c r="F119" s="86" t="s">
        <v>4</v>
      </c>
      <c r="G119" s="86" t="s">
        <v>4</v>
      </c>
      <c r="H119" s="86" t="s">
        <v>4</v>
      </c>
      <c r="I119" s="87">
        <f>SUM(I120:I140)</f>
        <v>0</v>
      </c>
      <c r="J119" s="87">
        <f>SUM(J120:J140)</f>
        <v>0</v>
      </c>
      <c r="K119" s="87">
        <f>SUM(K120:K140)</f>
        <v>0</v>
      </c>
      <c r="L119" s="88" t="s">
        <v>52</v>
      </c>
      <c r="AI119" s="9" t="s">
        <v>53</v>
      </c>
      <c r="AS119" s="1">
        <f>SUM(AJ120:AJ140)</f>
        <v>0</v>
      </c>
      <c r="AT119" s="1">
        <f>SUM(AK120:AK140)</f>
        <v>0</v>
      </c>
      <c r="AU119" s="1">
        <f>SUM(AL120:AL140)</f>
        <v>0</v>
      </c>
    </row>
    <row r="120" spans="1:75" ht="13.5" customHeight="1">
      <c r="A120" s="41" t="s">
        <v>272</v>
      </c>
      <c r="B120" s="42" t="s">
        <v>53</v>
      </c>
      <c r="C120" s="42" t="s">
        <v>273</v>
      </c>
      <c r="D120" s="171" t="s">
        <v>274</v>
      </c>
      <c r="E120" s="172"/>
      <c r="F120" s="42" t="s">
        <v>109</v>
      </c>
      <c r="G120" s="43">
        <v>16.63</v>
      </c>
      <c r="H120" s="43">
        <v>0</v>
      </c>
      <c r="I120" s="43">
        <f>G120*AO120</f>
        <v>0</v>
      </c>
      <c r="J120" s="43">
        <f>G120*AP120</f>
        <v>0</v>
      </c>
      <c r="K120" s="43">
        <f>G120*H120</f>
        <v>0</v>
      </c>
      <c r="L120" s="44" t="s">
        <v>96</v>
      </c>
      <c r="Z120" s="27">
        <f>IF(AQ120="5",BJ120,0)</f>
        <v>0</v>
      </c>
      <c r="AB120" s="27">
        <f>IF(AQ120="1",BH120,0)</f>
        <v>0</v>
      </c>
      <c r="AC120" s="27">
        <f>IF(AQ120="1",BI120,0)</f>
        <v>0</v>
      </c>
      <c r="AD120" s="27">
        <f>IF(AQ120="7",BH120,0)</f>
        <v>0</v>
      </c>
      <c r="AE120" s="27">
        <f>IF(AQ120="7",BI120,0)</f>
        <v>0</v>
      </c>
      <c r="AF120" s="27">
        <f>IF(AQ120="2",BH120,0)</f>
        <v>0</v>
      </c>
      <c r="AG120" s="27">
        <f>IF(AQ120="2",BI120,0)</f>
        <v>0</v>
      </c>
      <c r="AH120" s="27">
        <f>IF(AQ120="0",BJ120,0)</f>
        <v>0</v>
      </c>
      <c r="AI120" s="9" t="s">
        <v>53</v>
      </c>
      <c r="AJ120" s="27">
        <f>IF(AN120=0,K120,0)</f>
        <v>0</v>
      </c>
      <c r="AK120" s="27">
        <f>IF(AN120=12,K120,0)</f>
        <v>0</v>
      </c>
      <c r="AL120" s="27">
        <f>IF(AN120=21,K120,0)</f>
        <v>0</v>
      </c>
      <c r="AN120" s="27">
        <v>21</v>
      </c>
      <c r="AO120" s="27">
        <f>H120*0.128264458</f>
        <v>0</v>
      </c>
      <c r="AP120" s="27">
        <f>H120*(1-0.128264458)</f>
        <v>0</v>
      </c>
      <c r="AQ120" s="29" t="s">
        <v>84</v>
      </c>
      <c r="AV120" s="27">
        <f>AW120+AX120</f>
        <v>0</v>
      </c>
      <c r="AW120" s="27">
        <f>G120*AO120</f>
        <v>0</v>
      </c>
      <c r="AX120" s="27">
        <f>G120*AP120</f>
        <v>0</v>
      </c>
      <c r="AY120" s="29" t="s">
        <v>275</v>
      </c>
      <c r="AZ120" s="29" t="s">
        <v>276</v>
      </c>
      <c r="BA120" s="9" t="s">
        <v>63</v>
      </c>
      <c r="BC120" s="27">
        <f>AW120+AX120</f>
        <v>0</v>
      </c>
      <c r="BD120" s="27">
        <f>H120/(100-BE120)*100</f>
        <v>0</v>
      </c>
      <c r="BE120" s="27">
        <v>0</v>
      </c>
      <c r="BF120" s="27">
        <f>120</f>
        <v>120</v>
      </c>
      <c r="BH120" s="27">
        <f>G120*AO120</f>
        <v>0</v>
      </c>
      <c r="BI120" s="27">
        <f>G120*AP120</f>
        <v>0</v>
      </c>
      <c r="BJ120" s="27">
        <f>G120*H120</f>
        <v>0</v>
      </c>
      <c r="BK120" s="27"/>
      <c r="BL120" s="27">
        <v>771</v>
      </c>
      <c r="BW120" s="27">
        <v>21</v>
      </c>
    </row>
    <row r="121" spans="1:12" ht="13.5" customHeight="1">
      <c r="A121" s="45"/>
      <c r="D121" s="173" t="s">
        <v>277</v>
      </c>
      <c r="E121" s="174"/>
      <c r="F121" s="174"/>
      <c r="G121" s="174"/>
      <c r="H121" s="174"/>
      <c r="I121" s="174"/>
      <c r="J121" s="174"/>
      <c r="K121" s="174"/>
      <c r="L121" s="175"/>
    </row>
    <row r="122" spans="1:12" ht="15">
      <c r="A122" s="46"/>
      <c r="B122" s="47"/>
      <c r="C122" s="47"/>
      <c r="D122" s="48" t="s">
        <v>177</v>
      </c>
      <c r="E122" s="49" t="s">
        <v>178</v>
      </c>
      <c r="F122" s="47"/>
      <c r="G122" s="50">
        <v>16.63</v>
      </c>
      <c r="H122" s="47"/>
      <c r="I122" s="47"/>
      <c r="J122" s="47"/>
      <c r="K122" s="47"/>
      <c r="L122" s="51"/>
    </row>
    <row r="123" spans="1:12" ht="13.5" customHeight="1">
      <c r="A123" s="45"/>
      <c r="C123" s="65" t="s">
        <v>102</v>
      </c>
      <c r="D123" s="173" t="s">
        <v>278</v>
      </c>
      <c r="E123" s="174"/>
      <c r="F123" s="174"/>
      <c r="G123" s="174"/>
      <c r="H123" s="174"/>
      <c r="I123" s="174"/>
      <c r="J123" s="174"/>
      <c r="K123" s="174"/>
      <c r="L123" s="175"/>
    </row>
    <row r="124" spans="1:75" ht="13.5" customHeight="1">
      <c r="A124" s="89" t="s">
        <v>279</v>
      </c>
      <c r="B124" s="90" t="s">
        <v>53</v>
      </c>
      <c r="C124" s="90" t="s">
        <v>280</v>
      </c>
      <c r="D124" s="191" t="s">
        <v>281</v>
      </c>
      <c r="E124" s="192"/>
      <c r="F124" s="90" t="s">
        <v>282</v>
      </c>
      <c r="G124" s="91">
        <v>558.768</v>
      </c>
      <c r="H124" s="91">
        <v>0</v>
      </c>
      <c r="I124" s="91">
        <f>G124*AO124</f>
        <v>0</v>
      </c>
      <c r="J124" s="91">
        <f>G124*AP124</f>
        <v>0</v>
      </c>
      <c r="K124" s="91">
        <f>G124*H124</f>
        <v>0</v>
      </c>
      <c r="L124" s="92" t="s">
        <v>96</v>
      </c>
      <c r="Z124" s="27">
        <f>IF(AQ124="5",BJ124,0)</f>
        <v>0</v>
      </c>
      <c r="AB124" s="27">
        <f>IF(AQ124="1",BH124,0)</f>
        <v>0</v>
      </c>
      <c r="AC124" s="27">
        <f>IF(AQ124="1",BI124,0)</f>
        <v>0</v>
      </c>
      <c r="AD124" s="27">
        <f>IF(AQ124="7",BH124,0)</f>
        <v>0</v>
      </c>
      <c r="AE124" s="27">
        <f>IF(AQ124="7",BI124,0)</f>
        <v>0</v>
      </c>
      <c r="AF124" s="27">
        <f>IF(AQ124="2",BH124,0)</f>
        <v>0</v>
      </c>
      <c r="AG124" s="27">
        <f>IF(AQ124="2",BI124,0)</f>
        <v>0</v>
      </c>
      <c r="AH124" s="27">
        <f>IF(AQ124="0",BJ124,0)</f>
        <v>0</v>
      </c>
      <c r="AI124" s="9" t="s">
        <v>53</v>
      </c>
      <c r="AJ124" s="62">
        <f>IF(AN124=0,K124,0)</f>
        <v>0</v>
      </c>
      <c r="AK124" s="62">
        <f>IF(AN124=12,K124,0)</f>
        <v>0</v>
      </c>
      <c r="AL124" s="62">
        <f>IF(AN124=21,K124,0)</f>
        <v>0</v>
      </c>
      <c r="AN124" s="27">
        <v>21</v>
      </c>
      <c r="AO124" s="27">
        <f>H124*1</f>
        <v>0</v>
      </c>
      <c r="AP124" s="27">
        <f>H124*(1-1)</f>
        <v>0</v>
      </c>
      <c r="AQ124" s="64" t="s">
        <v>84</v>
      </c>
      <c r="AV124" s="27">
        <f>AW124+AX124</f>
        <v>0</v>
      </c>
      <c r="AW124" s="27">
        <f>G124*AO124</f>
        <v>0</v>
      </c>
      <c r="AX124" s="27">
        <f>G124*AP124</f>
        <v>0</v>
      </c>
      <c r="AY124" s="29" t="s">
        <v>275</v>
      </c>
      <c r="AZ124" s="29" t="s">
        <v>276</v>
      </c>
      <c r="BA124" s="9" t="s">
        <v>63</v>
      </c>
      <c r="BC124" s="27">
        <f>AW124+AX124</f>
        <v>0</v>
      </c>
      <c r="BD124" s="27">
        <f>H124/(100-BE124)*100</f>
        <v>0</v>
      </c>
      <c r="BE124" s="27">
        <v>0</v>
      </c>
      <c r="BF124" s="27">
        <f>124</f>
        <v>124</v>
      </c>
      <c r="BH124" s="62">
        <f>G124*AO124</f>
        <v>0</v>
      </c>
      <c r="BI124" s="62">
        <f>G124*AP124</f>
        <v>0</v>
      </c>
      <c r="BJ124" s="62">
        <f>G124*H124</f>
        <v>0</v>
      </c>
      <c r="BK124" s="62"/>
      <c r="BL124" s="27">
        <v>771</v>
      </c>
      <c r="BW124" s="27">
        <v>21</v>
      </c>
    </row>
    <row r="125" spans="1:12" ht="15">
      <c r="A125" s="52"/>
      <c r="B125" s="53"/>
      <c r="C125" s="53"/>
      <c r="D125" s="54" t="s">
        <v>283</v>
      </c>
      <c r="E125" s="55" t="s">
        <v>284</v>
      </c>
      <c r="F125" s="53"/>
      <c r="G125" s="56">
        <v>532.16</v>
      </c>
      <c r="H125" s="53"/>
      <c r="I125" s="53"/>
      <c r="J125" s="53"/>
      <c r="K125" s="53"/>
      <c r="L125" s="57"/>
    </row>
    <row r="126" spans="1:12" ht="15">
      <c r="A126" s="52"/>
      <c r="B126" s="53"/>
      <c r="C126" s="53"/>
      <c r="D126" s="54" t="s">
        <v>285</v>
      </c>
      <c r="E126" s="55" t="s">
        <v>52</v>
      </c>
      <c r="F126" s="53"/>
      <c r="G126" s="56">
        <v>26.608</v>
      </c>
      <c r="H126" s="53"/>
      <c r="I126" s="53"/>
      <c r="J126" s="53"/>
      <c r="K126" s="53"/>
      <c r="L126" s="57"/>
    </row>
    <row r="127" spans="1:12" ht="40.5" customHeight="1">
      <c r="A127" s="45"/>
      <c r="C127" s="65" t="s">
        <v>102</v>
      </c>
      <c r="D127" s="173" t="s">
        <v>286</v>
      </c>
      <c r="E127" s="174"/>
      <c r="F127" s="174"/>
      <c r="G127" s="174"/>
      <c r="H127" s="174"/>
      <c r="I127" s="174"/>
      <c r="J127" s="174"/>
      <c r="K127" s="174"/>
      <c r="L127" s="175"/>
    </row>
    <row r="128" spans="1:75" ht="13.5" customHeight="1">
      <c r="A128" s="41" t="s">
        <v>287</v>
      </c>
      <c r="B128" s="42" t="s">
        <v>53</v>
      </c>
      <c r="C128" s="42" t="s">
        <v>288</v>
      </c>
      <c r="D128" s="171" t="s">
        <v>289</v>
      </c>
      <c r="E128" s="172"/>
      <c r="F128" s="42" t="s">
        <v>109</v>
      </c>
      <c r="G128" s="43">
        <v>16.63</v>
      </c>
      <c r="H128" s="43">
        <v>0</v>
      </c>
      <c r="I128" s="43">
        <f>G128*AO128</f>
        <v>0</v>
      </c>
      <c r="J128" s="43">
        <f>G128*AP128</f>
        <v>0</v>
      </c>
      <c r="K128" s="43">
        <f>G128*H128</f>
        <v>0</v>
      </c>
      <c r="L128" s="44" t="s">
        <v>96</v>
      </c>
      <c r="Z128" s="27">
        <f>IF(AQ128="5",BJ128,0)</f>
        <v>0</v>
      </c>
      <c r="AB128" s="27">
        <f>IF(AQ128="1",BH128,0)</f>
        <v>0</v>
      </c>
      <c r="AC128" s="27">
        <f>IF(AQ128="1",BI128,0)</f>
        <v>0</v>
      </c>
      <c r="AD128" s="27">
        <f>IF(AQ128="7",BH128,0)</f>
        <v>0</v>
      </c>
      <c r="AE128" s="27">
        <f>IF(AQ128="7",BI128,0)</f>
        <v>0</v>
      </c>
      <c r="AF128" s="27">
        <f>IF(AQ128="2",BH128,0)</f>
        <v>0</v>
      </c>
      <c r="AG128" s="27">
        <f>IF(AQ128="2",BI128,0)</f>
        <v>0</v>
      </c>
      <c r="AH128" s="27">
        <f>IF(AQ128="0",BJ128,0)</f>
        <v>0</v>
      </c>
      <c r="AI128" s="9" t="s">
        <v>53</v>
      </c>
      <c r="AJ128" s="27">
        <f>IF(AN128=0,K128,0)</f>
        <v>0</v>
      </c>
      <c r="AK128" s="27">
        <f>IF(AN128=12,K128,0)</f>
        <v>0</v>
      </c>
      <c r="AL128" s="27">
        <f>IF(AN128=21,K128,0)</f>
        <v>0</v>
      </c>
      <c r="AN128" s="27">
        <v>21</v>
      </c>
      <c r="AO128" s="27">
        <f>H128*0.479634306</f>
        <v>0</v>
      </c>
      <c r="AP128" s="27">
        <f>H128*(1-0.479634306)</f>
        <v>0</v>
      </c>
      <c r="AQ128" s="29" t="s">
        <v>84</v>
      </c>
      <c r="AV128" s="27">
        <f>AW128+AX128</f>
        <v>0</v>
      </c>
      <c r="AW128" s="27">
        <f>G128*AO128</f>
        <v>0</v>
      </c>
      <c r="AX128" s="27">
        <f>G128*AP128</f>
        <v>0</v>
      </c>
      <c r="AY128" s="29" t="s">
        <v>275</v>
      </c>
      <c r="AZ128" s="29" t="s">
        <v>276</v>
      </c>
      <c r="BA128" s="9" t="s">
        <v>63</v>
      </c>
      <c r="BC128" s="27">
        <f>AW128+AX128</f>
        <v>0</v>
      </c>
      <c r="BD128" s="27">
        <f>H128/(100-BE128)*100</f>
        <v>0</v>
      </c>
      <c r="BE128" s="27">
        <v>0</v>
      </c>
      <c r="BF128" s="27">
        <f>128</f>
        <v>128</v>
      </c>
      <c r="BH128" s="27">
        <f>G128*AO128</f>
        <v>0</v>
      </c>
      <c r="BI128" s="27">
        <f>G128*AP128</f>
        <v>0</v>
      </c>
      <c r="BJ128" s="27">
        <f>G128*H128</f>
        <v>0</v>
      </c>
      <c r="BK128" s="27"/>
      <c r="BL128" s="27">
        <v>771</v>
      </c>
      <c r="BW128" s="27">
        <v>21</v>
      </c>
    </row>
    <row r="129" spans="1:12" ht="13.5" customHeight="1">
      <c r="A129" s="45"/>
      <c r="D129" s="173" t="s">
        <v>290</v>
      </c>
      <c r="E129" s="174"/>
      <c r="F129" s="174"/>
      <c r="G129" s="174"/>
      <c r="H129" s="174"/>
      <c r="I129" s="174"/>
      <c r="J129" s="174"/>
      <c r="K129" s="174"/>
      <c r="L129" s="175"/>
    </row>
    <row r="130" spans="1:12" ht="15">
      <c r="A130" s="46"/>
      <c r="B130" s="47"/>
      <c r="C130" s="47"/>
      <c r="D130" s="48" t="s">
        <v>177</v>
      </c>
      <c r="E130" s="49" t="s">
        <v>178</v>
      </c>
      <c r="F130" s="47"/>
      <c r="G130" s="50">
        <v>16.63</v>
      </c>
      <c r="H130" s="47"/>
      <c r="I130" s="47"/>
      <c r="J130" s="47"/>
      <c r="K130" s="47"/>
      <c r="L130" s="51"/>
    </row>
    <row r="131" spans="1:12" ht="13.5" customHeight="1">
      <c r="A131" s="45"/>
      <c r="C131" s="65" t="s">
        <v>102</v>
      </c>
      <c r="D131" s="173" t="s">
        <v>291</v>
      </c>
      <c r="E131" s="174"/>
      <c r="F131" s="174"/>
      <c r="G131" s="174"/>
      <c r="H131" s="174"/>
      <c r="I131" s="174"/>
      <c r="J131" s="174"/>
      <c r="K131" s="174"/>
      <c r="L131" s="175"/>
    </row>
    <row r="132" spans="1:75" ht="13.5" customHeight="1">
      <c r="A132" s="41" t="s">
        <v>292</v>
      </c>
      <c r="B132" s="42" t="s">
        <v>53</v>
      </c>
      <c r="C132" s="42" t="s">
        <v>293</v>
      </c>
      <c r="D132" s="171" t="s">
        <v>294</v>
      </c>
      <c r="E132" s="172"/>
      <c r="F132" s="42" t="s">
        <v>109</v>
      </c>
      <c r="G132" s="43">
        <v>15.58</v>
      </c>
      <c r="H132" s="43">
        <v>0</v>
      </c>
      <c r="I132" s="43">
        <f>G132*AO132</f>
        <v>0</v>
      </c>
      <c r="J132" s="43">
        <f>G132*AP132</f>
        <v>0</v>
      </c>
      <c r="K132" s="43">
        <f>G132*H132</f>
        <v>0</v>
      </c>
      <c r="L132" s="44" t="s">
        <v>96</v>
      </c>
      <c r="Z132" s="27">
        <f>IF(AQ132="5",BJ132,0)</f>
        <v>0</v>
      </c>
      <c r="AB132" s="27">
        <f>IF(AQ132="1",BH132,0)</f>
        <v>0</v>
      </c>
      <c r="AC132" s="27">
        <f>IF(AQ132="1",BI132,0)</f>
        <v>0</v>
      </c>
      <c r="AD132" s="27">
        <f>IF(AQ132="7",BH132,0)</f>
        <v>0</v>
      </c>
      <c r="AE132" s="27">
        <f>IF(AQ132="7",BI132,0)</f>
        <v>0</v>
      </c>
      <c r="AF132" s="27">
        <f>IF(AQ132="2",BH132,0)</f>
        <v>0</v>
      </c>
      <c r="AG132" s="27">
        <f>IF(AQ132="2",BI132,0)</f>
        <v>0</v>
      </c>
      <c r="AH132" s="27">
        <f>IF(AQ132="0",BJ132,0)</f>
        <v>0</v>
      </c>
      <c r="AI132" s="9" t="s">
        <v>53</v>
      </c>
      <c r="AJ132" s="27">
        <f>IF(AN132=0,K132,0)</f>
        <v>0</v>
      </c>
      <c r="AK132" s="27">
        <f>IF(AN132=12,K132,0)</f>
        <v>0</v>
      </c>
      <c r="AL132" s="27">
        <f>IF(AN132=21,K132,0)</f>
        <v>0</v>
      </c>
      <c r="AN132" s="27">
        <v>21</v>
      </c>
      <c r="AO132" s="27">
        <f>H132*0.229465318</f>
        <v>0</v>
      </c>
      <c r="AP132" s="27">
        <f>H132*(1-0.229465318)</f>
        <v>0</v>
      </c>
      <c r="AQ132" s="29" t="s">
        <v>84</v>
      </c>
      <c r="AV132" s="27">
        <f>AW132+AX132</f>
        <v>0</v>
      </c>
      <c r="AW132" s="27">
        <f>G132*AO132</f>
        <v>0</v>
      </c>
      <c r="AX132" s="27">
        <f>G132*AP132</f>
        <v>0</v>
      </c>
      <c r="AY132" s="29" t="s">
        <v>275</v>
      </c>
      <c r="AZ132" s="29" t="s">
        <v>276</v>
      </c>
      <c r="BA132" s="9" t="s">
        <v>63</v>
      </c>
      <c r="BC132" s="27">
        <f>AW132+AX132</f>
        <v>0</v>
      </c>
      <c r="BD132" s="27">
        <f>H132/(100-BE132)*100</f>
        <v>0</v>
      </c>
      <c r="BE132" s="27">
        <v>0</v>
      </c>
      <c r="BF132" s="27">
        <f>132</f>
        <v>132</v>
      </c>
      <c r="BH132" s="27">
        <f>G132*AO132</f>
        <v>0</v>
      </c>
      <c r="BI132" s="27">
        <f>G132*AP132</f>
        <v>0</v>
      </c>
      <c r="BJ132" s="27">
        <f>G132*H132</f>
        <v>0</v>
      </c>
      <c r="BK132" s="27"/>
      <c r="BL132" s="27">
        <v>771</v>
      </c>
      <c r="BW132" s="27">
        <v>21</v>
      </c>
    </row>
    <row r="133" spans="1:12" ht="13.5" customHeight="1">
      <c r="A133" s="45"/>
      <c r="D133" s="173" t="s">
        <v>295</v>
      </c>
      <c r="E133" s="174"/>
      <c r="F133" s="174"/>
      <c r="G133" s="174"/>
      <c r="H133" s="174"/>
      <c r="I133" s="174"/>
      <c r="J133" s="174"/>
      <c r="K133" s="174"/>
      <c r="L133" s="175"/>
    </row>
    <row r="134" spans="1:12" ht="15">
      <c r="A134" s="46"/>
      <c r="B134" s="47"/>
      <c r="C134" s="47"/>
      <c r="D134" s="48" t="s">
        <v>296</v>
      </c>
      <c r="E134" s="49" t="s">
        <v>178</v>
      </c>
      <c r="F134" s="47"/>
      <c r="G134" s="50">
        <v>15.58</v>
      </c>
      <c r="H134" s="47"/>
      <c r="I134" s="47"/>
      <c r="J134" s="47"/>
      <c r="K134" s="47"/>
      <c r="L134" s="51"/>
    </row>
    <row r="135" spans="1:12" ht="13.5" customHeight="1">
      <c r="A135" s="45"/>
      <c r="C135" s="65" t="s">
        <v>102</v>
      </c>
      <c r="D135" s="173" t="s">
        <v>297</v>
      </c>
      <c r="E135" s="174"/>
      <c r="F135" s="174"/>
      <c r="G135" s="174"/>
      <c r="H135" s="174"/>
      <c r="I135" s="174"/>
      <c r="J135" s="174"/>
      <c r="K135" s="174"/>
      <c r="L135" s="175"/>
    </row>
    <row r="136" spans="1:75" ht="13.5" customHeight="1">
      <c r="A136" s="89" t="s">
        <v>298</v>
      </c>
      <c r="B136" s="90" t="s">
        <v>53</v>
      </c>
      <c r="C136" s="90" t="s">
        <v>299</v>
      </c>
      <c r="D136" s="191" t="s">
        <v>300</v>
      </c>
      <c r="E136" s="192"/>
      <c r="F136" s="90" t="s">
        <v>109</v>
      </c>
      <c r="G136" s="91">
        <v>16.359</v>
      </c>
      <c r="H136" s="91">
        <v>0</v>
      </c>
      <c r="I136" s="91">
        <f>G136*AO136</f>
        <v>0</v>
      </c>
      <c r="J136" s="91">
        <f>G136*AP136</f>
        <v>0</v>
      </c>
      <c r="K136" s="91">
        <f>G136*H136</f>
        <v>0</v>
      </c>
      <c r="L136" s="92" t="s">
        <v>96</v>
      </c>
      <c r="Z136" s="27">
        <f>IF(AQ136="5",BJ136,0)</f>
        <v>0</v>
      </c>
      <c r="AB136" s="27">
        <f>IF(AQ136="1",BH136,0)</f>
        <v>0</v>
      </c>
      <c r="AC136" s="27">
        <f>IF(AQ136="1",BI136,0)</f>
        <v>0</v>
      </c>
      <c r="AD136" s="27">
        <f>IF(AQ136="7",BH136,0)</f>
        <v>0</v>
      </c>
      <c r="AE136" s="27">
        <f>IF(AQ136="7",BI136,0)</f>
        <v>0</v>
      </c>
      <c r="AF136" s="27">
        <f>IF(AQ136="2",BH136,0)</f>
        <v>0</v>
      </c>
      <c r="AG136" s="27">
        <f>IF(AQ136="2",BI136,0)</f>
        <v>0</v>
      </c>
      <c r="AH136" s="27">
        <f>IF(AQ136="0",BJ136,0)</f>
        <v>0</v>
      </c>
      <c r="AI136" s="9" t="s">
        <v>53</v>
      </c>
      <c r="AJ136" s="62">
        <f>IF(AN136=0,K136,0)</f>
        <v>0</v>
      </c>
      <c r="AK136" s="62">
        <f>IF(AN136=12,K136,0)</f>
        <v>0</v>
      </c>
      <c r="AL136" s="62">
        <f>IF(AN136=21,K136,0)</f>
        <v>0</v>
      </c>
      <c r="AN136" s="27">
        <v>21</v>
      </c>
      <c r="AO136" s="27">
        <f>H136*1</f>
        <v>0</v>
      </c>
      <c r="AP136" s="27">
        <f>H136*(1-1)</f>
        <v>0</v>
      </c>
      <c r="AQ136" s="64" t="s">
        <v>84</v>
      </c>
      <c r="AV136" s="27">
        <f>AW136+AX136</f>
        <v>0</v>
      </c>
      <c r="AW136" s="27">
        <f>G136*AO136</f>
        <v>0</v>
      </c>
      <c r="AX136" s="27">
        <f>G136*AP136</f>
        <v>0</v>
      </c>
      <c r="AY136" s="29" t="s">
        <v>275</v>
      </c>
      <c r="AZ136" s="29" t="s">
        <v>276</v>
      </c>
      <c r="BA136" s="9" t="s">
        <v>63</v>
      </c>
      <c r="BC136" s="27">
        <f>AW136+AX136</f>
        <v>0</v>
      </c>
      <c r="BD136" s="27">
        <f>H136/(100-BE136)*100</f>
        <v>0</v>
      </c>
      <c r="BE136" s="27">
        <v>0</v>
      </c>
      <c r="BF136" s="27">
        <f>136</f>
        <v>136</v>
      </c>
      <c r="BH136" s="62">
        <f>G136*AO136</f>
        <v>0</v>
      </c>
      <c r="BI136" s="62">
        <f>G136*AP136</f>
        <v>0</v>
      </c>
      <c r="BJ136" s="62">
        <f>G136*H136</f>
        <v>0</v>
      </c>
      <c r="BK136" s="62"/>
      <c r="BL136" s="27">
        <v>771</v>
      </c>
      <c r="BW136" s="27">
        <v>21</v>
      </c>
    </row>
    <row r="137" spans="1:12" ht="15">
      <c r="A137" s="52"/>
      <c r="B137" s="53"/>
      <c r="C137" s="53"/>
      <c r="D137" s="54" t="s">
        <v>301</v>
      </c>
      <c r="E137" s="55" t="s">
        <v>52</v>
      </c>
      <c r="F137" s="53"/>
      <c r="G137" s="56">
        <v>15.58</v>
      </c>
      <c r="H137" s="53"/>
      <c r="I137" s="53"/>
      <c r="J137" s="53"/>
      <c r="K137" s="53"/>
      <c r="L137" s="57"/>
    </row>
    <row r="138" spans="1:12" ht="15">
      <c r="A138" s="52"/>
      <c r="B138" s="53"/>
      <c r="C138" s="53"/>
      <c r="D138" s="54" t="s">
        <v>302</v>
      </c>
      <c r="E138" s="55" t="s">
        <v>52</v>
      </c>
      <c r="F138" s="53"/>
      <c r="G138" s="56">
        <v>0.779</v>
      </c>
      <c r="H138" s="53"/>
      <c r="I138" s="53"/>
      <c r="J138" s="53"/>
      <c r="K138" s="53"/>
      <c r="L138" s="57"/>
    </row>
    <row r="139" spans="1:12" ht="27" customHeight="1">
      <c r="A139" s="45"/>
      <c r="C139" s="65" t="s">
        <v>102</v>
      </c>
      <c r="D139" s="173" t="s">
        <v>303</v>
      </c>
      <c r="E139" s="174"/>
      <c r="F139" s="174"/>
      <c r="G139" s="174"/>
      <c r="H139" s="174"/>
      <c r="I139" s="174"/>
      <c r="J139" s="174"/>
      <c r="K139" s="174"/>
      <c r="L139" s="175"/>
    </row>
    <row r="140" spans="1:75" ht="13.5" customHeight="1">
      <c r="A140" s="41" t="s">
        <v>304</v>
      </c>
      <c r="B140" s="42" t="s">
        <v>53</v>
      </c>
      <c r="C140" s="42" t="s">
        <v>305</v>
      </c>
      <c r="D140" s="171" t="s">
        <v>306</v>
      </c>
      <c r="E140" s="172"/>
      <c r="F140" s="42" t="s">
        <v>126</v>
      </c>
      <c r="G140" s="43">
        <v>24.6</v>
      </c>
      <c r="H140" s="43">
        <v>0</v>
      </c>
      <c r="I140" s="43">
        <f>G140*AO140</f>
        <v>0</v>
      </c>
      <c r="J140" s="43">
        <f>G140*AP140</f>
        <v>0</v>
      </c>
      <c r="K140" s="43">
        <f>G140*H140</f>
        <v>0</v>
      </c>
      <c r="L140" s="44" t="s">
        <v>96</v>
      </c>
      <c r="Z140" s="27">
        <f>IF(AQ140="5",BJ140,0)</f>
        <v>0</v>
      </c>
      <c r="AB140" s="27">
        <f>IF(AQ140="1",BH140,0)</f>
        <v>0</v>
      </c>
      <c r="AC140" s="27">
        <f>IF(AQ140="1",BI140,0)</f>
        <v>0</v>
      </c>
      <c r="AD140" s="27">
        <f>IF(AQ140="7",BH140,0)</f>
        <v>0</v>
      </c>
      <c r="AE140" s="27">
        <f>IF(AQ140="7",BI140,0)</f>
        <v>0</v>
      </c>
      <c r="AF140" s="27">
        <f>IF(AQ140="2",BH140,0)</f>
        <v>0</v>
      </c>
      <c r="AG140" s="27">
        <f>IF(AQ140="2",BI140,0)</f>
        <v>0</v>
      </c>
      <c r="AH140" s="27">
        <f>IF(AQ140="0",BJ140,0)</f>
        <v>0</v>
      </c>
      <c r="AI140" s="9" t="s">
        <v>53</v>
      </c>
      <c r="AJ140" s="27">
        <f>IF(AN140=0,K140,0)</f>
        <v>0</v>
      </c>
      <c r="AK140" s="27">
        <f>IF(AN140=12,K140,0)</f>
        <v>0</v>
      </c>
      <c r="AL140" s="27">
        <f>IF(AN140=21,K140,0)</f>
        <v>0</v>
      </c>
      <c r="AN140" s="27">
        <v>21</v>
      </c>
      <c r="AO140" s="27">
        <f>H140*0.415644172</f>
        <v>0</v>
      </c>
      <c r="AP140" s="27">
        <f>H140*(1-0.415644172)</f>
        <v>0</v>
      </c>
      <c r="AQ140" s="29" t="s">
        <v>84</v>
      </c>
      <c r="AV140" s="27">
        <f>AW140+AX140</f>
        <v>0</v>
      </c>
      <c r="AW140" s="27">
        <f>G140*AO140</f>
        <v>0</v>
      </c>
      <c r="AX140" s="27">
        <f>G140*AP140</f>
        <v>0</v>
      </c>
      <c r="AY140" s="29" t="s">
        <v>275</v>
      </c>
      <c r="AZ140" s="29" t="s">
        <v>276</v>
      </c>
      <c r="BA140" s="9" t="s">
        <v>63</v>
      </c>
      <c r="BC140" s="27">
        <f>AW140+AX140</f>
        <v>0</v>
      </c>
      <c r="BD140" s="27">
        <f>H140/(100-BE140)*100</f>
        <v>0</v>
      </c>
      <c r="BE140" s="27">
        <v>0</v>
      </c>
      <c r="BF140" s="27">
        <f>140</f>
        <v>140</v>
      </c>
      <c r="BH140" s="27">
        <f>G140*AO140</f>
        <v>0</v>
      </c>
      <c r="BI140" s="27">
        <f>G140*AP140</f>
        <v>0</v>
      </c>
      <c r="BJ140" s="27">
        <f>G140*H140</f>
        <v>0</v>
      </c>
      <c r="BK140" s="27"/>
      <c r="BL140" s="27">
        <v>771</v>
      </c>
      <c r="BW140" s="27">
        <v>21</v>
      </c>
    </row>
    <row r="141" spans="1:12" ht="13.5" customHeight="1">
      <c r="A141" s="45"/>
      <c r="D141" s="173" t="s">
        <v>307</v>
      </c>
      <c r="E141" s="174"/>
      <c r="F141" s="174"/>
      <c r="G141" s="174"/>
      <c r="H141" s="174"/>
      <c r="I141" s="174"/>
      <c r="J141" s="174"/>
      <c r="K141" s="174"/>
      <c r="L141" s="175"/>
    </row>
    <row r="142" spans="1:12" ht="15">
      <c r="A142" s="46"/>
      <c r="B142" s="47"/>
      <c r="C142" s="47"/>
      <c r="D142" s="48" t="s">
        <v>197</v>
      </c>
      <c r="E142" s="49" t="s">
        <v>180</v>
      </c>
      <c r="F142" s="47"/>
      <c r="G142" s="50">
        <v>24.6</v>
      </c>
      <c r="H142" s="47"/>
      <c r="I142" s="47"/>
      <c r="J142" s="47"/>
      <c r="K142" s="47"/>
      <c r="L142" s="51"/>
    </row>
    <row r="143" spans="1:47" ht="15">
      <c r="A143" s="84" t="s">
        <v>52</v>
      </c>
      <c r="B143" s="85" t="s">
        <v>53</v>
      </c>
      <c r="C143" s="85" t="s">
        <v>308</v>
      </c>
      <c r="D143" s="189" t="s">
        <v>309</v>
      </c>
      <c r="E143" s="190"/>
      <c r="F143" s="86" t="s">
        <v>4</v>
      </c>
      <c r="G143" s="86" t="s">
        <v>4</v>
      </c>
      <c r="H143" s="86" t="s">
        <v>4</v>
      </c>
      <c r="I143" s="87">
        <f>SUM(I144:I179)</f>
        <v>0</v>
      </c>
      <c r="J143" s="87">
        <f>SUM(J144:J179)</f>
        <v>0</v>
      </c>
      <c r="K143" s="87">
        <f>SUM(K144:K179)</f>
        <v>0</v>
      </c>
      <c r="L143" s="88" t="s">
        <v>52</v>
      </c>
      <c r="AI143" s="9" t="s">
        <v>53</v>
      </c>
      <c r="AS143" s="1">
        <f>SUM(AJ144:AJ179)</f>
        <v>0</v>
      </c>
      <c r="AT143" s="1">
        <f>SUM(AK144:AK179)</f>
        <v>0</v>
      </c>
      <c r="AU143" s="1">
        <f>SUM(AL144:AL179)</f>
        <v>0</v>
      </c>
    </row>
    <row r="144" spans="1:75" ht="13.5" customHeight="1">
      <c r="A144" s="41" t="s">
        <v>310</v>
      </c>
      <c r="B144" s="42" t="s">
        <v>53</v>
      </c>
      <c r="C144" s="42" t="s">
        <v>311</v>
      </c>
      <c r="D144" s="171" t="s">
        <v>312</v>
      </c>
      <c r="E144" s="172"/>
      <c r="F144" s="42" t="s">
        <v>109</v>
      </c>
      <c r="G144" s="43">
        <v>53.52</v>
      </c>
      <c r="H144" s="43">
        <v>0</v>
      </c>
      <c r="I144" s="43">
        <f>G144*AO144</f>
        <v>0</v>
      </c>
      <c r="J144" s="43">
        <f>G144*AP144</f>
        <v>0</v>
      </c>
      <c r="K144" s="43">
        <f>G144*H144</f>
        <v>0</v>
      </c>
      <c r="L144" s="44" t="s">
        <v>96</v>
      </c>
      <c r="Z144" s="27">
        <f>IF(AQ144="5",BJ144,0)</f>
        <v>0</v>
      </c>
      <c r="AB144" s="27">
        <f>IF(AQ144="1",BH144,0)</f>
        <v>0</v>
      </c>
      <c r="AC144" s="27">
        <f>IF(AQ144="1",BI144,0)</f>
        <v>0</v>
      </c>
      <c r="AD144" s="27">
        <f>IF(AQ144="7",BH144,0)</f>
        <v>0</v>
      </c>
      <c r="AE144" s="27">
        <f>IF(AQ144="7",BI144,0)</f>
        <v>0</v>
      </c>
      <c r="AF144" s="27">
        <f>IF(AQ144="2",BH144,0)</f>
        <v>0</v>
      </c>
      <c r="AG144" s="27">
        <f>IF(AQ144="2",BI144,0)</f>
        <v>0</v>
      </c>
      <c r="AH144" s="27">
        <f>IF(AQ144="0",BJ144,0)</f>
        <v>0</v>
      </c>
      <c r="AI144" s="9" t="s">
        <v>53</v>
      </c>
      <c r="AJ144" s="27">
        <f>IF(AN144=0,K144,0)</f>
        <v>0</v>
      </c>
      <c r="AK144" s="27">
        <f>IF(AN144=12,K144,0)</f>
        <v>0</v>
      </c>
      <c r="AL144" s="27">
        <f>IF(AN144=21,K144,0)</f>
        <v>0</v>
      </c>
      <c r="AN144" s="27">
        <v>21</v>
      </c>
      <c r="AO144" s="27">
        <f>H144*0</f>
        <v>0</v>
      </c>
      <c r="AP144" s="27">
        <f>H144*(1-0)</f>
        <v>0</v>
      </c>
      <c r="AQ144" s="29" t="s">
        <v>84</v>
      </c>
      <c r="AV144" s="27">
        <f>AW144+AX144</f>
        <v>0</v>
      </c>
      <c r="AW144" s="27">
        <f>G144*AO144</f>
        <v>0</v>
      </c>
      <c r="AX144" s="27">
        <f>G144*AP144</f>
        <v>0</v>
      </c>
      <c r="AY144" s="29" t="s">
        <v>313</v>
      </c>
      <c r="AZ144" s="29" t="s">
        <v>314</v>
      </c>
      <c r="BA144" s="9" t="s">
        <v>63</v>
      </c>
      <c r="BC144" s="27">
        <f>AW144+AX144</f>
        <v>0</v>
      </c>
      <c r="BD144" s="27">
        <f>H144/(100-BE144)*100</f>
        <v>0</v>
      </c>
      <c r="BE144" s="27">
        <v>0</v>
      </c>
      <c r="BF144" s="27">
        <f>144</f>
        <v>144</v>
      </c>
      <c r="BH144" s="27">
        <f>G144*AO144</f>
        <v>0</v>
      </c>
      <c r="BI144" s="27">
        <f>G144*AP144</f>
        <v>0</v>
      </c>
      <c r="BJ144" s="27">
        <f>G144*H144</f>
        <v>0</v>
      </c>
      <c r="BK144" s="27"/>
      <c r="BL144" s="27">
        <v>781</v>
      </c>
      <c r="BW144" s="27">
        <v>21</v>
      </c>
    </row>
    <row r="145" spans="1:12" ht="15">
      <c r="A145" s="52"/>
      <c r="B145" s="53"/>
      <c r="C145" s="53"/>
      <c r="D145" s="54" t="s">
        <v>315</v>
      </c>
      <c r="E145" s="55" t="s">
        <v>139</v>
      </c>
      <c r="F145" s="53"/>
      <c r="G145" s="56">
        <v>17.84</v>
      </c>
      <c r="H145" s="53"/>
      <c r="I145" s="53"/>
      <c r="J145" s="53"/>
      <c r="K145" s="53"/>
      <c r="L145" s="57"/>
    </row>
    <row r="146" spans="1:12" ht="15">
      <c r="A146" s="52"/>
      <c r="B146" s="53"/>
      <c r="C146" s="53"/>
      <c r="D146" s="54" t="s">
        <v>315</v>
      </c>
      <c r="E146" s="55" t="s">
        <v>140</v>
      </c>
      <c r="F146" s="53"/>
      <c r="G146" s="56">
        <v>17.84</v>
      </c>
      <c r="H146" s="53"/>
      <c r="I146" s="53"/>
      <c r="J146" s="53"/>
      <c r="K146" s="53"/>
      <c r="L146" s="57"/>
    </row>
    <row r="147" spans="1:12" ht="15">
      <c r="A147" s="52"/>
      <c r="B147" s="53"/>
      <c r="C147" s="53"/>
      <c r="D147" s="54" t="s">
        <v>315</v>
      </c>
      <c r="E147" s="55" t="s">
        <v>142</v>
      </c>
      <c r="F147" s="53"/>
      <c r="G147" s="56">
        <v>17.84</v>
      </c>
      <c r="H147" s="53"/>
      <c r="I147" s="53"/>
      <c r="J147" s="53"/>
      <c r="K147" s="53"/>
      <c r="L147" s="57"/>
    </row>
    <row r="148" spans="1:12" ht="13.5" customHeight="1">
      <c r="A148" s="45"/>
      <c r="C148" s="65" t="s">
        <v>102</v>
      </c>
      <c r="D148" s="173" t="s">
        <v>316</v>
      </c>
      <c r="E148" s="174"/>
      <c r="F148" s="174"/>
      <c r="G148" s="174"/>
      <c r="H148" s="174"/>
      <c r="I148" s="174"/>
      <c r="J148" s="174"/>
      <c r="K148" s="174"/>
      <c r="L148" s="175"/>
    </row>
    <row r="149" spans="1:75" ht="13.5" customHeight="1">
      <c r="A149" s="41" t="s">
        <v>317</v>
      </c>
      <c r="B149" s="42" t="s">
        <v>53</v>
      </c>
      <c r="C149" s="42" t="s">
        <v>318</v>
      </c>
      <c r="D149" s="171" t="s">
        <v>319</v>
      </c>
      <c r="E149" s="172"/>
      <c r="F149" s="42" t="s">
        <v>126</v>
      </c>
      <c r="G149" s="43">
        <v>5.4</v>
      </c>
      <c r="H149" s="43">
        <v>0</v>
      </c>
      <c r="I149" s="43">
        <f>G149*AO149</f>
        <v>0</v>
      </c>
      <c r="J149" s="43">
        <f>G149*AP149</f>
        <v>0</v>
      </c>
      <c r="K149" s="43">
        <f>G149*H149</f>
        <v>0</v>
      </c>
      <c r="L149" s="44" t="s">
        <v>96</v>
      </c>
      <c r="Z149" s="27">
        <f>IF(AQ149="5",BJ149,0)</f>
        <v>0</v>
      </c>
      <c r="AB149" s="27">
        <f>IF(AQ149="1",BH149,0)</f>
        <v>0</v>
      </c>
      <c r="AC149" s="27">
        <f>IF(AQ149="1",BI149,0)</f>
        <v>0</v>
      </c>
      <c r="AD149" s="27">
        <f>IF(AQ149="7",BH149,0)</f>
        <v>0</v>
      </c>
      <c r="AE149" s="27">
        <f>IF(AQ149="7",BI149,0)</f>
        <v>0</v>
      </c>
      <c r="AF149" s="27">
        <f>IF(AQ149="2",BH149,0)</f>
        <v>0</v>
      </c>
      <c r="AG149" s="27">
        <f>IF(AQ149="2",BI149,0)</f>
        <v>0</v>
      </c>
      <c r="AH149" s="27">
        <f>IF(AQ149="0",BJ149,0)</f>
        <v>0</v>
      </c>
      <c r="AI149" s="9" t="s">
        <v>53</v>
      </c>
      <c r="AJ149" s="27">
        <f>IF(AN149=0,K149,0)</f>
        <v>0</v>
      </c>
      <c r="AK149" s="27">
        <f>IF(AN149=12,K149,0)</f>
        <v>0</v>
      </c>
      <c r="AL149" s="27">
        <f>IF(AN149=21,K149,0)</f>
        <v>0</v>
      </c>
      <c r="AN149" s="27">
        <v>21</v>
      </c>
      <c r="AO149" s="27">
        <f>H149*0.178757062</f>
        <v>0</v>
      </c>
      <c r="AP149" s="27">
        <f>H149*(1-0.178757062)</f>
        <v>0</v>
      </c>
      <c r="AQ149" s="29" t="s">
        <v>84</v>
      </c>
      <c r="AV149" s="27">
        <f>AW149+AX149</f>
        <v>0</v>
      </c>
      <c r="AW149" s="27">
        <f>G149*AO149</f>
        <v>0</v>
      </c>
      <c r="AX149" s="27">
        <f>G149*AP149</f>
        <v>0</v>
      </c>
      <c r="AY149" s="29" t="s">
        <v>313</v>
      </c>
      <c r="AZ149" s="29" t="s">
        <v>314</v>
      </c>
      <c r="BA149" s="9" t="s">
        <v>63</v>
      </c>
      <c r="BC149" s="27">
        <f>AW149+AX149</f>
        <v>0</v>
      </c>
      <c r="BD149" s="27">
        <f>H149/(100-BE149)*100</f>
        <v>0</v>
      </c>
      <c r="BE149" s="27">
        <v>0</v>
      </c>
      <c r="BF149" s="27">
        <f>149</f>
        <v>149</v>
      </c>
      <c r="BH149" s="27">
        <f>G149*AO149</f>
        <v>0</v>
      </c>
      <c r="BI149" s="27">
        <f>G149*AP149</f>
        <v>0</v>
      </c>
      <c r="BJ149" s="27">
        <f>G149*H149</f>
        <v>0</v>
      </c>
      <c r="BK149" s="27"/>
      <c r="BL149" s="27">
        <v>781</v>
      </c>
      <c r="BW149" s="27">
        <v>21</v>
      </c>
    </row>
    <row r="150" spans="1:12" ht="15">
      <c r="A150" s="52"/>
      <c r="B150" s="53"/>
      <c r="C150" s="53"/>
      <c r="D150" s="54" t="s">
        <v>320</v>
      </c>
      <c r="E150" s="55" t="s">
        <v>321</v>
      </c>
      <c r="F150" s="53"/>
      <c r="G150" s="56">
        <v>5.4</v>
      </c>
      <c r="H150" s="53"/>
      <c r="I150" s="53"/>
      <c r="J150" s="53"/>
      <c r="K150" s="53"/>
      <c r="L150" s="57"/>
    </row>
    <row r="151" spans="1:12" ht="13.5" customHeight="1">
      <c r="A151" s="45"/>
      <c r="C151" s="65" t="s">
        <v>102</v>
      </c>
      <c r="D151" s="173" t="s">
        <v>322</v>
      </c>
      <c r="E151" s="174"/>
      <c r="F151" s="174"/>
      <c r="G151" s="174"/>
      <c r="H151" s="174"/>
      <c r="I151" s="174"/>
      <c r="J151" s="174"/>
      <c r="K151" s="174"/>
      <c r="L151" s="175"/>
    </row>
    <row r="152" spans="1:75" ht="13.5" customHeight="1">
      <c r="A152" s="41" t="s">
        <v>323</v>
      </c>
      <c r="B152" s="42" t="s">
        <v>53</v>
      </c>
      <c r="C152" s="42" t="s">
        <v>324</v>
      </c>
      <c r="D152" s="171" t="s">
        <v>325</v>
      </c>
      <c r="E152" s="172"/>
      <c r="F152" s="42" t="s">
        <v>109</v>
      </c>
      <c r="G152" s="43">
        <v>53.52</v>
      </c>
      <c r="H152" s="43">
        <v>0</v>
      </c>
      <c r="I152" s="43">
        <f>G152*AO152</f>
        <v>0</v>
      </c>
      <c r="J152" s="43">
        <f>G152*AP152</f>
        <v>0</v>
      </c>
      <c r="K152" s="43">
        <f>G152*H152</f>
        <v>0</v>
      </c>
      <c r="L152" s="44" t="s">
        <v>96</v>
      </c>
      <c r="Z152" s="27">
        <f>IF(AQ152="5",BJ152,0)</f>
        <v>0</v>
      </c>
      <c r="AB152" s="27">
        <f>IF(AQ152="1",BH152,0)</f>
        <v>0</v>
      </c>
      <c r="AC152" s="27">
        <f>IF(AQ152="1",BI152,0)</f>
        <v>0</v>
      </c>
      <c r="AD152" s="27">
        <f>IF(AQ152="7",BH152,0)</f>
        <v>0</v>
      </c>
      <c r="AE152" s="27">
        <f>IF(AQ152="7",BI152,0)</f>
        <v>0</v>
      </c>
      <c r="AF152" s="27">
        <f>IF(AQ152="2",BH152,0)</f>
        <v>0</v>
      </c>
      <c r="AG152" s="27">
        <f>IF(AQ152="2",BI152,0)</f>
        <v>0</v>
      </c>
      <c r="AH152" s="27">
        <f>IF(AQ152="0",BJ152,0)</f>
        <v>0</v>
      </c>
      <c r="AI152" s="9" t="s">
        <v>53</v>
      </c>
      <c r="AJ152" s="27">
        <f>IF(AN152=0,K152,0)</f>
        <v>0</v>
      </c>
      <c r="AK152" s="27">
        <f>IF(AN152=12,K152,0)</f>
        <v>0</v>
      </c>
      <c r="AL152" s="27">
        <f>IF(AN152=21,K152,0)</f>
        <v>0</v>
      </c>
      <c r="AN152" s="27">
        <v>21</v>
      </c>
      <c r="AO152" s="27">
        <f>H152*0.196697039</f>
        <v>0</v>
      </c>
      <c r="AP152" s="27">
        <f>H152*(1-0.196697039)</f>
        <v>0</v>
      </c>
      <c r="AQ152" s="29" t="s">
        <v>84</v>
      </c>
      <c r="AV152" s="27">
        <f>AW152+AX152</f>
        <v>0</v>
      </c>
      <c r="AW152" s="27">
        <f>G152*AO152</f>
        <v>0</v>
      </c>
      <c r="AX152" s="27">
        <f>G152*AP152</f>
        <v>0</v>
      </c>
      <c r="AY152" s="29" t="s">
        <v>313</v>
      </c>
      <c r="AZ152" s="29" t="s">
        <v>314</v>
      </c>
      <c r="BA152" s="9" t="s">
        <v>63</v>
      </c>
      <c r="BC152" s="27">
        <f>AW152+AX152</f>
        <v>0</v>
      </c>
      <c r="BD152" s="27">
        <f>H152/(100-BE152)*100</f>
        <v>0</v>
      </c>
      <c r="BE152" s="27">
        <v>0</v>
      </c>
      <c r="BF152" s="27">
        <f>152</f>
        <v>152</v>
      </c>
      <c r="BH152" s="27">
        <f>G152*AO152</f>
        <v>0</v>
      </c>
      <c r="BI152" s="27">
        <f>G152*AP152</f>
        <v>0</v>
      </c>
      <c r="BJ152" s="27">
        <f>G152*H152</f>
        <v>0</v>
      </c>
      <c r="BK152" s="27"/>
      <c r="BL152" s="27">
        <v>781</v>
      </c>
      <c r="BW152" s="27">
        <v>21</v>
      </c>
    </row>
    <row r="153" spans="1:12" ht="13.5" customHeight="1">
      <c r="A153" s="45"/>
      <c r="D153" s="173" t="s">
        <v>326</v>
      </c>
      <c r="E153" s="174"/>
      <c r="F153" s="174"/>
      <c r="G153" s="174"/>
      <c r="H153" s="174"/>
      <c r="I153" s="174"/>
      <c r="J153" s="174"/>
      <c r="K153" s="174"/>
      <c r="L153" s="175"/>
    </row>
    <row r="154" spans="1:12" ht="15">
      <c r="A154" s="46"/>
      <c r="B154" s="47"/>
      <c r="C154" s="47"/>
      <c r="D154" s="48" t="s">
        <v>315</v>
      </c>
      <c r="E154" s="49" t="s">
        <v>139</v>
      </c>
      <c r="F154" s="47"/>
      <c r="G154" s="50">
        <v>17.84</v>
      </c>
      <c r="H154" s="47"/>
      <c r="I154" s="47"/>
      <c r="J154" s="47"/>
      <c r="K154" s="47"/>
      <c r="L154" s="51"/>
    </row>
    <row r="155" spans="1:12" ht="15">
      <c r="A155" s="52"/>
      <c r="B155" s="53"/>
      <c r="C155" s="53"/>
      <c r="D155" s="54" t="s">
        <v>315</v>
      </c>
      <c r="E155" s="55" t="s">
        <v>140</v>
      </c>
      <c r="F155" s="53"/>
      <c r="G155" s="56">
        <v>17.84</v>
      </c>
      <c r="H155" s="53"/>
      <c r="I155" s="53"/>
      <c r="J155" s="53"/>
      <c r="K155" s="53"/>
      <c r="L155" s="57"/>
    </row>
    <row r="156" spans="1:12" ht="15">
      <c r="A156" s="52"/>
      <c r="B156" s="53"/>
      <c r="C156" s="53"/>
      <c r="D156" s="54" t="s">
        <v>315</v>
      </c>
      <c r="E156" s="55" t="s">
        <v>142</v>
      </c>
      <c r="F156" s="53"/>
      <c r="G156" s="56">
        <v>17.84</v>
      </c>
      <c r="H156" s="53"/>
      <c r="I156" s="53"/>
      <c r="J156" s="53"/>
      <c r="K156" s="53"/>
      <c r="L156" s="57"/>
    </row>
    <row r="157" spans="1:12" ht="13.5" customHeight="1">
      <c r="A157" s="45"/>
      <c r="C157" s="65" t="s">
        <v>102</v>
      </c>
      <c r="D157" s="173" t="s">
        <v>327</v>
      </c>
      <c r="E157" s="174"/>
      <c r="F157" s="174"/>
      <c r="G157" s="174"/>
      <c r="H157" s="174"/>
      <c r="I157" s="174"/>
      <c r="J157" s="174"/>
      <c r="K157" s="174"/>
      <c r="L157" s="175"/>
    </row>
    <row r="158" spans="1:75" ht="13.5" customHeight="1">
      <c r="A158" s="89" t="s">
        <v>328</v>
      </c>
      <c r="B158" s="90" t="s">
        <v>53</v>
      </c>
      <c r="C158" s="90" t="s">
        <v>329</v>
      </c>
      <c r="D158" s="191" t="s">
        <v>330</v>
      </c>
      <c r="E158" s="192"/>
      <c r="F158" s="90" t="s">
        <v>109</v>
      </c>
      <c r="G158" s="91">
        <v>57.2664</v>
      </c>
      <c r="H158" s="91">
        <v>0</v>
      </c>
      <c r="I158" s="91">
        <f>G158*AO158</f>
        <v>0</v>
      </c>
      <c r="J158" s="91">
        <f>G158*AP158</f>
        <v>0</v>
      </c>
      <c r="K158" s="91">
        <f>G158*H158</f>
        <v>0</v>
      </c>
      <c r="L158" s="92" t="s">
        <v>96</v>
      </c>
      <c r="Z158" s="27">
        <f>IF(AQ158="5",BJ158,0)</f>
        <v>0</v>
      </c>
      <c r="AB158" s="27">
        <f>IF(AQ158="1",BH158,0)</f>
        <v>0</v>
      </c>
      <c r="AC158" s="27">
        <f>IF(AQ158="1",BI158,0)</f>
        <v>0</v>
      </c>
      <c r="AD158" s="27">
        <f>IF(AQ158="7",BH158,0)</f>
        <v>0</v>
      </c>
      <c r="AE158" s="27">
        <f>IF(AQ158="7",BI158,0)</f>
        <v>0</v>
      </c>
      <c r="AF158" s="27">
        <f>IF(AQ158="2",BH158,0)</f>
        <v>0</v>
      </c>
      <c r="AG158" s="27">
        <f>IF(AQ158="2",BI158,0)</f>
        <v>0</v>
      </c>
      <c r="AH158" s="27">
        <f>IF(AQ158="0",BJ158,0)</f>
        <v>0</v>
      </c>
      <c r="AI158" s="9" t="s">
        <v>53</v>
      </c>
      <c r="AJ158" s="62">
        <f>IF(AN158=0,K158,0)</f>
        <v>0</v>
      </c>
      <c r="AK158" s="62">
        <f>IF(AN158=12,K158,0)</f>
        <v>0</v>
      </c>
      <c r="AL158" s="62">
        <f>IF(AN158=21,K158,0)</f>
        <v>0</v>
      </c>
      <c r="AN158" s="27">
        <v>21</v>
      </c>
      <c r="AO158" s="27">
        <f>H158*1</f>
        <v>0</v>
      </c>
      <c r="AP158" s="27">
        <f>H158*(1-1)</f>
        <v>0</v>
      </c>
      <c r="AQ158" s="64" t="s">
        <v>84</v>
      </c>
      <c r="AV158" s="27">
        <f>AW158+AX158</f>
        <v>0</v>
      </c>
      <c r="AW158" s="27">
        <f>G158*AO158</f>
        <v>0</v>
      </c>
      <c r="AX158" s="27">
        <f>G158*AP158</f>
        <v>0</v>
      </c>
      <c r="AY158" s="29" t="s">
        <v>313</v>
      </c>
      <c r="AZ158" s="29" t="s">
        <v>314</v>
      </c>
      <c r="BA158" s="9" t="s">
        <v>63</v>
      </c>
      <c r="BC158" s="27">
        <f>AW158+AX158</f>
        <v>0</v>
      </c>
      <c r="BD158" s="27">
        <f>H158/(100-BE158)*100</f>
        <v>0</v>
      </c>
      <c r="BE158" s="27">
        <v>0</v>
      </c>
      <c r="BF158" s="27">
        <f>158</f>
        <v>158</v>
      </c>
      <c r="BH158" s="62">
        <f>G158*AO158</f>
        <v>0</v>
      </c>
      <c r="BI158" s="62">
        <f>G158*AP158</f>
        <v>0</v>
      </c>
      <c r="BJ158" s="62">
        <f>G158*H158</f>
        <v>0</v>
      </c>
      <c r="BK158" s="62"/>
      <c r="BL158" s="27">
        <v>781</v>
      </c>
      <c r="BW158" s="27">
        <v>21</v>
      </c>
    </row>
    <row r="159" spans="1:12" ht="15">
      <c r="A159" s="52"/>
      <c r="B159" s="53"/>
      <c r="C159" s="53"/>
      <c r="D159" s="54" t="s">
        <v>331</v>
      </c>
      <c r="E159" s="55" t="s">
        <v>52</v>
      </c>
      <c r="F159" s="53"/>
      <c r="G159" s="56">
        <v>53.52</v>
      </c>
      <c r="H159" s="53"/>
      <c r="I159" s="53"/>
      <c r="J159" s="53"/>
      <c r="K159" s="53"/>
      <c r="L159" s="57"/>
    </row>
    <row r="160" spans="1:12" ht="15">
      <c r="A160" s="52"/>
      <c r="B160" s="53"/>
      <c r="C160" s="53"/>
      <c r="D160" s="54" t="s">
        <v>332</v>
      </c>
      <c r="E160" s="55" t="s">
        <v>52</v>
      </c>
      <c r="F160" s="53"/>
      <c r="G160" s="56">
        <v>3.7464</v>
      </c>
      <c r="H160" s="53"/>
      <c r="I160" s="53"/>
      <c r="J160" s="53"/>
      <c r="K160" s="53"/>
      <c r="L160" s="57"/>
    </row>
    <row r="161" spans="1:12" ht="13.5" customHeight="1">
      <c r="A161" s="45"/>
      <c r="C161" s="65" t="s">
        <v>102</v>
      </c>
      <c r="D161" s="173" t="s">
        <v>333</v>
      </c>
      <c r="E161" s="174"/>
      <c r="F161" s="174"/>
      <c r="G161" s="174"/>
      <c r="H161" s="174"/>
      <c r="I161" s="174"/>
      <c r="J161" s="174"/>
      <c r="K161" s="174"/>
      <c r="L161" s="175"/>
    </row>
    <row r="162" spans="1:75" ht="13.5" customHeight="1">
      <c r="A162" s="41" t="s">
        <v>334</v>
      </c>
      <c r="B162" s="42" t="s">
        <v>53</v>
      </c>
      <c r="C162" s="42" t="s">
        <v>335</v>
      </c>
      <c r="D162" s="171" t="s">
        <v>336</v>
      </c>
      <c r="E162" s="172"/>
      <c r="F162" s="42" t="s">
        <v>126</v>
      </c>
      <c r="G162" s="43">
        <v>51.24</v>
      </c>
      <c r="H162" s="43">
        <v>0</v>
      </c>
      <c r="I162" s="43">
        <f>G162*AO162</f>
        <v>0</v>
      </c>
      <c r="J162" s="43">
        <f>G162*AP162</f>
        <v>0</v>
      </c>
      <c r="K162" s="43">
        <f>G162*H162</f>
        <v>0</v>
      </c>
      <c r="L162" s="44" t="s">
        <v>96</v>
      </c>
      <c r="Z162" s="27">
        <f>IF(AQ162="5",BJ162,0)</f>
        <v>0</v>
      </c>
      <c r="AB162" s="27">
        <f>IF(AQ162="1",BH162,0)</f>
        <v>0</v>
      </c>
      <c r="AC162" s="27">
        <f>IF(AQ162="1",BI162,0)</f>
        <v>0</v>
      </c>
      <c r="AD162" s="27">
        <f>IF(AQ162="7",BH162,0)</f>
        <v>0</v>
      </c>
      <c r="AE162" s="27">
        <f>IF(AQ162="7",BI162,0)</f>
        <v>0</v>
      </c>
      <c r="AF162" s="27">
        <f>IF(AQ162="2",BH162,0)</f>
        <v>0</v>
      </c>
      <c r="AG162" s="27">
        <f>IF(AQ162="2",BI162,0)</f>
        <v>0</v>
      </c>
      <c r="AH162" s="27">
        <f>IF(AQ162="0",BJ162,0)</f>
        <v>0</v>
      </c>
      <c r="AI162" s="9" t="s">
        <v>53</v>
      </c>
      <c r="AJ162" s="27">
        <f>IF(AN162=0,K162,0)</f>
        <v>0</v>
      </c>
      <c r="AK162" s="27">
        <f>IF(AN162=12,K162,0)</f>
        <v>0</v>
      </c>
      <c r="AL162" s="27">
        <f>IF(AN162=21,K162,0)</f>
        <v>0</v>
      </c>
      <c r="AN162" s="27">
        <v>21</v>
      </c>
      <c r="AO162" s="27">
        <f>H162*0.793617694</f>
        <v>0</v>
      </c>
      <c r="AP162" s="27">
        <f>H162*(1-0.793617694)</f>
        <v>0</v>
      </c>
      <c r="AQ162" s="29" t="s">
        <v>84</v>
      </c>
      <c r="AV162" s="27">
        <f>AW162+AX162</f>
        <v>0</v>
      </c>
      <c r="AW162" s="27">
        <f>G162*AO162</f>
        <v>0</v>
      </c>
      <c r="AX162" s="27">
        <f>G162*AP162</f>
        <v>0</v>
      </c>
      <c r="AY162" s="29" t="s">
        <v>313</v>
      </c>
      <c r="AZ162" s="29" t="s">
        <v>314</v>
      </c>
      <c r="BA162" s="9" t="s">
        <v>63</v>
      </c>
      <c r="BC162" s="27">
        <f>AW162+AX162</f>
        <v>0</v>
      </c>
      <c r="BD162" s="27">
        <f>H162/(100-BE162)*100</f>
        <v>0</v>
      </c>
      <c r="BE162" s="27">
        <v>0</v>
      </c>
      <c r="BF162" s="27">
        <f>162</f>
        <v>162</v>
      </c>
      <c r="BH162" s="27">
        <f>G162*AO162</f>
        <v>0</v>
      </c>
      <c r="BI162" s="27">
        <f>G162*AP162</f>
        <v>0</v>
      </c>
      <c r="BJ162" s="27">
        <f>G162*H162</f>
        <v>0</v>
      </c>
      <c r="BK162" s="27"/>
      <c r="BL162" s="27">
        <v>781</v>
      </c>
      <c r="BW162" s="27">
        <v>21</v>
      </c>
    </row>
    <row r="163" spans="1:12" ht="13.5" customHeight="1">
      <c r="A163" s="45"/>
      <c r="D163" s="173" t="s">
        <v>337</v>
      </c>
      <c r="E163" s="174"/>
      <c r="F163" s="174"/>
      <c r="G163" s="174"/>
      <c r="H163" s="174"/>
      <c r="I163" s="174"/>
      <c r="J163" s="174"/>
      <c r="K163" s="174"/>
      <c r="L163" s="175"/>
    </row>
    <row r="164" spans="1:12" ht="15">
      <c r="A164" s="46"/>
      <c r="B164" s="47"/>
      <c r="C164" s="47"/>
      <c r="D164" s="48" t="s">
        <v>338</v>
      </c>
      <c r="E164" s="49" t="s">
        <v>139</v>
      </c>
      <c r="F164" s="47"/>
      <c r="G164" s="50">
        <v>17.08</v>
      </c>
      <c r="H164" s="47"/>
      <c r="I164" s="47"/>
      <c r="J164" s="47"/>
      <c r="K164" s="47"/>
      <c r="L164" s="51"/>
    </row>
    <row r="165" spans="1:12" ht="15">
      <c r="A165" s="52"/>
      <c r="B165" s="53"/>
      <c r="C165" s="53"/>
      <c r="D165" s="54" t="s">
        <v>338</v>
      </c>
      <c r="E165" s="55" t="s">
        <v>139</v>
      </c>
      <c r="F165" s="53"/>
      <c r="G165" s="56">
        <v>17.08</v>
      </c>
      <c r="H165" s="53"/>
      <c r="I165" s="53"/>
      <c r="J165" s="53"/>
      <c r="K165" s="53"/>
      <c r="L165" s="57"/>
    </row>
    <row r="166" spans="1:12" ht="15">
      <c r="A166" s="52"/>
      <c r="B166" s="53"/>
      <c r="C166" s="53"/>
      <c r="D166" s="54" t="s">
        <v>338</v>
      </c>
      <c r="E166" s="55" t="s">
        <v>139</v>
      </c>
      <c r="F166" s="53"/>
      <c r="G166" s="56">
        <v>17.08</v>
      </c>
      <c r="H166" s="53"/>
      <c r="I166" s="53"/>
      <c r="J166" s="53"/>
      <c r="K166" s="53"/>
      <c r="L166" s="57"/>
    </row>
    <row r="167" spans="1:12" ht="13.5" customHeight="1">
      <c r="A167" s="45"/>
      <c r="C167" s="65" t="s">
        <v>102</v>
      </c>
      <c r="D167" s="173" t="s">
        <v>339</v>
      </c>
      <c r="E167" s="174"/>
      <c r="F167" s="174"/>
      <c r="G167" s="174"/>
      <c r="H167" s="174"/>
      <c r="I167" s="174"/>
      <c r="J167" s="174"/>
      <c r="K167" s="174"/>
      <c r="L167" s="175"/>
    </row>
    <row r="168" spans="1:75" ht="13.5" customHeight="1">
      <c r="A168" s="41" t="s">
        <v>340</v>
      </c>
      <c r="B168" s="42" t="s">
        <v>53</v>
      </c>
      <c r="C168" s="42" t="s">
        <v>341</v>
      </c>
      <c r="D168" s="171" t="s">
        <v>342</v>
      </c>
      <c r="E168" s="172"/>
      <c r="F168" s="42" t="s">
        <v>109</v>
      </c>
      <c r="G168" s="43">
        <v>97.476</v>
      </c>
      <c r="H168" s="43">
        <v>0</v>
      </c>
      <c r="I168" s="43">
        <f>G168*AO168</f>
        <v>0</v>
      </c>
      <c r="J168" s="43">
        <f>G168*AP168</f>
        <v>0</v>
      </c>
      <c r="K168" s="43">
        <f>G168*H168</f>
        <v>0</v>
      </c>
      <c r="L168" s="44" t="s">
        <v>96</v>
      </c>
      <c r="Z168" s="27">
        <f>IF(AQ168="5",BJ168,0)</f>
        <v>0</v>
      </c>
      <c r="AB168" s="27">
        <f>IF(AQ168="1",BH168,0)</f>
        <v>0</v>
      </c>
      <c r="AC168" s="27">
        <f>IF(AQ168="1",BI168,0)</f>
        <v>0</v>
      </c>
      <c r="AD168" s="27">
        <f>IF(AQ168="7",BH168,0)</f>
        <v>0</v>
      </c>
      <c r="AE168" s="27">
        <f>IF(AQ168="7",BI168,0)</f>
        <v>0</v>
      </c>
      <c r="AF168" s="27">
        <f>IF(AQ168="2",BH168,0)</f>
        <v>0</v>
      </c>
      <c r="AG168" s="27">
        <f>IF(AQ168="2",BI168,0)</f>
        <v>0</v>
      </c>
      <c r="AH168" s="27">
        <f>IF(AQ168="0",BJ168,0)</f>
        <v>0</v>
      </c>
      <c r="AI168" s="9" t="s">
        <v>53</v>
      </c>
      <c r="AJ168" s="27">
        <f>IF(AN168=0,K168,0)</f>
        <v>0</v>
      </c>
      <c r="AK168" s="27">
        <f>IF(AN168=12,K168,0)</f>
        <v>0</v>
      </c>
      <c r="AL168" s="27">
        <f>IF(AN168=21,K168,0)</f>
        <v>0</v>
      </c>
      <c r="AN168" s="27">
        <v>21</v>
      </c>
      <c r="AO168" s="27">
        <f>H168*0.15113766</f>
        <v>0</v>
      </c>
      <c r="AP168" s="27">
        <f>H168*(1-0.15113766)</f>
        <v>0</v>
      </c>
      <c r="AQ168" s="29" t="s">
        <v>84</v>
      </c>
      <c r="AV168" s="27">
        <f>AW168+AX168</f>
        <v>0</v>
      </c>
      <c r="AW168" s="27">
        <f>G168*AO168</f>
        <v>0</v>
      </c>
      <c r="AX168" s="27">
        <f>G168*AP168</f>
        <v>0</v>
      </c>
      <c r="AY168" s="29" t="s">
        <v>313</v>
      </c>
      <c r="AZ168" s="29" t="s">
        <v>314</v>
      </c>
      <c r="BA168" s="9" t="s">
        <v>63</v>
      </c>
      <c r="BC168" s="27">
        <f>AW168+AX168</f>
        <v>0</v>
      </c>
      <c r="BD168" s="27">
        <f>H168/(100-BE168)*100</f>
        <v>0</v>
      </c>
      <c r="BE168" s="27">
        <v>0</v>
      </c>
      <c r="BF168" s="27">
        <f>168</f>
        <v>168</v>
      </c>
      <c r="BH168" s="27">
        <f>G168*AO168</f>
        <v>0</v>
      </c>
      <c r="BI168" s="27">
        <f>G168*AP168</f>
        <v>0</v>
      </c>
      <c r="BJ168" s="27">
        <f>G168*H168</f>
        <v>0</v>
      </c>
      <c r="BK168" s="27"/>
      <c r="BL168" s="27">
        <v>781</v>
      </c>
      <c r="BW168" s="27">
        <v>21</v>
      </c>
    </row>
    <row r="169" spans="1:12" ht="13.5" customHeight="1">
      <c r="A169" s="45"/>
      <c r="D169" s="173" t="s">
        <v>290</v>
      </c>
      <c r="E169" s="174"/>
      <c r="F169" s="174"/>
      <c r="G169" s="174"/>
      <c r="H169" s="174"/>
      <c r="I169" s="174"/>
      <c r="J169" s="174"/>
      <c r="K169" s="174"/>
      <c r="L169" s="175"/>
    </row>
    <row r="170" spans="1:12" ht="15">
      <c r="A170" s="46"/>
      <c r="B170" s="47"/>
      <c r="C170" s="47"/>
      <c r="D170" s="48" t="s">
        <v>343</v>
      </c>
      <c r="E170" s="49" t="s">
        <v>344</v>
      </c>
      <c r="F170" s="47"/>
      <c r="G170" s="50">
        <v>43.29</v>
      </c>
      <c r="H170" s="47"/>
      <c r="I170" s="47"/>
      <c r="J170" s="47"/>
      <c r="K170" s="47"/>
      <c r="L170" s="51"/>
    </row>
    <row r="171" spans="1:12" ht="15">
      <c r="A171" s="52"/>
      <c r="B171" s="53"/>
      <c r="C171" s="53"/>
      <c r="D171" s="54" t="s">
        <v>331</v>
      </c>
      <c r="E171" s="55" t="s">
        <v>345</v>
      </c>
      <c r="F171" s="53"/>
      <c r="G171" s="56">
        <v>53.52</v>
      </c>
      <c r="H171" s="53"/>
      <c r="I171" s="53"/>
      <c r="J171" s="53"/>
      <c r="K171" s="53"/>
      <c r="L171" s="57"/>
    </row>
    <row r="172" spans="1:12" ht="15">
      <c r="A172" s="52"/>
      <c r="B172" s="53"/>
      <c r="C172" s="53"/>
      <c r="D172" s="54" t="s">
        <v>346</v>
      </c>
      <c r="E172" s="55" t="s">
        <v>347</v>
      </c>
      <c r="F172" s="53"/>
      <c r="G172" s="56">
        <v>0.666</v>
      </c>
      <c r="H172" s="53"/>
      <c r="I172" s="53"/>
      <c r="J172" s="53"/>
      <c r="K172" s="53"/>
      <c r="L172" s="57"/>
    </row>
    <row r="173" spans="1:12" ht="13.5" customHeight="1">
      <c r="A173" s="45"/>
      <c r="C173" s="65" t="s">
        <v>102</v>
      </c>
      <c r="D173" s="173" t="s">
        <v>348</v>
      </c>
      <c r="E173" s="174"/>
      <c r="F173" s="174"/>
      <c r="G173" s="174"/>
      <c r="H173" s="174"/>
      <c r="I173" s="174"/>
      <c r="J173" s="174"/>
      <c r="K173" s="174"/>
      <c r="L173" s="175"/>
    </row>
    <row r="174" spans="1:75" ht="13.5" customHeight="1">
      <c r="A174" s="41" t="s">
        <v>349</v>
      </c>
      <c r="B174" s="42" t="s">
        <v>53</v>
      </c>
      <c r="C174" s="42" t="s">
        <v>350</v>
      </c>
      <c r="D174" s="171" t="s">
        <v>351</v>
      </c>
      <c r="E174" s="172"/>
      <c r="F174" s="42" t="s">
        <v>109</v>
      </c>
      <c r="G174" s="43">
        <v>4.5</v>
      </c>
      <c r="H174" s="43">
        <v>0</v>
      </c>
      <c r="I174" s="43">
        <f>G174*AO174</f>
        <v>0</v>
      </c>
      <c r="J174" s="43">
        <f>G174*AP174</f>
        <v>0</v>
      </c>
      <c r="K174" s="43">
        <f>G174*H174</f>
        <v>0</v>
      </c>
      <c r="L174" s="44" t="s">
        <v>96</v>
      </c>
      <c r="Z174" s="27">
        <f>IF(AQ174="5",BJ174,0)</f>
        <v>0</v>
      </c>
      <c r="AB174" s="27">
        <f>IF(AQ174="1",BH174,0)</f>
        <v>0</v>
      </c>
      <c r="AC174" s="27">
        <f>IF(AQ174="1",BI174,0)</f>
        <v>0</v>
      </c>
      <c r="AD174" s="27">
        <f>IF(AQ174="7",BH174,0)</f>
        <v>0</v>
      </c>
      <c r="AE174" s="27">
        <f>IF(AQ174="7",BI174,0)</f>
        <v>0</v>
      </c>
      <c r="AF174" s="27">
        <f>IF(AQ174="2",BH174,0)</f>
        <v>0</v>
      </c>
      <c r="AG174" s="27">
        <f>IF(AQ174="2",BI174,0)</f>
        <v>0</v>
      </c>
      <c r="AH174" s="27">
        <f>IF(AQ174="0",BJ174,0)</f>
        <v>0</v>
      </c>
      <c r="AI174" s="9" t="s">
        <v>53</v>
      </c>
      <c r="AJ174" s="27">
        <f>IF(AN174=0,K174,0)</f>
        <v>0</v>
      </c>
      <c r="AK174" s="27">
        <f>IF(AN174=12,K174,0)</f>
        <v>0</v>
      </c>
      <c r="AL174" s="27">
        <f>IF(AN174=21,K174,0)</f>
        <v>0</v>
      </c>
      <c r="AN174" s="27">
        <v>21</v>
      </c>
      <c r="AO174" s="27">
        <f>H174*0</f>
        <v>0</v>
      </c>
      <c r="AP174" s="27">
        <f>H174*(1-0)</f>
        <v>0</v>
      </c>
      <c r="AQ174" s="29" t="s">
        <v>84</v>
      </c>
      <c r="AV174" s="27">
        <f>AW174+AX174</f>
        <v>0</v>
      </c>
      <c r="AW174" s="27">
        <f>G174*AO174</f>
        <v>0</v>
      </c>
      <c r="AX174" s="27">
        <f>G174*AP174</f>
        <v>0</v>
      </c>
      <c r="AY174" s="29" t="s">
        <v>313</v>
      </c>
      <c r="AZ174" s="29" t="s">
        <v>314</v>
      </c>
      <c r="BA174" s="9" t="s">
        <v>63</v>
      </c>
      <c r="BC174" s="27">
        <f>AW174+AX174</f>
        <v>0</v>
      </c>
      <c r="BD174" s="27">
        <f>H174/(100-BE174)*100</f>
        <v>0</v>
      </c>
      <c r="BE174" s="27">
        <v>0</v>
      </c>
      <c r="BF174" s="27">
        <f>174</f>
        <v>174</v>
      </c>
      <c r="BH174" s="27">
        <f>G174*AO174</f>
        <v>0</v>
      </c>
      <c r="BI174" s="27">
        <f>G174*AP174</f>
        <v>0</v>
      </c>
      <c r="BJ174" s="27">
        <f>G174*H174</f>
        <v>0</v>
      </c>
      <c r="BK174" s="27"/>
      <c r="BL174" s="27">
        <v>781</v>
      </c>
      <c r="BW174" s="27">
        <v>21</v>
      </c>
    </row>
    <row r="175" spans="1:12" ht="15">
      <c r="A175" s="52"/>
      <c r="B175" s="53"/>
      <c r="C175" s="53"/>
      <c r="D175" s="54" t="s">
        <v>352</v>
      </c>
      <c r="E175" s="55" t="s">
        <v>353</v>
      </c>
      <c r="F175" s="53"/>
      <c r="G175" s="56">
        <v>4.5</v>
      </c>
      <c r="H175" s="53"/>
      <c r="I175" s="53"/>
      <c r="J175" s="53"/>
      <c r="K175" s="53"/>
      <c r="L175" s="57"/>
    </row>
    <row r="176" spans="1:12" ht="13.5" customHeight="1">
      <c r="A176" s="45"/>
      <c r="C176" s="65" t="s">
        <v>102</v>
      </c>
      <c r="D176" s="173" t="s">
        <v>354</v>
      </c>
      <c r="E176" s="174"/>
      <c r="F176" s="174"/>
      <c r="G176" s="174"/>
      <c r="H176" s="174"/>
      <c r="I176" s="174"/>
      <c r="J176" s="174"/>
      <c r="K176" s="174"/>
      <c r="L176" s="175"/>
    </row>
    <row r="177" spans="1:75" ht="13.5" customHeight="1">
      <c r="A177" s="41" t="s">
        <v>355</v>
      </c>
      <c r="B177" s="42" t="s">
        <v>53</v>
      </c>
      <c r="C177" s="42" t="s">
        <v>356</v>
      </c>
      <c r="D177" s="171" t="s">
        <v>357</v>
      </c>
      <c r="E177" s="172"/>
      <c r="F177" s="42" t="s">
        <v>154</v>
      </c>
      <c r="G177" s="43">
        <v>6</v>
      </c>
      <c r="H177" s="43">
        <v>0</v>
      </c>
      <c r="I177" s="43">
        <f>G177*AO177</f>
        <v>0</v>
      </c>
      <c r="J177" s="43">
        <f>G177*AP177</f>
        <v>0</v>
      </c>
      <c r="K177" s="43">
        <f>G177*H177</f>
        <v>0</v>
      </c>
      <c r="L177" s="44" t="s">
        <v>96</v>
      </c>
      <c r="Z177" s="27">
        <f>IF(AQ177="5",BJ177,0)</f>
        <v>0</v>
      </c>
      <c r="AB177" s="27">
        <f>IF(AQ177="1",BH177,0)</f>
        <v>0</v>
      </c>
      <c r="AC177" s="27">
        <f>IF(AQ177="1",BI177,0)</f>
        <v>0</v>
      </c>
      <c r="AD177" s="27">
        <f>IF(AQ177="7",BH177,0)</f>
        <v>0</v>
      </c>
      <c r="AE177" s="27">
        <f>IF(AQ177="7",BI177,0)</f>
        <v>0</v>
      </c>
      <c r="AF177" s="27">
        <f>IF(AQ177="2",BH177,0)</f>
        <v>0</v>
      </c>
      <c r="AG177" s="27">
        <f>IF(AQ177="2",BI177,0)</f>
        <v>0</v>
      </c>
      <c r="AH177" s="27">
        <f>IF(AQ177="0",BJ177,0)</f>
        <v>0</v>
      </c>
      <c r="AI177" s="9" t="s">
        <v>53</v>
      </c>
      <c r="AJ177" s="27">
        <f>IF(AN177=0,K177,0)</f>
        <v>0</v>
      </c>
      <c r="AK177" s="27">
        <f>IF(AN177=12,K177,0)</f>
        <v>0</v>
      </c>
      <c r="AL177" s="27">
        <f>IF(AN177=21,K177,0)</f>
        <v>0</v>
      </c>
      <c r="AN177" s="27">
        <v>21</v>
      </c>
      <c r="AO177" s="27">
        <f>H177*0.01819492</f>
        <v>0</v>
      </c>
      <c r="AP177" s="27">
        <f>H177*(1-0.01819492)</f>
        <v>0</v>
      </c>
      <c r="AQ177" s="29" t="s">
        <v>84</v>
      </c>
      <c r="AV177" s="27">
        <f>AW177+AX177</f>
        <v>0</v>
      </c>
      <c r="AW177" s="27">
        <f>G177*AO177</f>
        <v>0</v>
      </c>
      <c r="AX177" s="27">
        <f>G177*AP177</f>
        <v>0</v>
      </c>
      <c r="AY177" s="29" t="s">
        <v>313</v>
      </c>
      <c r="AZ177" s="29" t="s">
        <v>314</v>
      </c>
      <c r="BA177" s="9" t="s">
        <v>63</v>
      </c>
      <c r="BC177" s="27">
        <f>AW177+AX177</f>
        <v>0</v>
      </c>
      <c r="BD177" s="27">
        <f>H177/(100-BE177)*100</f>
        <v>0</v>
      </c>
      <c r="BE177" s="27">
        <v>0</v>
      </c>
      <c r="BF177" s="27">
        <f>177</f>
        <v>177</v>
      </c>
      <c r="BH177" s="27">
        <f>G177*AO177</f>
        <v>0</v>
      </c>
      <c r="BI177" s="27">
        <f>G177*AP177</f>
        <v>0</v>
      </c>
      <c r="BJ177" s="27">
        <f>G177*H177</f>
        <v>0</v>
      </c>
      <c r="BK177" s="27"/>
      <c r="BL177" s="27">
        <v>781</v>
      </c>
      <c r="BW177" s="27">
        <v>21</v>
      </c>
    </row>
    <row r="178" spans="1:12" ht="15">
      <c r="A178" s="52"/>
      <c r="B178" s="53"/>
      <c r="C178" s="53"/>
      <c r="D178" s="54" t="s">
        <v>358</v>
      </c>
      <c r="E178" s="55" t="s">
        <v>359</v>
      </c>
      <c r="F178" s="53"/>
      <c r="G178" s="56">
        <v>6</v>
      </c>
      <c r="H178" s="53"/>
      <c r="I178" s="53"/>
      <c r="J178" s="53"/>
      <c r="K178" s="53"/>
      <c r="L178" s="57"/>
    </row>
    <row r="179" spans="1:75" ht="13.5" customHeight="1">
      <c r="A179" s="66" t="s">
        <v>360</v>
      </c>
      <c r="B179" s="67" t="s">
        <v>53</v>
      </c>
      <c r="C179" s="67" t="s">
        <v>361</v>
      </c>
      <c r="D179" s="181" t="s">
        <v>362</v>
      </c>
      <c r="E179" s="182"/>
      <c r="F179" s="67" t="s">
        <v>154</v>
      </c>
      <c r="G179" s="68">
        <v>3</v>
      </c>
      <c r="H179" s="68">
        <v>0</v>
      </c>
      <c r="I179" s="68">
        <f>G179*AO179</f>
        <v>0</v>
      </c>
      <c r="J179" s="68">
        <f>G179*AP179</f>
        <v>0</v>
      </c>
      <c r="K179" s="68">
        <f>G179*H179</f>
        <v>0</v>
      </c>
      <c r="L179" s="69" t="s">
        <v>96</v>
      </c>
      <c r="Z179" s="27">
        <f>IF(AQ179="5",BJ179,0)</f>
        <v>0</v>
      </c>
      <c r="AB179" s="27">
        <f>IF(AQ179="1",BH179,0)</f>
        <v>0</v>
      </c>
      <c r="AC179" s="27">
        <f>IF(AQ179="1",BI179,0)</f>
        <v>0</v>
      </c>
      <c r="AD179" s="27">
        <f>IF(AQ179="7",BH179,0)</f>
        <v>0</v>
      </c>
      <c r="AE179" s="27">
        <f>IF(AQ179="7",BI179,0)</f>
        <v>0</v>
      </c>
      <c r="AF179" s="27">
        <f>IF(AQ179="2",BH179,0)</f>
        <v>0</v>
      </c>
      <c r="AG179" s="27">
        <f>IF(AQ179="2",BI179,0)</f>
        <v>0</v>
      </c>
      <c r="AH179" s="27">
        <f>IF(AQ179="0",BJ179,0)</f>
        <v>0</v>
      </c>
      <c r="AI179" s="9" t="s">
        <v>53</v>
      </c>
      <c r="AJ179" s="27">
        <f>IF(AN179=0,K179,0)</f>
        <v>0</v>
      </c>
      <c r="AK179" s="27">
        <f>IF(AN179=12,K179,0)</f>
        <v>0</v>
      </c>
      <c r="AL179" s="27">
        <f>IF(AN179=21,K179,0)</f>
        <v>0</v>
      </c>
      <c r="AN179" s="27">
        <v>21</v>
      </c>
      <c r="AO179" s="27">
        <f>H179*0.059968603</f>
        <v>0</v>
      </c>
      <c r="AP179" s="27">
        <f>H179*(1-0.059968603)</f>
        <v>0</v>
      </c>
      <c r="AQ179" s="29" t="s">
        <v>84</v>
      </c>
      <c r="AV179" s="27">
        <f>AW179+AX179</f>
        <v>0</v>
      </c>
      <c r="AW179" s="27">
        <f>G179*AO179</f>
        <v>0</v>
      </c>
      <c r="AX179" s="27">
        <f>G179*AP179</f>
        <v>0</v>
      </c>
      <c r="AY179" s="29" t="s">
        <v>313</v>
      </c>
      <c r="AZ179" s="29" t="s">
        <v>314</v>
      </c>
      <c r="BA179" s="9" t="s">
        <v>63</v>
      </c>
      <c r="BC179" s="27">
        <f>AW179+AX179</f>
        <v>0</v>
      </c>
      <c r="BD179" s="27">
        <f>H179/(100-BE179)*100</f>
        <v>0</v>
      </c>
      <c r="BE179" s="27">
        <v>0</v>
      </c>
      <c r="BF179" s="27">
        <f>179</f>
        <v>179</v>
      </c>
      <c r="BH179" s="27">
        <f>G179*AO179</f>
        <v>0</v>
      </c>
      <c r="BI179" s="27">
        <f>G179*AP179</f>
        <v>0</v>
      </c>
      <c r="BJ179" s="27">
        <f>G179*H179</f>
        <v>0</v>
      </c>
      <c r="BK179" s="27"/>
      <c r="BL179" s="27">
        <v>781</v>
      </c>
      <c r="BW179" s="27">
        <v>21</v>
      </c>
    </row>
    <row r="180" spans="1:12" ht="15">
      <c r="A180" s="52"/>
      <c r="B180" s="53"/>
      <c r="C180" s="53"/>
      <c r="D180" s="54" t="s">
        <v>72</v>
      </c>
      <c r="E180" s="55" t="s">
        <v>363</v>
      </c>
      <c r="F180" s="53"/>
      <c r="G180" s="56">
        <v>3</v>
      </c>
      <c r="H180" s="53"/>
      <c r="I180" s="53"/>
      <c r="J180" s="53"/>
      <c r="K180" s="53"/>
      <c r="L180" s="57"/>
    </row>
    <row r="181" spans="1:47" ht="15">
      <c r="A181" s="93" t="s">
        <v>52</v>
      </c>
      <c r="B181" s="94" t="s">
        <v>53</v>
      </c>
      <c r="C181" s="94" t="s">
        <v>364</v>
      </c>
      <c r="D181" s="193" t="s">
        <v>365</v>
      </c>
      <c r="E181" s="194"/>
      <c r="F181" s="95" t="s">
        <v>4</v>
      </c>
      <c r="G181" s="95" t="s">
        <v>4</v>
      </c>
      <c r="H181" s="95" t="s">
        <v>4</v>
      </c>
      <c r="I181" s="96">
        <f>SUM(I182:I182)</f>
        <v>0</v>
      </c>
      <c r="J181" s="96">
        <f>SUM(J182:J182)</f>
        <v>0</v>
      </c>
      <c r="K181" s="96">
        <f>SUM(K182:K182)</f>
        <v>0</v>
      </c>
      <c r="L181" s="97" t="s">
        <v>52</v>
      </c>
      <c r="AI181" s="9" t="s">
        <v>53</v>
      </c>
      <c r="AS181" s="1">
        <f>SUM(AJ182:AJ182)</f>
        <v>0</v>
      </c>
      <c r="AT181" s="1">
        <f>SUM(AK182:AK182)</f>
        <v>0</v>
      </c>
      <c r="AU181" s="1">
        <f>SUM(AL182:AL182)</f>
        <v>0</v>
      </c>
    </row>
    <row r="182" spans="1:75" ht="13.5" customHeight="1">
      <c r="A182" s="2" t="s">
        <v>366</v>
      </c>
      <c r="B182" s="3" t="s">
        <v>53</v>
      </c>
      <c r="C182" s="3" t="s">
        <v>367</v>
      </c>
      <c r="D182" s="148" t="s">
        <v>368</v>
      </c>
      <c r="E182" s="143"/>
      <c r="F182" s="3" t="s">
        <v>109</v>
      </c>
      <c r="G182" s="27">
        <v>6.37</v>
      </c>
      <c r="H182" s="27">
        <v>0</v>
      </c>
      <c r="I182" s="27">
        <f>G182*AO182</f>
        <v>0</v>
      </c>
      <c r="J182" s="27">
        <f>G182*AP182</f>
        <v>0</v>
      </c>
      <c r="K182" s="27">
        <f>G182*H182</f>
        <v>0</v>
      </c>
      <c r="L182" s="28" t="s">
        <v>137</v>
      </c>
      <c r="Z182" s="27">
        <f>IF(AQ182="5",BJ182,0)</f>
        <v>0</v>
      </c>
      <c r="AB182" s="27">
        <f>IF(AQ182="1",BH182,0)</f>
        <v>0</v>
      </c>
      <c r="AC182" s="27">
        <f>IF(AQ182="1",BI182,0)</f>
        <v>0</v>
      </c>
      <c r="AD182" s="27">
        <f>IF(AQ182="7",BH182,0)</f>
        <v>0</v>
      </c>
      <c r="AE182" s="27">
        <f>IF(AQ182="7",BI182,0)</f>
        <v>0</v>
      </c>
      <c r="AF182" s="27">
        <f>IF(AQ182="2",BH182,0)</f>
        <v>0</v>
      </c>
      <c r="AG182" s="27">
        <f>IF(AQ182="2",BI182,0)</f>
        <v>0</v>
      </c>
      <c r="AH182" s="27">
        <f>IF(AQ182="0",BJ182,0)</f>
        <v>0</v>
      </c>
      <c r="AI182" s="9" t="s">
        <v>53</v>
      </c>
      <c r="AJ182" s="27">
        <f>IF(AN182=0,K182,0)</f>
        <v>0</v>
      </c>
      <c r="AK182" s="27">
        <f>IF(AN182=12,K182,0)</f>
        <v>0</v>
      </c>
      <c r="AL182" s="27">
        <f>IF(AN182=21,K182,0)</f>
        <v>0</v>
      </c>
      <c r="AN182" s="27">
        <v>21</v>
      </c>
      <c r="AO182" s="27">
        <f>H182*0.196674647</f>
        <v>0</v>
      </c>
      <c r="AP182" s="27">
        <f>H182*(1-0.196674647)</f>
        <v>0</v>
      </c>
      <c r="AQ182" s="29" t="s">
        <v>84</v>
      </c>
      <c r="AV182" s="27">
        <f>AW182+AX182</f>
        <v>0</v>
      </c>
      <c r="AW182" s="27">
        <f>G182*AO182</f>
        <v>0</v>
      </c>
      <c r="AX182" s="27">
        <f>G182*AP182</f>
        <v>0</v>
      </c>
      <c r="AY182" s="29" t="s">
        <v>369</v>
      </c>
      <c r="AZ182" s="29" t="s">
        <v>314</v>
      </c>
      <c r="BA182" s="9" t="s">
        <v>63</v>
      </c>
      <c r="BC182" s="27">
        <f>AW182+AX182</f>
        <v>0</v>
      </c>
      <c r="BD182" s="27">
        <f>H182/(100-BE182)*100</f>
        <v>0</v>
      </c>
      <c r="BE182" s="27">
        <v>0</v>
      </c>
      <c r="BF182" s="27">
        <f>182</f>
        <v>182</v>
      </c>
      <c r="BH182" s="27">
        <f>G182*AO182</f>
        <v>0</v>
      </c>
      <c r="BI182" s="27">
        <f>G182*AP182</f>
        <v>0</v>
      </c>
      <c r="BJ182" s="27">
        <f>G182*H182</f>
        <v>0</v>
      </c>
      <c r="BK182" s="27"/>
      <c r="BL182" s="27">
        <v>783</v>
      </c>
      <c r="BW182" s="27">
        <v>21</v>
      </c>
    </row>
    <row r="183" spans="1:12" ht="15">
      <c r="A183" s="30"/>
      <c r="D183" s="32" t="s">
        <v>370</v>
      </c>
      <c r="E183" s="31" t="s">
        <v>371</v>
      </c>
      <c r="G183" s="33">
        <v>3.75</v>
      </c>
      <c r="L183" s="34"/>
    </row>
    <row r="184" spans="1:12" ht="15">
      <c r="A184" s="30"/>
      <c r="D184" s="32" t="s">
        <v>372</v>
      </c>
      <c r="E184" s="31" t="s">
        <v>373</v>
      </c>
      <c r="G184" s="33">
        <v>2.62</v>
      </c>
      <c r="L184" s="34"/>
    </row>
    <row r="185" spans="1:47" ht="15">
      <c r="A185" s="23" t="s">
        <v>52</v>
      </c>
      <c r="B185" s="24" t="s">
        <v>53</v>
      </c>
      <c r="C185" s="24" t="s">
        <v>374</v>
      </c>
      <c r="D185" s="164" t="s">
        <v>375</v>
      </c>
      <c r="E185" s="165"/>
      <c r="F185" s="25" t="s">
        <v>4</v>
      </c>
      <c r="G185" s="25" t="s">
        <v>4</v>
      </c>
      <c r="H185" s="25" t="s">
        <v>4</v>
      </c>
      <c r="I185" s="1">
        <f>SUM(I186:I194)</f>
        <v>0</v>
      </c>
      <c r="J185" s="1">
        <f>SUM(J186:J194)</f>
        <v>0</v>
      </c>
      <c r="K185" s="1">
        <f>SUM(K186:K194)</f>
        <v>0</v>
      </c>
      <c r="L185" s="26" t="s">
        <v>52</v>
      </c>
      <c r="AI185" s="9" t="s">
        <v>53</v>
      </c>
      <c r="AS185" s="1">
        <f>SUM(AJ186:AJ194)</f>
        <v>0</v>
      </c>
      <c r="AT185" s="1">
        <f>SUM(AK186:AK194)</f>
        <v>0</v>
      </c>
      <c r="AU185" s="1">
        <f>SUM(AL186:AL194)</f>
        <v>0</v>
      </c>
    </row>
    <row r="186" spans="1:75" ht="13.5" customHeight="1">
      <c r="A186" s="2" t="s">
        <v>376</v>
      </c>
      <c r="B186" s="3" t="s">
        <v>53</v>
      </c>
      <c r="C186" s="3" t="s">
        <v>377</v>
      </c>
      <c r="D186" s="148" t="s">
        <v>378</v>
      </c>
      <c r="E186" s="143"/>
      <c r="F186" s="3" t="s">
        <v>109</v>
      </c>
      <c r="G186" s="27">
        <v>81.822</v>
      </c>
      <c r="H186" s="27">
        <v>0</v>
      </c>
      <c r="I186" s="27">
        <f>G186*AO186</f>
        <v>0</v>
      </c>
      <c r="J186" s="27">
        <f>G186*AP186</f>
        <v>0</v>
      </c>
      <c r="K186" s="27">
        <f>G186*H186</f>
        <v>0</v>
      </c>
      <c r="L186" s="28" t="s">
        <v>96</v>
      </c>
      <c r="Z186" s="27">
        <f>IF(AQ186="5",BJ186,0)</f>
        <v>0</v>
      </c>
      <c r="AB186" s="27">
        <f>IF(AQ186="1",BH186,0)</f>
        <v>0</v>
      </c>
      <c r="AC186" s="27">
        <f>IF(AQ186="1",BI186,0)</f>
        <v>0</v>
      </c>
      <c r="AD186" s="27">
        <f>IF(AQ186="7",BH186,0)</f>
        <v>0</v>
      </c>
      <c r="AE186" s="27">
        <f>IF(AQ186="7",BI186,0)</f>
        <v>0</v>
      </c>
      <c r="AF186" s="27">
        <f>IF(AQ186="2",BH186,0)</f>
        <v>0</v>
      </c>
      <c r="AG186" s="27">
        <f>IF(AQ186="2",BI186,0)</f>
        <v>0</v>
      </c>
      <c r="AH186" s="27">
        <f>IF(AQ186="0",BJ186,0)</f>
        <v>0</v>
      </c>
      <c r="AI186" s="9" t="s">
        <v>53</v>
      </c>
      <c r="AJ186" s="27">
        <f>IF(AN186=0,K186,0)</f>
        <v>0</v>
      </c>
      <c r="AK186" s="27">
        <f>IF(AN186=12,K186,0)</f>
        <v>0</v>
      </c>
      <c r="AL186" s="27">
        <f>IF(AN186=21,K186,0)</f>
        <v>0</v>
      </c>
      <c r="AN186" s="27">
        <v>21</v>
      </c>
      <c r="AO186" s="27">
        <f>H186*0.240343675</f>
        <v>0</v>
      </c>
      <c r="AP186" s="27">
        <f>H186*(1-0.240343675)</f>
        <v>0</v>
      </c>
      <c r="AQ186" s="29" t="s">
        <v>84</v>
      </c>
      <c r="AV186" s="27">
        <f>AW186+AX186</f>
        <v>0</v>
      </c>
      <c r="AW186" s="27">
        <f>G186*AO186</f>
        <v>0</v>
      </c>
      <c r="AX186" s="27">
        <f>G186*AP186</f>
        <v>0</v>
      </c>
      <c r="AY186" s="29" t="s">
        <v>379</v>
      </c>
      <c r="AZ186" s="29" t="s">
        <v>314</v>
      </c>
      <c r="BA186" s="9" t="s">
        <v>63</v>
      </c>
      <c r="BC186" s="27">
        <f>AW186+AX186</f>
        <v>0</v>
      </c>
      <c r="BD186" s="27">
        <f>H186/(100-BE186)*100</f>
        <v>0</v>
      </c>
      <c r="BE186" s="27">
        <v>0</v>
      </c>
      <c r="BF186" s="27">
        <f>186</f>
        <v>186</v>
      </c>
      <c r="BH186" s="27">
        <f>G186*AO186</f>
        <v>0</v>
      </c>
      <c r="BI186" s="27">
        <f>G186*AP186</f>
        <v>0</v>
      </c>
      <c r="BJ186" s="27">
        <f>G186*H186</f>
        <v>0</v>
      </c>
      <c r="BK186" s="27"/>
      <c r="BL186" s="27">
        <v>784</v>
      </c>
      <c r="BW186" s="27">
        <v>21</v>
      </c>
    </row>
    <row r="187" spans="1:12" ht="15">
      <c r="A187" s="30"/>
      <c r="D187" s="32" t="s">
        <v>380</v>
      </c>
      <c r="E187" s="31" t="s">
        <v>381</v>
      </c>
      <c r="G187" s="33">
        <v>126.96</v>
      </c>
      <c r="L187" s="34"/>
    </row>
    <row r="188" spans="1:12" ht="15">
      <c r="A188" s="30"/>
      <c r="D188" s="32" t="s">
        <v>382</v>
      </c>
      <c r="E188" s="31" t="s">
        <v>383</v>
      </c>
      <c r="G188" s="33">
        <v>-60.138</v>
      </c>
      <c r="L188" s="34"/>
    </row>
    <row r="189" spans="1:12" ht="15">
      <c r="A189" s="30"/>
      <c r="D189" s="32" t="s">
        <v>384</v>
      </c>
      <c r="E189" s="31" t="s">
        <v>385</v>
      </c>
      <c r="G189" s="33">
        <v>15</v>
      </c>
      <c r="L189" s="34"/>
    </row>
    <row r="190" spans="1:12" ht="27" customHeight="1">
      <c r="A190" s="30"/>
      <c r="C190" s="35" t="s">
        <v>102</v>
      </c>
      <c r="D190" s="166" t="s">
        <v>386</v>
      </c>
      <c r="E190" s="167"/>
      <c r="F190" s="167"/>
      <c r="G190" s="167"/>
      <c r="H190" s="167"/>
      <c r="I190" s="167"/>
      <c r="J190" s="167"/>
      <c r="K190" s="167"/>
      <c r="L190" s="168"/>
    </row>
    <row r="191" spans="1:75" ht="13.5" customHeight="1">
      <c r="A191" s="2" t="s">
        <v>387</v>
      </c>
      <c r="B191" s="3" t="s">
        <v>53</v>
      </c>
      <c r="C191" s="3" t="s">
        <v>388</v>
      </c>
      <c r="D191" s="148" t="s">
        <v>389</v>
      </c>
      <c r="E191" s="143"/>
      <c r="F191" s="3" t="s">
        <v>109</v>
      </c>
      <c r="G191" s="27">
        <v>81.822</v>
      </c>
      <c r="H191" s="27">
        <v>0</v>
      </c>
      <c r="I191" s="27">
        <f>G191*AO191</f>
        <v>0</v>
      </c>
      <c r="J191" s="27">
        <f>G191*AP191</f>
        <v>0</v>
      </c>
      <c r="K191" s="27">
        <f>G191*H191</f>
        <v>0</v>
      </c>
      <c r="L191" s="28" t="s">
        <v>96</v>
      </c>
      <c r="Z191" s="27">
        <f>IF(AQ191="5",BJ191,0)</f>
        <v>0</v>
      </c>
      <c r="AB191" s="27">
        <f>IF(AQ191="1",BH191,0)</f>
        <v>0</v>
      </c>
      <c r="AC191" s="27">
        <f>IF(AQ191="1",BI191,0)</f>
        <v>0</v>
      </c>
      <c r="AD191" s="27">
        <f>IF(AQ191="7",BH191,0)</f>
        <v>0</v>
      </c>
      <c r="AE191" s="27">
        <f>IF(AQ191="7",BI191,0)</f>
        <v>0</v>
      </c>
      <c r="AF191" s="27">
        <f>IF(AQ191="2",BH191,0)</f>
        <v>0</v>
      </c>
      <c r="AG191" s="27">
        <f>IF(AQ191="2",BI191,0)</f>
        <v>0</v>
      </c>
      <c r="AH191" s="27">
        <f>IF(AQ191="0",BJ191,0)</f>
        <v>0</v>
      </c>
      <c r="AI191" s="9" t="s">
        <v>53</v>
      </c>
      <c r="AJ191" s="27">
        <f>IF(AN191=0,K191,0)</f>
        <v>0</v>
      </c>
      <c r="AK191" s="27">
        <f>IF(AN191=12,K191,0)</f>
        <v>0</v>
      </c>
      <c r="AL191" s="27">
        <f>IF(AN191=21,K191,0)</f>
        <v>0</v>
      </c>
      <c r="AN191" s="27">
        <v>21</v>
      </c>
      <c r="AO191" s="27">
        <f>H191*0.10787778</f>
        <v>0</v>
      </c>
      <c r="AP191" s="27">
        <f>H191*(1-0.10787778)</f>
        <v>0</v>
      </c>
      <c r="AQ191" s="29" t="s">
        <v>84</v>
      </c>
      <c r="AV191" s="27">
        <f>AW191+AX191</f>
        <v>0</v>
      </c>
      <c r="AW191" s="27">
        <f>G191*AO191</f>
        <v>0</v>
      </c>
      <c r="AX191" s="27">
        <f>G191*AP191</f>
        <v>0</v>
      </c>
      <c r="AY191" s="29" t="s">
        <v>379</v>
      </c>
      <c r="AZ191" s="29" t="s">
        <v>314</v>
      </c>
      <c r="BA191" s="9" t="s">
        <v>63</v>
      </c>
      <c r="BC191" s="27">
        <f>AW191+AX191</f>
        <v>0</v>
      </c>
      <c r="BD191" s="27">
        <f>H191/(100-BE191)*100</f>
        <v>0</v>
      </c>
      <c r="BE191" s="27">
        <v>0</v>
      </c>
      <c r="BF191" s="27">
        <f>191</f>
        <v>191</v>
      </c>
      <c r="BH191" s="27">
        <f>G191*AO191</f>
        <v>0</v>
      </c>
      <c r="BI191" s="27">
        <f>G191*AP191</f>
        <v>0</v>
      </c>
      <c r="BJ191" s="27">
        <f>G191*H191</f>
        <v>0</v>
      </c>
      <c r="BK191" s="27"/>
      <c r="BL191" s="27">
        <v>784</v>
      </c>
      <c r="BW191" s="27">
        <v>21</v>
      </c>
    </row>
    <row r="192" spans="1:12" ht="15">
      <c r="A192" s="30"/>
      <c r="D192" s="32" t="s">
        <v>390</v>
      </c>
      <c r="E192" s="31" t="s">
        <v>391</v>
      </c>
      <c r="G192" s="33">
        <v>81.822</v>
      </c>
      <c r="L192" s="34"/>
    </row>
    <row r="193" spans="1:12" ht="13.5" customHeight="1">
      <c r="A193" s="30"/>
      <c r="C193" s="35" t="s">
        <v>102</v>
      </c>
      <c r="D193" s="166" t="s">
        <v>392</v>
      </c>
      <c r="E193" s="167"/>
      <c r="F193" s="167"/>
      <c r="G193" s="167"/>
      <c r="H193" s="167"/>
      <c r="I193" s="167"/>
      <c r="J193" s="167"/>
      <c r="K193" s="167"/>
      <c r="L193" s="168"/>
    </row>
    <row r="194" spans="1:75" ht="13.5" customHeight="1">
      <c r="A194" s="2" t="s">
        <v>393</v>
      </c>
      <c r="B194" s="3" t="s">
        <v>53</v>
      </c>
      <c r="C194" s="3" t="s">
        <v>394</v>
      </c>
      <c r="D194" s="148" t="s">
        <v>395</v>
      </c>
      <c r="E194" s="143"/>
      <c r="F194" s="3" t="s">
        <v>109</v>
      </c>
      <c r="G194" s="27">
        <v>81.822</v>
      </c>
      <c r="H194" s="27">
        <v>0</v>
      </c>
      <c r="I194" s="27">
        <f>G194*AO194</f>
        <v>0</v>
      </c>
      <c r="J194" s="27">
        <f>G194*AP194</f>
        <v>0</v>
      </c>
      <c r="K194" s="27">
        <f>G194*H194</f>
        <v>0</v>
      </c>
      <c r="L194" s="28" t="s">
        <v>137</v>
      </c>
      <c r="Z194" s="27">
        <f>IF(AQ194="5",BJ194,0)</f>
        <v>0</v>
      </c>
      <c r="AB194" s="27">
        <f>IF(AQ194="1",BH194,0)</f>
        <v>0</v>
      </c>
      <c r="AC194" s="27">
        <f>IF(AQ194="1",BI194,0)</f>
        <v>0</v>
      </c>
      <c r="AD194" s="27">
        <f>IF(AQ194="7",BH194,0)</f>
        <v>0</v>
      </c>
      <c r="AE194" s="27">
        <f>IF(AQ194="7",BI194,0)</f>
        <v>0</v>
      </c>
      <c r="AF194" s="27">
        <f>IF(AQ194="2",BH194,0)</f>
        <v>0</v>
      </c>
      <c r="AG194" s="27">
        <f>IF(AQ194="2",BI194,0)</f>
        <v>0</v>
      </c>
      <c r="AH194" s="27">
        <f>IF(AQ194="0",BJ194,0)</f>
        <v>0</v>
      </c>
      <c r="AI194" s="9" t="s">
        <v>53</v>
      </c>
      <c r="AJ194" s="27">
        <f>IF(AN194=0,K194,0)</f>
        <v>0</v>
      </c>
      <c r="AK194" s="27">
        <f>IF(AN194=12,K194,0)</f>
        <v>0</v>
      </c>
      <c r="AL194" s="27">
        <f>IF(AN194=21,K194,0)</f>
        <v>0</v>
      </c>
      <c r="AN194" s="27">
        <v>21</v>
      </c>
      <c r="AO194" s="27">
        <f>H194*0.004214568</f>
        <v>0</v>
      </c>
      <c r="AP194" s="27">
        <f>H194*(1-0.004214568)</f>
        <v>0</v>
      </c>
      <c r="AQ194" s="29" t="s">
        <v>84</v>
      </c>
      <c r="AV194" s="27">
        <f>AW194+AX194</f>
        <v>0</v>
      </c>
      <c r="AW194" s="27">
        <f>G194*AO194</f>
        <v>0</v>
      </c>
      <c r="AX194" s="27">
        <f>G194*AP194</f>
        <v>0</v>
      </c>
      <c r="AY194" s="29" t="s">
        <v>379</v>
      </c>
      <c r="AZ194" s="29" t="s">
        <v>314</v>
      </c>
      <c r="BA194" s="9" t="s">
        <v>63</v>
      </c>
      <c r="BC194" s="27">
        <f>AW194+AX194</f>
        <v>0</v>
      </c>
      <c r="BD194" s="27">
        <f>H194/(100-BE194)*100</f>
        <v>0</v>
      </c>
      <c r="BE194" s="27">
        <v>0</v>
      </c>
      <c r="BF194" s="27">
        <f>194</f>
        <v>194</v>
      </c>
      <c r="BH194" s="27">
        <f>G194*AO194</f>
        <v>0</v>
      </c>
      <c r="BI194" s="27">
        <f>G194*AP194</f>
        <v>0</v>
      </c>
      <c r="BJ194" s="27">
        <f>G194*H194</f>
        <v>0</v>
      </c>
      <c r="BK194" s="27"/>
      <c r="BL194" s="27">
        <v>784</v>
      </c>
      <c r="BW194" s="27">
        <v>21</v>
      </c>
    </row>
    <row r="195" spans="1:12" ht="15">
      <c r="A195" s="30"/>
      <c r="D195" s="32" t="s">
        <v>390</v>
      </c>
      <c r="E195" s="31" t="s">
        <v>391</v>
      </c>
      <c r="G195" s="33">
        <v>81.822</v>
      </c>
      <c r="L195" s="34"/>
    </row>
    <row r="196" spans="1:12" ht="13.5" customHeight="1">
      <c r="A196" s="30"/>
      <c r="C196" s="35" t="s">
        <v>102</v>
      </c>
      <c r="D196" s="166" t="s">
        <v>396</v>
      </c>
      <c r="E196" s="167"/>
      <c r="F196" s="167"/>
      <c r="G196" s="167"/>
      <c r="H196" s="167"/>
      <c r="I196" s="167"/>
      <c r="J196" s="167"/>
      <c r="K196" s="167"/>
      <c r="L196" s="168"/>
    </row>
    <row r="197" spans="1:47" ht="15">
      <c r="A197" s="36" t="s">
        <v>52</v>
      </c>
      <c r="B197" s="37" t="s">
        <v>53</v>
      </c>
      <c r="C197" s="37" t="s">
        <v>397</v>
      </c>
      <c r="D197" s="169" t="s">
        <v>398</v>
      </c>
      <c r="E197" s="170"/>
      <c r="F197" s="38" t="s">
        <v>4</v>
      </c>
      <c r="G197" s="38" t="s">
        <v>4</v>
      </c>
      <c r="H197" s="38" t="s">
        <v>4</v>
      </c>
      <c r="I197" s="39">
        <f>SUM(I198:I200)</f>
        <v>0</v>
      </c>
      <c r="J197" s="39">
        <f>SUM(J198:J200)</f>
        <v>0</v>
      </c>
      <c r="K197" s="39">
        <f>SUM(K198:K200)</f>
        <v>0</v>
      </c>
      <c r="L197" s="40" t="s">
        <v>52</v>
      </c>
      <c r="AI197" s="9" t="s">
        <v>53</v>
      </c>
      <c r="AS197" s="1">
        <f>SUM(AJ198:AJ200)</f>
        <v>0</v>
      </c>
      <c r="AT197" s="1">
        <f>SUM(AK198:AK200)</f>
        <v>0</v>
      </c>
      <c r="AU197" s="1">
        <f>SUM(AL198:AL200)</f>
        <v>0</v>
      </c>
    </row>
    <row r="198" spans="1:75" ht="13.5" customHeight="1">
      <c r="A198" s="41" t="s">
        <v>399</v>
      </c>
      <c r="B198" s="42" t="s">
        <v>53</v>
      </c>
      <c r="C198" s="42" t="s">
        <v>400</v>
      </c>
      <c r="D198" s="171" t="s">
        <v>401</v>
      </c>
      <c r="E198" s="172"/>
      <c r="F198" s="42" t="s">
        <v>109</v>
      </c>
      <c r="G198" s="43">
        <v>2.4</v>
      </c>
      <c r="H198" s="43">
        <v>0</v>
      </c>
      <c r="I198" s="43">
        <f>G198*AO198</f>
        <v>0</v>
      </c>
      <c r="J198" s="43">
        <f>G198*AP198</f>
        <v>0</v>
      </c>
      <c r="K198" s="43">
        <f>G198*H198</f>
        <v>0</v>
      </c>
      <c r="L198" s="44" t="s">
        <v>96</v>
      </c>
      <c r="Z198" s="27">
        <f>IF(AQ198="5",BJ198,0)</f>
        <v>0</v>
      </c>
      <c r="AB198" s="27">
        <f>IF(AQ198="1",BH198,0)</f>
        <v>0</v>
      </c>
      <c r="AC198" s="27">
        <f>IF(AQ198="1",BI198,0)</f>
        <v>0</v>
      </c>
      <c r="AD198" s="27">
        <f>IF(AQ198="7",BH198,0)</f>
        <v>0</v>
      </c>
      <c r="AE198" s="27">
        <f>IF(AQ198="7",BI198,0)</f>
        <v>0</v>
      </c>
      <c r="AF198" s="27">
        <f>IF(AQ198="2",BH198,0)</f>
        <v>0</v>
      </c>
      <c r="AG198" s="27">
        <f>IF(AQ198="2",BI198,0)</f>
        <v>0</v>
      </c>
      <c r="AH198" s="27">
        <f>IF(AQ198="0",BJ198,0)</f>
        <v>0</v>
      </c>
      <c r="AI198" s="9" t="s">
        <v>53</v>
      </c>
      <c r="AJ198" s="27">
        <f>IF(AN198=0,K198,0)</f>
        <v>0</v>
      </c>
      <c r="AK198" s="27">
        <f>IF(AN198=12,K198,0)</f>
        <v>0</v>
      </c>
      <c r="AL198" s="27">
        <f>IF(AN198=21,K198,0)</f>
        <v>0</v>
      </c>
      <c r="AN198" s="27">
        <v>21</v>
      </c>
      <c r="AO198" s="27">
        <f>H198*0.026839712</f>
        <v>0</v>
      </c>
      <c r="AP198" s="27">
        <f>H198*(1-0.026839712)</f>
        <v>0</v>
      </c>
      <c r="AQ198" s="29" t="s">
        <v>84</v>
      </c>
      <c r="AV198" s="27">
        <f>AW198+AX198</f>
        <v>0</v>
      </c>
      <c r="AW198" s="27">
        <f>G198*AO198</f>
        <v>0</v>
      </c>
      <c r="AX198" s="27">
        <f>G198*AP198</f>
        <v>0</v>
      </c>
      <c r="AY198" s="29" t="s">
        <v>402</v>
      </c>
      <c r="AZ198" s="29" t="s">
        <v>314</v>
      </c>
      <c r="BA198" s="9" t="s">
        <v>63</v>
      </c>
      <c r="BC198" s="27">
        <f>AW198+AX198</f>
        <v>0</v>
      </c>
      <c r="BD198" s="27">
        <f>H198/(100-BE198)*100</f>
        <v>0</v>
      </c>
      <c r="BE198" s="27">
        <v>0</v>
      </c>
      <c r="BF198" s="27">
        <f>198</f>
        <v>198</v>
      </c>
      <c r="BH198" s="27">
        <f>G198*AO198</f>
        <v>0</v>
      </c>
      <c r="BI198" s="27">
        <f>G198*AP198</f>
        <v>0</v>
      </c>
      <c r="BJ198" s="27">
        <f>G198*H198</f>
        <v>0</v>
      </c>
      <c r="BK198" s="27"/>
      <c r="BL198" s="27">
        <v>787</v>
      </c>
      <c r="BW198" s="27">
        <v>21</v>
      </c>
    </row>
    <row r="199" spans="1:12" ht="15">
      <c r="A199" s="52"/>
      <c r="B199" s="53"/>
      <c r="C199" s="53"/>
      <c r="D199" s="54" t="s">
        <v>403</v>
      </c>
      <c r="E199" s="55" t="s">
        <v>404</v>
      </c>
      <c r="F199" s="53"/>
      <c r="G199" s="56">
        <v>2.4</v>
      </c>
      <c r="H199" s="53"/>
      <c r="I199" s="53"/>
      <c r="J199" s="53"/>
      <c r="K199" s="53"/>
      <c r="L199" s="57"/>
    </row>
    <row r="200" spans="1:75" ht="13.5" customHeight="1">
      <c r="A200" s="80" t="s">
        <v>405</v>
      </c>
      <c r="B200" s="81" t="s">
        <v>53</v>
      </c>
      <c r="C200" s="81" t="s">
        <v>406</v>
      </c>
      <c r="D200" s="187" t="s">
        <v>407</v>
      </c>
      <c r="E200" s="188"/>
      <c r="F200" s="81" t="s">
        <v>109</v>
      </c>
      <c r="G200" s="82">
        <v>2.4</v>
      </c>
      <c r="H200" s="82">
        <v>0</v>
      </c>
      <c r="I200" s="82">
        <f>G200*AO200</f>
        <v>0</v>
      </c>
      <c r="J200" s="82">
        <f>G200*AP200</f>
        <v>0</v>
      </c>
      <c r="K200" s="82">
        <f>G200*H200</f>
        <v>0</v>
      </c>
      <c r="L200" s="83" t="s">
        <v>96</v>
      </c>
      <c r="Z200" s="27">
        <f>IF(AQ200="5",BJ200,0)</f>
        <v>0</v>
      </c>
      <c r="AB200" s="27">
        <f>IF(AQ200="1",BH200,0)</f>
        <v>0</v>
      </c>
      <c r="AC200" s="27">
        <f>IF(AQ200="1",BI200,0)</f>
        <v>0</v>
      </c>
      <c r="AD200" s="27">
        <f>IF(AQ200="7",BH200,0)</f>
        <v>0</v>
      </c>
      <c r="AE200" s="27">
        <f>IF(AQ200="7",BI200,0)</f>
        <v>0</v>
      </c>
      <c r="AF200" s="27">
        <f>IF(AQ200="2",BH200,0)</f>
        <v>0</v>
      </c>
      <c r="AG200" s="27">
        <f>IF(AQ200="2",BI200,0)</f>
        <v>0</v>
      </c>
      <c r="AH200" s="27">
        <f>IF(AQ200="0",BJ200,0)</f>
        <v>0</v>
      </c>
      <c r="AI200" s="9" t="s">
        <v>53</v>
      </c>
      <c r="AJ200" s="62">
        <f>IF(AN200=0,K200,0)</f>
        <v>0</v>
      </c>
      <c r="AK200" s="62">
        <f>IF(AN200=12,K200,0)</f>
        <v>0</v>
      </c>
      <c r="AL200" s="62">
        <f>IF(AN200=21,K200,0)</f>
        <v>0</v>
      </c>
      <c r="AN200" s="27">
        <v>21</v>
      </c>
      <c r="AO200" s="27">
        <f>H200*1</f>
        <v>0</v>
      </c>
      <c r="AP200" s="27">
        <f>H200*(1-1)</f>
        <v>0</v>
      </c>
      <c r="AQ200" s="64" t="s">
        <v>84</v>
      </c>
      <c r="AV200" s="27">
        <f>AW200+AX200</f>
        <v>0</v>
      </c>
      <c r="AW200" s="27">
        <f>G200*AO200</f>
        <v>0</v>
      </c>
      <c r="AX200" s="27">
        <f>G200*AP200</f>
        <v>0</v>
      </c>
      <c r="AY200" s="29" t="s">
        <v>402</v>
      </c>
      <c r="AZ200" s="29" t="s">
        <v>314</v>
      </c>
      <c r="BA200" s="9" t="s">
        <v>63</v>
      </c>
      <c r="BC200" s="27">
        <f>AW200+AX200</f>
        <v>0</v>
      </c>
      <c r="BD200" s="27">
        <f>H200/(100-BE200)*100</f>
        <v>0</v>
      </c>
      <c r="BE200" s="27">
        <v>0</v>
      </c>
      <c r="BF200" s="27">
        <f>200</f>
        <v>200</v>
      </c>
      <c r="BH200" s="62">
        <f>G200*AO200</f>
        <v>0</v>
      </c>
      <c r="BI200" s="62">
        <f>G200*AP200</f>
        <v>0</v>
      </c>
      <c r="BJ200" s="62">
        <f>G200*H200</f>
        <v>0</v>
      </c>
      <c r="BK200" s="62"/>
      <c r="BL200" s="27">
        <v>787</v>
      </c>
      <c r="BW200" s="27">
        <v>21</v>
      </c>
    </row>
    <row r="201" spans="1:12" ht="15">
      <c r="A201" s="52"/>
      <c r="B201" s="53"/>
      <c r="C201" s="53"/>
      <c r="D201" s="54" t="s">
        <v>403</v>
      </c>
      <c r="E201" s="55" t="s">
        <v>408</v>
      </c>
      <c r="F201" s="53"/>
      <c r="G201" s="56">
        <v>2.4</v>
      </c>
      <c r="H201" s="53"/>
      <c r="I201" s="53"/>
      <c r="J201" s="53"/>
      <c r="K201" s="53"/>
      <c r="L201" s="57"/>
    </row>
    <row r="202" spans="1:47" ht="15">
      <c r="A202" s="93" t="s">
        <v>52</v>
      </c>
      <c r="B202" s="94" t="s">
        <v>53</v>
      </c>
      <c r="C202" s="94" t="s">
        <v>409</v>
      </c>
      <c r="D202" s="193" t="s">
        <v>410</v>
      </c>
      <c r="E202" s="194"/>
      <c r="F202" s="95" t="s">
        <v>4</v>
      </c>
      <c r="G202" s="95" t="s">
        <v>4</v>
      </c>
      <c r="H202" s="95" t="s">
        <v>4</v>
      </c>
      <c r="I202" s="96">
        <f>SUM(I203:I207)</f>
        <v>0</v>
      </c>
      <c r="J202" s="96">
        <f>SUM(J203:J207)</f>
        <v>0</v>
      </c>
      <c r="K202" s="96">
        <f>SUM(K203:K207)</f>
        <v>0</v>
      </c>
      <c r="L202" s="97" t="s">
        <v>52</v>
      </c>
      <c r="AI202" s="9" t="s">
        <v>53</v>
      </c>
      <c r="AS202" s="1">
        <f>SUM(AJ203:AJ207)</f>
        <v>0</v>
      </c>
      <c r="AT202" s="1">
        <f>SUM(AK203:AK207)</f>
        <v>0</v>
      </c>
      <c r="AU202" s="1">
        <f>SUM(AL203:AL207)</f>
        <v>0</v>
      </c>
    </row>
    <row r="203" spans="1:75" ht="13.5" customHeight="1">
      <c r="A203" s="2" t="s">
        <v>411</v>
      </c>
      <c r="B203" s="3" t="s">
        <v>53</v>
      </c>
      <c r="C203" s="3" t="s">
        <v>412</v>
      </c>
      <c r="D203" s="148" t="s">
        <v>413</v>
      </c>
      <c r="E203" s="143"/>
      <c r="F203" s="3" t="s">
        <v>109</v>
      </c>
      <c r="G203" s="27">
        <v>18.06</v>
      </c>
      <c r="H203" s="27">
        <v>0</v>
      </c>
      <c r="I203" s="27">
        <f>G203*AO203</f>
        <v>0</v>
      </c>
      <c r="J203" s="27">
        <f>G203*AP203</f>
        <v>0</v>
      </c>
      <c r="K203" s="27">
        <f>G203*H203</f>
        <v>0</v>
      </c>
      <c r="L203" s="28" t="s">
        <v>137</v>
      </c>
      <c r="Z203" s="27">
        <f>IF(AQ203="5",BJ203,0)</f>
        <v>0</v>
      </c>
      <c r="AB203" s="27">
        <f>IF(AQ203="1",BH203,0)</f>
        <v>0</v>
      </c>
      <c r="AC203" s="27">
        <f>IF(AQ203="1",BI203,0)</f>
        <v>0</v>
      </c>
      <c r="AD203" s="27">
        <f>IF(AQ203="7",BH203,0)</f>
        <v>0</v>
      </c>
      <c r="AE203" s="27">
        <f>IF(AQ203="7",BI203,0)</f>
        <v>0</v>
      </c>
      <c r="AF203" s="27">
        <f>IF(AQ203="2",BH203,0)</f>
        <v>0</v>
      </c>
      <c r="AG203" s="27">
        <f>IF(AQ203="2",BI203,0)</f>
        <v>0</v>
      </c>
      <c r="AH203" s="27">
        <f>IF(AQ203="0",BJ203,0)</f>
        <v>0</v>
      </c>
      <c r="AI203" s="9" t="s">
        <v>53</v>
      </c>
      <c r="AJ203" s="27">
        <f>IF(AN203=0,K203,0)</f>
        <v>0</v>
      </c>
      <c r="AK203" s="27">
        <f>IF(AN203=12,K203,0)</f>
        <v>0</v>
      </c>
      <c r="AL203" s="27">
        <f>IF(AN203=21,K203,0)</f>
        <v>0</v>
      </c>
      <c r="AN203" s="27">
        <v>21</v>
      </c>
      <c r="AO203" s="27">
        <f>H203*0.40775386</f>
        <v>0</v>
      </c>
      <c r="AP203" s="27">
        <f>H203*(1-0.40775386)</f>
        <v>0</v>
      </c>
      <c r="AQ203" s="29" t="s">
        <v>57</v>
      </c>
      <c r="AV203" s="27">
        <f>AW203+AX203</f>
        <v>0</v>
      </c>
      <c r="AW203" s="27">
        <f>G203*AO203</f>
        <v>0</v>
      </c>
      <c r="AX203" s="27">
        <f>G203*AP203</f>
        <v>0</v>
      </c>
      <c r="AY203" s="29" t="s">
        <v>414</v>
      </c>
      <c r="AZ203" s="29" t="s">
        <v>62</v>
      </c>
      <c r="BA203" s="9" t="s">
        <v>63</v>
      </c>
      <c r="BC203" s="27">
        <f>AW203+AX203</f>
        <v>0</v>
      </c>
      <c r="BD203" s="27">
        <f>H203/(100-BE203)*100</f>
        <v>0</v>
      </c>
      <c r="BE203" s="27">
        <v>0</v>
      </c>
      <c r="BF203" s="27">
        <f>203</f>
        <v>203</v>
      </c>
      <c r="BH203" s="27">
        <f>G203*AO203</f>
        <v>0</v>
      </c>
      <c r="BI203" s="27">
        <f>G203*AP203</f>
        <v>0</v>
      </c>
      <c r="BJ203" s="27">
        <f>G203*H203</f>
        <v>0</v>
      </c>
      <c r="BK203" s="27"/>
      <c r="BL203" s="27">
        <v>94</v>
      </c>
      <c r="BW203" s="27">
        <v>21</v>
      </c>
    </row>
    <row r="204" spans="1:12" ht="13.5" customHeight="1">
      <c r="A204" s="30"/>
      <c r="D204" s="166" t="s">
        <v>415</v>
      </c>
      <c r="E204" s="167"/>
      <c r="F204" s="167"/>
      <c r="G204" s="167"/>
      <c r="H204" s="167"/>
      <c r="I204" s="167"/>
      <c r="J204" s="167"/>
      <c r="K204" s="167"/>
      <c r="L204" s="168"/>
    </row>
    <row r="205" spans="1:12" ht="15">
      <c r="A205" s="30"/>
      <c r="D205" s="32" t="s">
        <v>416</v>
      </c>
      <c r="E205" s="31" t="s">
        <v>417</v>
      </c>
      <c r="G205" s="33">
        <v>16.56</v>
      </c>
      <c r="L205" s="34"/>
    </row>
    <row r="206" spans="1:12" ht="15">
      <c r="A206" s="30"/>
      <c r="D206" s="32" t="s">
        <v>418</v>
      </c>
      <c r="E206" s="31" t="s">
        <v>419</v>
      </c>
      <c r="G206" s="33">
        <v>1.5</v>
      </c>
      <c r="L206" s="34"/>
    </row>
    <row r="207" spans="1:75" ht="13.5" customHeight="1">
      <c r="A207" s="2" t="s">
        <v>420</v>
      </c>
      <c r="B207" s="3" t="s">
        <v>53</v>
      </c>
      <c r="C207" s="3" t="s">
        <v>412</v>
      </c>
      <c r="D207" s="148" t="s">
        <v>413</v>
      </c>
      <c r="E207" s="143"/>
      <c r="F207" s="3" t="s">
        <v>109</v>
      </c>
      <c r="G207" s="27">
        <v>18.06</v>
      </c>
      <c r="H207" s="27">
        <v>0</v>
      </c>
      <c r="I207" s="27">
        <f>G207*AO207</f>
        <v>0</v>
      </c>
      <c r="J207" s="27">
        <f>G207*AP207</f>
        <v>0</v>
      </c>
      <c r="K207" s="27">
        <f>G207*H207</f>
        <v>0</v>
      </c>
      <c r="L207" s="28" t="s">
        <v>137</v>
      </c>
      <c r="Z207" s="27">
        <f>IF(AQ207="5",BJ207,0)</f>
        <v>0</v>
      </c>
      <c r="AB207" s="27">
        <f>IF(AQ207="1",BH207,0)</f>
        <v>0</v>
      </c>
      <c r="AC207" s="27">
        <f>IF(AQ207="1",BI207,0)</f>
        <v>0</v>
      </c>
      <c r="AD207" s="27">
        <f>IF(AQ207="7",BH207,0)</f>
        <v>0</v>
      </c>
      <c r="AE207" s="27">
        <f>IF(AQ207="7",BI207,0)</f>
        <v>0</v>
      </c>
      <c r="AF207" s="27">
        <f>IF(AQ207="2",BH207,0)</f>
        <v>0</v>
      </c>
      <c r="AG207" s="27">
        <f>IF(AQ207="2",BI207,0)</f>
        <v>0</v>
      </c>
      <c r="AH207" s="27">
        <f>IF(AQ207="0",BJ207,0)</f>
        <v>0</v>
      </c>
      <c r="AI207" s="9" t="s">
        <v>53</v>
      </c>
      <c r="AJ207" s="27">
        <f>IF(AN207=0,K207,0)</f>
        <v>0</v>
      </c>
      <c r="AK207" s="27">
        <f>IF(AN207=12,K207,0)</f>
        <v>0</v>
      </c>
      <c r="AL207" s="27">
        <f>IF(AN207=21,K207,0)</f>
        <v>0</v>
      </c>
      <c r="AN207" s="27">
        <v>21</v>
      </c>
      <c r="AO207" s="27">
        <f>H207*0.40775386</f>
        <v>0</v>
      </c>
      <c r="AP207" s="27">
        <f>H207*(1-0.40775386)</f>
        <v>0</v>
      </c>
      <c r="AQ207" s="29" t="s">
        <v>57</v>
      </c>
      <c r="AV207" s="27">
        <f>AW207+AX207</f>
        <v>0</v>
      </c>
      <c r="AW207" s="27">
        <f>G207*AO207</f>
        <v>0</v>
      </c>
      <c r="AX207" s="27">
        <f>G207*AP207</f>
        <v>0</v>
      </c>
      <c r="AY207" s="29" t="s">
        <v>414</v>
      </c>
      <c r="AZ207" s="29" t="s">
        <v>62</v>
      </c>
      <c r="BA207" s="9" t="s">
        <v>63</v>
      </c>
      <c r="BC207" s="27">
        <f>AW207+AX207</f>
        <v>0</v>
      </c>
      <c r="BD207" s="27">
        <f>H207/(100-BE207)*100</f>
        <v>0</v>
      </c>
      <c r="BE207" s="27">
        <v>0</v>
      </c>
      <c r="BF207" s="27">
        <f>207</f>
        <v>207</v>
      </c>
      <c r="BH207" s="27">
        <f>G207*AO207</f>
        <v>0</v>
      </c>
      <c r="BI207" s="27">
        <f>G207*AP207</f>
        <v>0</v>
      </c>
      <c r="BJ207" s="27">
        <f>G207*H207</f>
        <v>0</v>
      </c>
      <c r="BK207" s="27"/>
      <c r="BL207" s="27">
        <v>94</v>
      </c>
      <c r="BW207" s="27">
        <v>21</v>
      </c>
    </row>
    <row r="208" spans="1:12" ht="13.5" customHeight="1">
      <c r="A208" s="30"/>
      <c r="D208" s="166" t="s">
        <v>415</v>
      </c>
      <c r="E208" s="167"/>
      <c r="F208" s="167"/>
      <c r="G208" s="167"/>
      <c r="H208" s="167"/>
      <c r="I208" s="167"/>
      <c r="J208" s="167"/>
      <c r="K208" s="167"/>
      <c r="L208" s="168"/>
    </row>
    <row r="209" spans="1:12" ht="15">
      <c r="A209" s="30"/>
      <c r="D209" s="32" t="s">
        <v>416</v>
      </c>
      <c r="E209" s="31" t="s">
        <v>421</v>
      </c>
      <c r="G209" s="33">
        <v>16.56</v>
      </c>
      <c r="L209" s="34"/>
    </row>
    <row r="210" spans="1:12" ht="15">
      <c r="A210" s="30"/>
      <c r="D210" s="32" t="s">
        <v>418</v>
      </c>
      <c r="E210" s="31" t="s">
        <v>52</v>
      </c>
      <c r="G210" s="33">
        <v>1.5</v>
      </c>
      <c r="L210" s="34"/>
    </row>
    <row r="211" spans="1:47" ht="15">
      <c r="A211" s="23" t="s">
        <v>52</v>
      </c>
      <c r="B211" s="24" t="s">
        <v>53</v>
      </c>
      <c r="C211" s="24" t="s">
        <v>422</v>
      </c>
      <c r="D211" s="164" t="s">
        <v>423</v>
      </c>
      <c r="E211" s="165"/>
      <c r="F211" s="25" t="s">
        <v>4</v>
      </c>
      <c r="G211" s="25" t="s">
        <v>4</v>
      </c>
      <c r="H211" s="25" t="s">
        <v>4</v>
      </c>
      <c r="I211" s="1">
        <f>SUM(I212:I215)</f>
        <v>0</v>
      </c>
      <c r="J211" s="1">
        <f>SUM(J212:J215)</f>
        <v>0</v>
      </c>
      <c r="K211" s="1">
        <f>SUM(K212:K215)</f>
        <v>0</v>
      </c>
      <c r="L211" s="26" t="s">
        <v>52</v>
      </c>
      <c r="AI211" s="9" t="s">
        <v>53</v>
      </c>
      <c r="AS211" s="1">
        <f>SUM(AJ212:AJ215)</f>
        <v>0</v>
      </c>
      <c r="AT211" s="1">
        <f>SUM(AK212:AK215)</f>
        <v>0</v>
      </c>
      <c r="AU211" s="1">
        <f>SUM(AL212:AL215)</f>
        <v>0</v>
      </c>
    </row>
    <row r="212" spans="1:75" ht="13.5" customHeight="1">
      <c r="A212" s="2" t="s">
        <v>424</v>
      </c>
      <c r="B212" s="3" t="s">
        <v>53</v>
      </c>
      <c r="C212" s="3" t="s">
        <v>425</v>
      </c>
      <c r="D212" s="148" t="s">
        <v>426</v>
      </c>
      <c r="E212" s="143"/>
      <c r="F212" s="3" t="s">
        <v>126</v>
      </c>
      <c r="G212" s="27">
        <v>11.75</v>
      </c>
      <c r="H212" s="27">
        <v>0</v>
      </c>
      <c r="I212" s="27">
        <f>G212*AO212</f>
        <v>0</v>
      </c>
      <c r="J212" s="27">
        <f>G212*AP212</f>
        <v>0</v>
      </c>
      <c r="K212" s="27">
        <f>G212*H212</f>
        <v>0</v>
      </c>
      <c r="L212" s="28" t="s">
        <v>96</v>
      </c>
      <c r="Z212" s="27">
        <f>IF(AQ212="5",BJ212,0)</f>
        <v>0</v>
      </c>
      <c r="AB212" s="27">
        <f>IF(AQ212="1",BH212,0)</f>
        <v>0</v>
      </c>
      <c r="AC212" s="27">
        <f>IF(AQ212="1",BI212,0)</f>
        <v>0</v>
      </c>
      <c r="AD212" s="27">
        <f>IF(AQ212="7",BH212,0)</f>
        <v>0</v>
      </c>
      <c r="AE212" s="27">
        <f>IF(AQ212="7",BI212,0)</f>
        <v>0</v>
      </c>
      <c r="AF212" s="27">
        <f>IF(AQ212="2",BH212,0)</f>
        <v>0</v>
      </c>
      <c r="AG212" s="27">
        <f>IF(AQ212="2",BI212,0)</f>
        <v>0</v>
      </c>
      <c r="AH212" s="27">
        <f>IF(AQ212="0",BJ212,0)</f>
        <v>0</v>
      </c>
      <c r="AI212" s="9" t="s">
        <v>53</v>
      </c>
      <c r="AJ212" s="27">
        <f>IF(AN212=0,K212,0)</f>
        <v>0</v>
      </c>
      <c r="AK212" s="27">
        <f>IF(AN212=12,K212,0)</f>
        <v>0</v>
      </c>
      <c r="AL212" s="27">
        <f>IF(AN212=21,K212,0)</f>
        <v>0</v>
      </c>
      <c r="AN212" s="27">
        <v>21</v>
      </c>
      <c r="AO212" s="27">
        <f>H212*0.410053256</f>
        <v>0</v>
      </c>
      <c r="AP212" s="27">
        <f>H212*(1-0.410053256)</f>
        <v>0</v>
      </c>
      <c r="AQ212" s="29" t="s">
        <v>57</v>
      </c>
      <c r="AV212" s="27">
        <f>AW212+AX212</f>
        <v>0</v>
      </c>
      <c r="AW212" s="27">
        <f>G212*AO212</f>
        <v>0</v>
      </c>
      <c r="AX212" s="27">
        <f>G212*AP212</f>
        <v>0</v>
      </c>
      <c r="AY212" s="29" t="s">
        <v>427</v>
      </c>
      <c r="AZ212" s="29" t="s">
        <v>62</v>
      </c>
      <c r="BA212" s="9" t="s">
        <v>63</v>
      </c>
      <c r="BC212" s="27">
        <f>AW212+AX212</f>
        <v>0</v>
      </c>
      <c r="BD212" s="27">
        <f>H212/(100-BE212)*100</f>
        <v>0</v>
      </c>
      <c r="BE212" s="27">
        <v>0</v>
      </c>
      <c r="BF212" s="27">
        <f>212</f>
        <v>212</v>
      </c>
      <c r="BH212" s="27">
        <f>G212*AO212</f>
        <v>0</v>
      </c>
      <c r="BI212" s="27">
        <f>G212*AP212</f>
        <v>0</v>
      </c>
      <c r="BJ212" s="27">
        <f>G212*H212</f>
        <v>0</v>
      </c>
      <c r="BK212" s="27"/>
      <c r="BL212" s="27">
        <v>95</v>
      </c>
      <c r="BW212" s="27">
        <v>21</v>
      </c>
    </row>
    <row r="213" spans="1:12" ht="15">
      <c r="A213" s="30"/>
      <c r="D213" s="32" t="s">
        <v>428</v>
      </c>
      <c r="E213" s="31" t="s">
        <v>429</v>
      </c>
      <c r="G213" s="33">
        <v>11.75</v>
      </c>
      <c r="L213" s="34"/>
    </row>
    <row r="214" spans="1:12" ht="13.5" customHeight="1">
      <c r="A214" s="30"/>
      <c r="C214" s="35" t="s">
        <v>102</v>
      </c>
      <c r="D214" s="166" t="s">
        <v>430</v>
      </c>
      <c r="E214" s="167"/>
      <c r="F214" s="167"/>
      <c r="G214" s="167"/>
      <c r="H214" s="167"/>
      <c r="I214" s="167"/>
      <c r="J214" s="167"/>
      <c r="K214" s="167"/>
      <c r="L214" s="168"/>
    </row>
    <row r="215" spans="1:75" ht="13.5" customHeight="1">
      <c r="A215" s="2" t="s">
        <v>431</v>
      </c>
      <c r="B215" s="3" t="s">
        <v>53</v>
      </c>
      <c r="C215" s="3" t="s">
        <v>432</v>
      </c>
      <c r="D215" s="148" t="s">
        <v>433</v>
      </c>
      <c r="E215" s="143"/>
      <c r="F215" s="3" t="s">
        <v>109</v>
      </c>
      <c r="G215" s="27">
        <v>16.56</v>
      </c>
      <c r="H215" s="27">
        <v>0</v>
      </c>
      <c r="I215" s="27">
        <f>G215*AO215</f>
        <v>0</v>
      </c>
      <c r="J215" s="27">
        <f>G215*AP215</f>
        <v>0</v>
      </c>
      <c r="K215" s="27">
        <f>G215*H215</f>
        <v>0</v>
      </c>
      <c r="L215" s="28" t="s">
        <v>137</v>
      </c>
      <c r="Z215" s="27">
        <f>IF(AQ215="5",BJ215,0)</f>
        <v>0</v>
      </c>
      <c r="AB215" s="27">
        <f>IF(AQ215="1",BH215,0)</f>
        <v>0</v>
      </c>
      <c r="AC215" s="27">
        <f>IF(AQ215="1",BI215,0)</f>
        <v>0</v>
      </c>
      <c r="AD215" s="27">
        <f>IF(AQ215="7",BH215,0)</f>
        <v>0</v>
      </c>
      <c r="AE215" s="27">
        <f>IF(AQ215="7",BI215,0)</f>
        <v>0</v>
      </c>
      <c r="AF215" s="27">
        <f>IF(AQ215="2",BH215,0)</f>
        <v>0</v>
      </c>
      <c r="AG215" s="27">
        <f>IF(AQ215="2",BI215,0)</f>
        <v>0</v>
      </c>
      <c r="AH215" s="27">
        <f>IF(AQ215="0",BJ215,0)</f>
        <v>0</v>
      </c>
      <c r="AI215" s="9" t="s">
        <v>53</v>
      </c>
      <c r="AJ215" s="27">
        <f>IF(AN215=0,K215,0)</f>
        <v>0</v>
      </c>
      <c r="AK215" s="27">
        <f>IF(AN215=12,K215,0)</f>
        <v>0</v>
      </c>
      <c r="AL215" s="27">
        <f>IF(AN215=21,K215,0)</f>
        <v>0</v>
      </c>
      <c r="AN215" s="27">
        <v>21</v>
      </c>
      <c r="AO215" s="27">
        <f>H215*0.013885918</f>
        <v>0</v>
      </c>
      <c r="AP215" s="27">
        <f>H215*(1-0.013885918)</f>
        <v>0</v>
      </c>
      <c r="AQ215" s="29" t="s">
        <v>57</v>
      </c>
      <c r="AV215" s="27">
        <f>AW215+AX215</f>
        <v>0</v>
      </c>
      <c r="AW215" s="27">
        <f>G215*AO215</f>
        <v>0</v>
      </c>
      <c r="AX215" s="27">
        <f>G215*AP215</f>
        <v>0</v>
      </c>
      <c r="AY215" s="29" t="s">
        <v>427</v>
      </c>
      <c r="AZ215" s="29" t="s">
        <v>62</v>
      </c>
      <c r="BA215" s="9" t="s">
        <v>63</v>
      </c>
      <c r="BC215" s="27">
        <f>AW215+AX215</f>
        <v>0</v>
      </c>
      <c r="BD215" s="27">
        <f>H215/(100-BE215)*100</f>
        <v>0</v>
      </c>
      <c r="BE215" s="27">
        <v>0</v>
      </c>
      <c r="BF215" s="27">
        <f>215</f>
        <v>215</v>
      </c>
      <c r="BH215" s="27">
        <f>G215*AO215</f>
        <v>0</v>
      </c>
      <c r="BI215" s="27">
        <f>G215*AP215</f>
        <v>0</v>
      </c>
      <c r="BJ215" s="27">
        <f>G215*H215</f>
        <v>0</v>
      </c>
      <c r="BK215" s="27"/>
      <c r="BL215" s="27">
        <v>95</v>
      </c>
      <c r="BW215" s="27">
        <v>21</v>
      </c>
    </row>
    <row r="216" spans="1:12" ht="15">
      <c r="A216" s="30"/>
      <c r="D216" s="32" t="s">
        <v>416</v>
      </c>
      <c r="E216" s="31" t="s">
        <v>52</v>
      </c>
      <c r="G216" s="33">
        <v>16.56</v>
      </c>
      <c r="L216" s="34"/>
    </row>
    <row r="217" spans="1:47" ht="15">
      <c r="A217" s="23" t="s">
        <v>52</v>
      </c>
      <c r="B217" s="24" t="s">
        <v>53</v>
      </c>
      <c r="C217" s="24" t="s">
        <v>434</v>
      </c>
      <c r="D217" s="164" t="s">
        <v>435</v>
      </c>
      <c r="E217" s="165"/>
      <c r="F217" s="25" t="s">
        <v>4</v>
      </c>
      <c r="G217" s="25" t="s">
        <v>4</v>
      </c>
      <c r="H217" s="25" t="s">
        <v>4</v>
      </c>
      <c r="I217" s="1">
        <f>SUM(I218:I240)</f>
        <v>0</v>
      </c>
      <c r="J217" s="1">
        <f>SUM(J218:J240)</f>
        <v>0</v>
      </c>
      <c r="K217" s="1">
        <f>SUM(K218:K240)</f>
        <v>0</v>
      </c>
      <c r="L217" s="26" t="s">
        <v>52</v>
      </c>
      <c r="AI217" s="9" t="s">
        <v>53</v>
      </c>
      <c r="AS217" s="1">
        <f>SUM(AJ218:AJ240)</f>
        <v>0</v>
      </c>
      <c r="AT217" s="1">
        <f>SUM(AK218:AK240)</f>
        <v>0</v>
      </c>
      <c r="AU217" s="1">
        <f>SUM(AL218:AL240)</f>
        <v>0</v>
      </c>
    </row>
    <row r="218" spans="1:75" ht="13.5" customHeight="1">
      <c r="A218" s="2" t="s">
        <v>121</v>
      </c>
      <c r="B218" s="3" t="s">
        <v>53</v>
      </c>
      <c r="C218" s="3" t="s">
        <v>436</v>
      </c>
      <c r="D218" s="148" t="s">
        <v>437</v>
      </c>
      <c r="E218" s="143"/>
      <c r="F218" s="3" t="s">
        <v>109</v>
      </c>
      <c r="G218" s="27">
        <v>6.3396</v>
      </c>
      <c r="H218" s="27">
        <v>0</v>
      </c>
      <c r="I218" s="27">
        <f>G218*AO218</f>
        <v>0</v>
      </c>
      <c r="J218" s="27">
        <f>G218*AP218</f>
        <v>0</v>
      </c>
      <c r="K218" s="27">
        <f>G218*H218</f>
        <v>0</v>
      </c>
      <c r="L218" s="28" t="s">
        <v>96</v>
      </c>
      <c r="Z218" s="27">
        <f>IF(AQ218="5",BJ218,0)</f>
        <v>0</v>
      </c>
      <c r="AB218" s="27">
        <f>IF(AQ218="1",BH218,0)</f>
        <v>0</v>
      </c>
      <c r="AC218" s="27">
        <f>IF(AQ218="1",BI218,0)</f>
        <v>0</v>
      </c>
      <c r="AD218" s="27">
        <f>IF(AQ218="7",BH218,0)</f>
        <v>0</v>
      </c>
      <c r="AE218" s="27">
        <f>IF(AQ218="7",BI218,0)</f>
        <v>0</v>
      </c>
      <c r="AF218" s="27">
        <f>IF(AQ218="2",BH218,0)</f>
        <v>0</v>
      </c>
      <c r="AG218" s="27">
        <f>IF(AQ218="2",BI218,0)</f>
        <v>0</v>
      </c>
      <c r="AH218" s="27">
        <f>IF(AQ218="0",BJ218,0)</f>
        <v>0</v>
      </c>
      <c r="AI218" s="9" t="s">
        <v>53</v>
      </c>
      <c r="AJ218" s="27">
        <f>IF(AN218=0,K218,0)</f>
        <v>0</v>
      </c>
      <c r="AK218" s="27">
        <f>IF(AN218=12,K218,0)</f>
        <v>0</v>
      </c>
      <c r="AL218" s="27">
        <f>IF(AN218=21,K218,0)</f>
        <v>0</v>
      </c>
      <c r="AN218" s="27">
        <v>21</v>
      </c>
      <c r="AO218" s="27">
        <f>H218*0.060211155</f>
        <v>0</v>
      </c>
      <c r="AP218" s="27">
        <f>H218*(1-0.060211155)</f>
        <v>0</v>
      </c>
      <c r="AQ218" s="29" t="s">
        <v>57</v>
      </c>
      <c r="AV218" s="27">
        <f>AW218+AX218</f>
        <v>0</v>
      </c>
      <c r="AW218" s="27">
        <f>G218*AO218</f>
        <v>0</v>
      </c>
      <c r="AX218" s="27">
        <f>G218*AP218</f>
        <v>0</v>
      </c>
      <c r="AY218" s="29" t="s">
        <v>438</v>
      </c>
      <c r="AZ218" s="29" t="s">
        <v>62</v>
      </c>
      <c r="BA218" s="9" t="s">
        <v>63</v>
      </c>
      <c r="BC218" s="27">
        <f>AW218+AX218</f>
        <v>0</v>
      </c>
      <c r="BD218" s="27">
        <f>H218/(100-BE218)*100</f>
        <v>0</v>
      </c>
      <c r="BE218" s="27">
        <v>0</v>
      </c>
      <c r="BF218" s="27">
        <f>218</f>
        <v>218</v>
      </c>
      <c r="BH218" s="27">
        <f>G218*AO218</f>
        <v>0</v>
      </c>
      <c r="BI218" s="27">
        <f>G218*AP218</f>
        <v>0</v>
      </c>
      <c r="BJ218" s="27">
        <f>G218*H218</f>
        <v>0</v>
      </c>
      <c r="BK218" s="27"/>
      <c r="BL218" s="27">
        <v>96</v>
      </c>
      <c r="BW218" s="27">
        <v>21</v>
      </c>
    </row>
    <row r="219" spans="1:12" ht="13.5" customHeight="1">
      <c r="A219" s="30"/>
      <c r="D219" s="166" t="s">
        <v>439</v>
      </c>
      <c r="E219" s="167"/>
      <c r="F219" s="167"/>
      <c r="G219" s="167"/>
      <c r="H219" s="167"/>
      <c r="I219" s="167"/>
      <c r="J219" s="167"/>
      <c r="K219" s="167"/>
      <c r="L219" s="168"/>
    </row>
    <row r="220" spans="1:12" ht="15">
      <c r="A220" s="30"/>
      <c r="D220" s="32" t="s">
        <v>440</v>
      </c>
      <c r="E220" s="31" t="s">
        <v>441</v>
      </c>
      <c r="G220" s="33">
        <v>2.025</v>
      </c>
      <c r="L220" s="34"/>
    </row>
    <row r="221" spans="1:12" ht="15">
      <c r="A221" s="30"/>
      <c r="D221" s="32" t="s">
        <v>440</v>
      </c>
      <c r="E221" s="31" t="s">
        <v>442</v>
      </c>
      <c r="G221" s="33">
        <v>2.025</v>
      </c>
      <c r="L221" s="34"/>
    </row>
    <row r="222" spans="1:12" ht="15">
      <c r="A222" s="30"/>
      <c r="D222" s="32" t="s">
        <v>443</v>
      </c>
      <c r="E222" s="31" t="s">
        <v>444</v>
      </c>
      <c r="G222" s="33">
        <v>2.2896</v>
      </c>
      <c r="L222" s="34"/>
    </row>
    <row r="223" spans="1:12" ht="13.5" customHeight="1">
      <c r="A223" s="30"/>
      <c r="C223" s="35" t="s">
        <v>102</v>
      </c>
      <c r="D223" s="166" t="s">
        <v>445</v>
      </c>
      <c r="E223" s="167"/>
      <c r="F223" s="167"/>
      <c r="G223" s="167"/>
      <c r="H223" s="167"/>
      <c r="I223" s="167"/>
      <c r="J223" s="167"/>
      <c r="K223" s="167"/>
      <c r="L223" s="168"/>
    </row>
    <row r="224" spans="1:75" ht="13.5" customHeight="1">
      <c r="A224" s="2" t="s">
        <v>446</v>
      </c>
      <c r="B224" s="3" t="s">
        <v>53</v>
      </c>
      <c r="C224" s="3" t="s">
        <v>447</v>
      </c>
      <c r="D224" s="148" t="s">
        <v>448</v>
      </c>
      <c r="E224" s="143"/>
      <c r="F224" s="3" t="s">
        <v>154</v>
      </c>
      <c r="G224" s="27">
        <v>3</v>
      </c>
      <c r="H224" s="27">
        <v>0</v>
      </c>
      <c r="I224" s="27">
        <f>G224*AO224</f>
        <v>0</v>
      </c>
      <c r="J224" s="27">
        <f>G224*AP224</f>
        <v>0</v>
      </c>
      <c r="K224" s="27">
        <f>G224*H224</f>
        <v>0</v>
      </c>
      <c r="L224" s="28" t="s">
        <v>96</v>
      </c>
      <c r="Z224" s="27">
        <f>IF(AQ224="5",BJ224,0)</f>
        <v>0</v>
      </c>
      <c r="AB224" s="27">
        <f>IF(AQ224="1",BH224,0)</f>
        <v>0</v>
      </c>
      <c r="AC224" s="27">
        <f>IF(AQ224="1",BI224,0)</f>
        <v>0</v>
      </c>
      <c r="AD224" s="27">
        <f>IF(AQ224="7",BH224,0)</f>
        <v>0</v>
      </c>
      <c r="AE224" s="27">
        <f>IF(AQ224="7",BI224,0)</f>
        <v>0</v>
      </c>
      <c r="AF224" s="27">
        <f>IF(AQ224="2",BH224,0)</f>
        <v>0</v>
      </c>
      <c r="AG224" s="27">
        <f>IF(AQ224="2",BI224,0)</f>
        <v>0</v>
      </c>
      <c r="AH224" s="27">
        <f>IF(AQ224="0",BJ224,0)</f>
        <v>0</v>
      </c>
      <c r="AI224" s="9" t="s">
        <v>53</v>
      </c>
      <c r="AJ224" s="27">
        <f>IF(AN224=0,K224,0)</f>
        <v>0</v>
      </c>
      <c r="AK224" s="27">
        <f>IF(AN224=12,K224,0)</f>
        <v>0</v>
      </c>
      <c r="AL224" s="27">
        <f>IF(AN224=21,K224,0)</f>
        <v>0</v>
      </c>
      <c r="AN224" s="27">
        <v>21</v>
      </c>
      <c r="AO224" s="27">
        <f>H224*0</f>
        <v>0</v>
      </c>
      <c r="AP224" s="27">
        <f>H224*(1-0)</f>
        <v>0</v>
      </c>
      <c r="AQ224" s="29" t="s">
        <v>57</v>
      </c>
      <c r="AV224" s="27">
        <f>AW224+AX224</f>
        <v>0</v>
      </c>
      <c r="AW224" s="27">
        <f>G224*AO224</f>
        <v>0</v>
      </c>
      <c r="AX224" s="27">
        <f>G224*AP224</f>
        <v>0</v>
      </c>
      <c r="AY224" s="29" t="s">
        <v>438</v>
      </c>
      <c r="AZ224" s="29" t="s">
        <v>62</v>
      </c>
      <c r="BA224" s="9" t="s">
        <v>63</v>
      </c>
      <c r="BC224" s="27">
        <f>AW224+AX224</f>
        <v>0</v>
      </c>
      <c r="BD224" s="27">
        <f>H224/(100-BE224)*100</f>
        <v>0</v>
      </c>
      <c r="BE224" s="27">
        <v>0</v>
      </c>
      <c r="BF224" s="27">
        <f>224</f>
        <v>224</v>
      </c>
      <c r="BH224" s="27">
        <f>G224*AO224</f>
        <v>0</v>
      </c>
      <c r="BI224" s="27">
        <f>G224*AP224</f>
        <v>0</v>
      </c>
      <c r="BJ224" s="27">
        <f>G224*H224</f>
        <v>0</v>
      </c>
      <c r="BK224" s="27"/>
      <c r="BL224" s="27">
        <v>96</v>
      </c>
      <c r="BW224" s="27">
        <v>21</v>
      </c>
    </row>
    <row r="225" spans="1:12" ht="15">
      <c r="A225" s="30"/>
      <c r="D225" s="32" t="s">
        <v>57</v>
      </c>
      <c r="E225" s="31" t="s">
        <v>247</v>
      </c>
      <c r="G225" s="33">
        <v>1</v>
      </c>
      <c r="L225" s="34"/>
    </row>
    <row r="226" spans="1:12" ht="15">
      <c r="A226" s="30"/>
      <c r="D226" s="32" t="s">
        <v>57</v>
      </c>
      <c r="E226" s="31" t="s">
        <v>248</v>
      </c>
      <c r="G226" s="33">
        <v>1</v>
      </c>
      <c r="L226" s="34"/>
    </row>
    <row r="227" spans="1:12" ht="15">
      <c r="A227" s="30"/>
      <c r="D227" s="32" t="s">
        <v>57</v>
      </c>
      <c r="E227" s="31" t="s">
        <v>249</v>
      </c>
      <c r="G227" s="33">
        <v>1</v>
      </c>
      <c r="L227" s="34"/>
    </row>
    <row r="228" spans="1:12" ht="13.5" customHeight="1">
      <c r="A228" s="30"/>
      <c r="C228" s="35" t="s">
        <v>102</v>
      </c>
      <c r="D228" s="166" t="s">
        <v>449</v>
      </c>
      <c r="E228" s="167"/>
      <c r="F228" s="167"/>
      <c r="G228" s="167"/>
      <c r="H228" s="167"/>
      <c r="I228" s="167"/>
      <c r="J228" s="167"/>
      <c r="K228" s="167"/>
      <c r="L228" s="168"/>
    </row>
    <row r="229" spans="1:75" ht="13.5" customHeight="1">
      <c r="A229" s="2" t="s">
        <v>450</v>
      </c>
      <c r="B229" s="3" t="s">
        <v>53</v>
      </c>
      <c r="C229" s="3" t="s">
        <v>451</v>
      </c>
      <c r="D229" s="148" t="s">
        <v>452</v>
      </c>
      <c r="E229" s="143"/>
      <c r="F229" s="3" t="s">
        <v>109</v>
      </c>
      <c r="G229" s="27">
        <v>1.182</v>
      </c>
      <c r="H229" s="27">
        <v>0</v>
      </c>
      <c r="I229" s="27">
        <f>G229*AO229</f>
        <v>0</v>
      </c>
      <c r="J229" s="27">
        <f>G229*AP229</f>
        <v>0</v>
      </c>
      <c r="K229" s="27">
        <f>G229*H229</f>
        <v>0</v>
      </c>
      <c r="L229" s="28" t="s">
        <v>96</v>
      </c>
      <c r="Z229" s="27">
        <f>IF(AQ229="5",BJ229,0)</f>
        <v>0</v>
      </c>
      <c r="AB229" s="27">
        <f>IF(AQ229="1",BH229,0)</f>
        <v>0</v>
      </c>
      <c r="AC229" s="27">
        <f>IF(AQ229="1",BI229,0)</f>
        <v>0</v>
      </c>
      <c r="AD229" s="27">
        <f>IF(AQ229="7",BH229,0)</f>
        <v>0</v>
      </c>
      <c r="AE229" s="27">
        <f>IF(AQ229="7",BI229,0)</f>
        <v>0</v>
      </c>
      <c r="AF229" s="27">
        <f>IF(AQ229="2",BH229,0)</f>
        <v>0</v>
      </c>
      <c r="AG229" s="27">
        <f>IF(AQ229="2",BI229,0)</f>
        <v>0</v>
      </c>
      <c r="AH229" s="27">
        <f>IF(AQ229="0",BJ229,0)</f>
        <v>0</v>
      </c>
      <c r="AI229" s="9" t="s">
        <v>53</v>
      </c>
      <c r="AJ229" s="27">
        <f>IF(AN229=0,K229,0)</f>
        <v>0</v>
      </c>
      <c r="AK229" s="27">
        <f>IF(AN229=12,K229,0)</f>
        <v>0</v>
      </c>
      <c r="AL229" s="27">
        <f>IF(AN229=21,K229,0)</f>
        <v>0</v>
      </c>
      <c r="AN229" s="27">
        <v>21</v>
      </c>
      <c r="AO229" s="27">
        <f>H229*0.077200313</f>
        <v>0</v>
      </c>
      <c r="AP229" s="27">
        <f>H229*(1-0.077200313)</f>
        <v>0</v>
      </c>
      <c r="AQ229" s="29" t="s">
        <v>57</v>
      </c>
      <c r="AV229" s="27">
        <f>AW229+AX229</f>
        <v>0</v>
      </c>
      <c r="AW229" s="27">
        <f>G229*AO229</f>
        <v>0</v>
      </c>
      <c r="AX229" s="27">
        <f>G229*AP229</f>
        <v>0</v>
      </c>
      <c r="AY229" s="29" t="s">
        <v>438</v>
      </c>
      <c r="AZ229" s="29" t="s">
        <v>62</v>
      </c>
      <c r="BA229" s="9" t="s">
        <v>63</v>
      </c>
      <c r="BC229" s="27">
        <f>AW229+AX229</f>
        <v>0</v>
      </c>
      <c r="BD229" s="27">
        <f>H229/(100-BE229)*100</f>
        <v>0</v>
      </c>
      <c r="BE229" s="27">
        <v>0</v>
      </c>
      <c r="BF229" s="27">
        <f>229</f>
        <v>229</v>
      </c>
      <c r="BH229" s="27">
        <f>G229*AO229</f>
        <v>0</v>
      </c>
      <c r="BI229" s="27">
        <f>G229*AP229</f>
        <v>0</v>
      </c>
      <c r="BJ229" s="27">
        <f>G229*H229</f>
        <v>0</v>
      </c>
      <c r="BK229" s="27"/>
      <c r="BL229" s="27">
        <v>96</v>
      </c>
      <c r="BW229" s="27">
        <v>21</v>
      </c>
    </row>
    <row r="230" spans="1:12" ht="15">
      <c r="A230" s="30"/>
      <c r="D230" s="32" t="s">
        <v>453</v>
      </c>
      <c r="E230" s="31" t="s">
        <v>247</v>
      </c>
      <c r="G230" s="33">
        <v>1.182</v>
      </c>
      <c r="L230" s="34"/>
    </row>
    <row r="231" spans="1:12" ht="27" customHeight="1">
      <c r="A231" s="30"/>
      <c r="C231" s="35" t="s">
        <v>102</v>
      </c>
      <c r="D231" s="166" t="s">
        <v>454</v>
      </c>
      <c r="E231" s="167"/>
      <c r="F231" s="167"/>
      <c r="G231" s="167"/>
      <c r="H231" s="167"/>
      <c r="I231" s="167"/>
      <c r="J231" s="167"/>
      <c r="K231" s="167"/>
      <c r="L231" s="168"/>
    </row>
    <row r="232" spans="1:75" ht="13.5" customHeight="1">
      <c r="A232" s="2" t="s">
        <v>149</v>
      </c>
      <c r="B232" s="3" t="s">
        <v>53</v>
      </c>
      <c r="C232" s="3" t="s">
        <v>455</v>
      </c>
      <c r="D232" s="148" t="s">
        <v>456</v>
      </c>
      <c r="E232" s="143"/>
      <c r="F232" s="3" t="s">
        <v>109</v>
      </c>
      <c r="G232" s="27">
        <v>1</v>
      </c>
      <c r="H232" s="27">
        <v>0</v>
      </c>
      <c r="I232" s="27">
        <f>G232*AO232</f>
        <v>0</v>
      </c>
      <c r="J232" s="27">
        <f>G232*AP232</f>
        <v>0</v>
      </c>
      <c r="K232" s="27">
        <f>G232*H232</f>
        <v>0</v>
      </c>
      <c r="L232" s="28" t="s">
        <v>96</v>
      </c>
      <c r="Z232" s="27">
        <f>IF(AQ232="5",BJ232,0)</f>
        <v>0</v>
      </c>
      <c r="AB232" s="27">
        <f>IF(AQ232="1",BH232,0)</f>
        <v>0</v>
      </c>
      <c r="AC232" s="27">
        <f>IF(AQ232="1",BI232,0)</f>
        <v>0</v>
      </c>
      <c r="AD232" s="27">
        <f>IF(AQ232="7",BH232,0)</f>
        <v>0</v>
      </c>
      <c r="AE232" s="27">
        <f>IF(AQ232="7",BI232,0)</f>
        <v>0</v>
      </c>
      <c r="AF232" s="27">
        <f>IF(AQ232="2",BH232,0)</f>
        <v>0</v>
      </c>
      <c r="AG232" s="27">
        <f>IF(AQ232="2",BI232,0)</f>
        <v>0</v>
      </c>
      <c r="AH232" s="27">
        <f>IF(AQ232="0",BJ232,0)</f>
        <v>0</v>
      </c>
      <c r="AI232" s="9" t="s">
        <v>53</v>
      </c>
      <c r="AJ232" s="27">
        <f>IF(AN232=0,K232,0)</f>
        <v>0</v>
      </c>
      <c r="AK232" s="27">
        <f>IF(AN232=12,K232,0)</f>
        <v>0</v>
      </c>
      <c r="AL232" s="27">
        <f>IF(AN232=21,K232,0)</f>
        <v>0</v>
      </c>
      <c r="AN232" s="27">
        <v>21</v>
      </c>
      <c r="AO232" s="27">
        <f>H232*0.043218381</f>
        <v>0</v>
      </c>
      <c r="AP232" s="27">
        <f>H232*(1-0.043218381)</f>
        <v>0</v>
      </c>
      <c r="AQ232" s="29" t="s">
        <v>57</v>
      </c>
      <c r="AV232" s="27">
        <f>AW232+AX232</f>
        <v>0</v>
      </c>
      <c r="AW232" s="27">
        <f>G232*AO232</f>
        <v>0</v>
      </c>
      <c r="AX232" s="27">
        <f>G232*AP232</f>
        <v>0</v>
      </c>
      <c r="AY232" s="29" t="s">
        <v>438</v>
      </c>
      <c r="AZ232" s="29" t="s">
        <v>62</v>
      </c>
      <c r="BA232" s="9" t="s">
        <v>63</v>
      </c>
      <c r="BC232" s="27">
        <f>AW232+AX232</f>
        <v>0</v>
      </c>
      <c r="BD232" s="27">
        <f>H232/(100-BE232)*100</f>
        <v>0</v>
      </c>
      <c r="BE232" s="27">
        <v>0</v>
      </c>
      <c r="BF232" s="27">
        <f>232</f>
        <v>232</v>
      </c>
      <c r="BH232" s="27">
        <f>G232*AO232</f>
        <v>0</v>
      </c>
      <c r="BI232" s="27">
        <f>G232*AP232</f>
        <v>0</v>
      </c>
      <c r="BJ232" s="27">
        <f>G232*H232</f>
        <v>0</v>
      </c>
      <c r="BK232" s="27"/>
      <c r="BL232" s="27">
        <v>96</v>
      </c>
      <c r="BW232" s="27">
        <v>21</v>
      </c>
    </row>
    <row r="233" spans="1:12" ht="13.5" customHeight="1">
      <c r="A233" s="30"/>
      <c r="D233" s="166" t="s">
        <v>457</v>
      </c>
      <c r="E233" s="167"/>
      <c r="F233" s="167"/>
      <c r="G233" s="167"/>
      <c r="H233" s="167"/>
      <c r="I233" s="167"/>
      <c r="J233" s="167"/>
      <c r="K233" s="167"/>
      <c r="L233" s="168"/>
    </row>
    <row r="234" spans="1:12" ht="15">
      <c r="A234" s="30"/>
      <c r="D234" s="32" t="s">
        <v>458</v>
      </c>
      <c r="E234" s="31" t="s">
        <v>247</v>
      </c>
      <c r="G234" s="33">
        <v>1</v>
      </c>
      <c r="L234" s="34"/>
    </row>
    <row r="235" spans="1:12" ht="13.5" customHeight="1">
      <c r="A235" s="30"/>
      <c r="C235" s="35" t="s">
        <v>102</v>
      </c>
      <c r="D235" s="166" t="s">
        <v>459</v>
      </c>
      <c r="E235" s="167"/>
      <c r="F235" s="167"/>
      <c r="G235" s="167"/>
      <c r="H235" s="167"/>
      <c r="I235" s="167"/>
      <c r="J235" s="167"/>
      <c r="K235" s="167"/>
      <c r="L235" s="168"/>
    </row>
    <row r="236" spans="1:75" ht="13.5" customHeight="1">
      <c r="A236" s="2" t="s">
        <v>460</v>
      </c>
      <c r="B236" s="3" t="s">
        <v>53</v>
      </c>
      <c r="C236" s="3" t="s">
        <v>461</v>
      </c>
      <c r="D236" s="148" t="s">
        <v>462</v>
      </c>
      <c r="E236" s="143"/>
      <c r="F236" s="3" t="s">
        <v>109</v>
      </c>
      <c r="G236" s="27">
        <v>16.52</v>
      </c>
      <c r="H236" s="27">
        <v>0</v>
      </c>
      <c r="I236" s="27">
        <f>G236*AO236</f>
        <v>0</v>
      </c>
      <c r="J236" s="27">
        <f>G236*AP236</f>
        <v>0</v>
      </c>
      <c r="K236" s="27">
        <f>G236*H236</f>
        <v>0</v>
      </c>
      <c r="L236" s="28" t="s">
        <v>96</v>
      </c>
      <c r="Z236" s="27">
        <f>IF(AQ236="5",BJ236,0)</f>
        <v>0</v>
      </c>
      <c r="AB236" s="27">
        <f>IF(AQ236="1",BH236,0)</f>
        <v>0</v>
      </c>
      <c r="AC236" s="27">
        <f>IF(AQ236="1",BI236,0)</f>
        <v>0</v>
      </c>
      <c r="AD236" s="27">
        <f>IF(AQ236="7",BH236,0)</f>
        <v>0</v>
      </c>
      <c r="AE236" s="27">
        <f>IF(AQ236="7",BI236,0)</f>
        <v>0</v>
      </c>
      <c r="AF236" s="27">
        <f>IF(AQ236="2",BH236,0)</f>
        <v>0</v>
      </c>
      <c r="AG236" s="27">
        <f>IF(AQ236="2",BI236,0)</f>
        <v>0</v>
      </c>
      <c r="AH236" s="27">
        <f>IF(AQ236="0",BJ236,0)</f>
        <v>0</v>
      </c>
      <c r="AI236" s="9" t="s">
        <v>53</v>
      </c>
      <c r="AJ236" s="27">
        <f>IF(AN236=0,K236,0)</f>
        <v>0</v>
      </c>
      <c r="AK236" s="27">
        <f>IF(AN236=12,K236,0)</f>
        <v>0</v>
      </c>
      <c r="AL236" s="27">
        <f>IF(AN236=21,K236,0)</f>
        <v>0</v>
      </c>
      <c r="AN236" s="27">
        <v>21</v>
      </c>
      <c r="AO236" s="27">
        <f>H236*0</f>
        <v>0</v>
      </c>
      <c r="AP236" s="27">
        <f>H236*(1-0)</f>
        <v>0</v>
      </c>
      <c r="AQ236" s="29" t="s">
        <v>57</v>
      </c>
      <c r="AV236" s="27">
        <f>AW236+AX236</f>
        <v>0</v>
      </c>
      <c r="AW236" s="27">
        <f>G236*AO236</f>
        <v>0</v>
      </c>
      <c r="AX236" s="27">
        <f>G236*AP236</f>
        <v>0</v>
      </c>
      <c r="AY236" s="29" t="s">
        <v>438</v>
      </c>
      <c r="AZ236" s="29" t="s">
        <v>62</v>
      </c>
      <c r="BA236" s="9" t="s">
        <v>63</v>
      </c>
      <c r="BC236" s="27">
        <f>AW236+AX236</f>
        <v>0</v>
      </c>
      <c r="BD236" s="27">
        <f>H236/(100-BE236)*100</f>
        <v>0</v>
      </c>
      <c r="BE236" s="27">
        <v>0</v>
      </c>
      <c r="BF236" s="27">
        <f>236</f>
        <v>236</v>
      </c>
      <c r="BH236" s="27">
        <f>G236*AO236</f>
        <v>0</v>
      </c>
      <c r="BI236" s="27">
        <f>G236*AP236</f>
        <v>0</v>
      </c>
      <c r="BJ236" s="27">
        <f>G236*H236</f>
        <v>0</v>
      </c>
      <c r="BK236" s="27"/>
      <c r="BL236" s="27">
        <v>96</v>
      </c>
      <c r="BW236" s="27">
        <v>21</v>
      </c>
    </row>
    <row r="237" spans="1:12" ht="13.5" customHeight="1">
      <c r="A237" s="30"/>
      <c r="D237" s="166" t="s">
        <v>463</v>
      </c>
      <c r="E237" s="167"/>
      <c r="F237" s="167"/>
      <c r="G237" s="167"/>
      <c r="H237" s="167"/>
      <c r="I237" s="167"/>
      <c r="J237" s="167"/>
      <c r="K237" s="167"/>
      <c r="L237" s="168"/>
    </row>
    <row r="238" spans="1:12" ht="15">
      <c r="A238" s="30"/>
      <c r="D238" s="32" t="s">
        <v>464</v>
      </c>
      <c r="E238" s="31" t="s">
        <v>465</v>
      </c>
      <c r="G238" s="33">
        <v>16.52</v>
      </c>
      <c r="L238" s="34"/>
    </row>
    <row r="239" spans="1:12" ht="13.5" customHeight="1">
      <c r="A239" s="30"/>
      <c r="C239" s="35" t="s">
        <v>102</v>
      </c>
      <c r="D239" s="166" t="s">
        <v>466</v>
      </c>
      <c r="E239" s="167"/>
      <c r="F239" s="167"/>
      <c r="G239" s="167"/>
      <c r="H239" s="167"/>
      <c r="I239" s="167"/>
      <c r="J239" s="167"/>
      <c r="K239" s="167"/>
      <c r="L239" s="168"/>
    </row>
    <row r="240" spans="1:75" ht="13.5" customHeight="1">
      <c r="A240" s="2" t="s">
        <v>467</v>
      </c>
      <c r="B240" s="3" t="s">
        <v>53</v>
      </c>
      <c r="C240" s="3" t="s">
        <v>468</v>
      </c>
      <c r="D240" s="148" t="s">
        <v>469</v>
      </c>
      <c r="E240" s="143"/>
      <c r="F240" s="3" t="s">
        <v>109</v>
      </c>
      <c r="G240" s="27">
        <v>16.52</v>
      </c>
      <c r="H240" s="27">
        <v>0</v>
      </c>
      <c r="I240" s="27">
        <f>G240*AO240</f>
        <v>0</v>
      </c>
      <c r="J240" s="27">
        <f>G240*AP240</f>
        <v>0</v>
      </c>
      <c r="K240" s="27">
        <f>G240*H240</f>
        <v>0</v>
      </c>
      <c r="L240" s="28" t="s">
        <v>96</v>
      </c>
      <c r="Z240" s="27">
        <f>IF(AQ240="5",BJ240,0)</f>
        <v>0</v>
      </c>
      <c r="AB240" s="27">
        <f>IF(AQ240="1",BH240,0)</f>
        <v>0</v>
      </c>
      <c r="AC240" s="27">
        <f>IF(AQ240="1",BI240,0)</f>
        <v>0</v>
      </c>
      <c r="AD240" s="27">
        <f>IF(AQ240="7",BH240,0)</f>
        <v>0</v>
      </c>
      <c r="AE240" s="27">
        <f>IF(AQ240="7",BI240,0)</f>
        <v>0</v>
      </c>
      <c r="AF240" s="27">
        <f>IF(AQ240="2",BH240,0)</f>
        <v>0</v>
      </c>
      <c r="AG240" s="27">
        <f>IF(AQ240="2",BI240,0)</f>
        <v>0</v>
      </c>
      <c r="AH240" s="27">
        <f>IF(AQ240="0",BJ240,0)</f>
        <v>0</v>
      </c>
      <c r="AI240" s="9" t="s">
        <v>53</v>
      </c>
      <c r="AJ240" s="27">
        <f>IF(AN240=0,K240,0)</f>
        <v>0</v>
      </c>
      <c r="AK240" s="27">
        <f>IF(AN240=12,K240,0)</f>
        <v>0</v>
      </c>
      <c r="AL240" s="27">
        <f>IF(AN240=21,K240,0)</f>
        <v>0</v>
      </c>
      <c r="AN240" s="27">
        <v>21</v>
      </c>
      <c r="AO240" s="27">
        <f>H240*0</f>
        <v>0</v>
      </c>
      <c r="AP240" s="27">
        <f>H240*(1-0)</f>
        <v>0</v>
      </c>
      <c r="AQ240" s="29" t="s">
        <v>57</v>
      </c>
      <c r="AV240" s="27">
        <f>AW240+AX240</f>
        <v>0</v>
      </c>
      <c r="AW240" s="27">
        <f>G240*AO240</f>
        <v>0</v>
      </c>
      <c r="AX240" s="27">
        <f>G240*AP240</f>
        <v>0</v>
      </c>
      <c r="AY240" s="29" t="s">
        <v>438</v>
      </c>
      <c r="AZ240" s="29" t="s">
        <v>62</v>
      </c>
      <c r="BA240" s="9" t="s">
        <v>63</v>
      </c>
      <c r="BC240" s="27">
        <f>AW240+AX240</f>
        <v>0</v>
      </c>
      <c r="BD240" s="27">
        <f>H240/(100-BE240)*100</f>
        <v>0</v>
      </c>
      <c r="BE240" s="27">
        <v>0</v>
      </c>
      <c r="BF240" s="27">
        <f>240</f>
        <v>240</v>
      </c>
      <c r="BH240" s="27">
        <f>G240*AO240</f>
        <v>0</v>
      </c>
      <c r="BI240" s="27">
        <f>G240*AP240</f>
        <v>0</v>
      </c>
      <c r="BJ240" s="27">
        <f>G240*H240</f>
        <v>0</v>
      </c>
      <c r="BK240" s="27"/>
      <c r="BL240" s="27">
        <v>96</v>
      </c>
      <c r="BW240" s="27">
        <v>21</v>
      </c>
    </row>
    <row r="241" spans="1:12" ht="15">
      <c r="A241" s="30"/>
      <c r="D241" s="32" t="s">
        <v>464</v>
      </c>
      <c r="E241" s="31" t="s">
        <v>465</v>
      </c>
      <c r="G241" s="33">
        <v>16.52</v>
      </c>
      <c r="L241" s="34"/>
    </row>
    <row r="242" spans="1:12" ht="13.5" customHeight="1">
      <c r="A242" s="30"/>
      <c r="C242" s="35" t="s">
        <v>102</v>
      </c>
      <c r="D242" s="166" t="s">
        <v>470</v>
      </c>
      <c r="E242" s="167"/>
      <c r="F242" s="167"/>
      <c r="G242" s="167"/>
      <c r="H242" s="167"/>
      <c r="I242" s="167"/>
      <c r="J242" s="167"/>
      <c r="K242" s="167"/>
      <c r="L242" s="168"/>
    </row>
    <row r="243" spans="1:47" ht="15">
      <c r="A243" s="23" t="s">
        <v>52</v>
      </c>
      <c r="B243" s="24" t="s">
        <v>53</v>
      </c>
      <c r="C243" s="24" t="s">
        <v>471</v>
      </c>
      <c r="D243" s="164" t="s">
        <v>472</v>
      </c>
      <c r="E243" s="165"/>
      <c r="F243" s="25" t="s">
        <v>4</v>
      </c>
      <c r="G243" s="25" t="s">
        <v>4</v>
      </c>
      <c r="H243" s="25" t="s">
        <v>4</v>
      </c>
      <c r="I243" s="1">
        <f>SUM(I244:I249)</f>
        <v>0</v>
      </c>
      <c r="J243" s="1">
        <f>SUM(J244:J249)</f>
        <v>0</v>
      </c>
      <c r="K243" s="1">
        <f>SUM(K244:K249)</f>
        <v>0</v>
      </c>
      <c r="L243" s="26" t="s">
        <v>52</v>
      </c>
      <c r="AI243" s="9" t="s">
        <v>53</v>
      </c>
      <c r="AS243" s="1">
        <f>SUM(AJ244:AJ249)</f>
        <v>0</v>
      </c>
      <c r="AT243" s="1">
        <f>SUM(AK244:AK249)</f>
        <v>0</v>
      </c>
      <c r="AU243" s="1">
        <f>SUM(AL244:AL249)</f>
        <v>0</v>
      </c>
    </row>
    <row r="244" spans="1:75" ht="13.5" customHeight="1">
      <c r="A244" s="2" t="s">
        <v>473</v>
      </c>
      <c r="B244" s="3" t="s">
        <v>53</v>
      </c>
      <c r="C244" s="3" t="s">
        <v>474</v>
      </c>
      <c r="D244" s="148" t="s">
        <v>475</v>
      </c>
      <c r="E244" s="143"/>
      <c r="F244" s="3" t="s">
        <v>109</v>
      </c>
      <c r="G244" s="27">
        <v>52.725</v>
      </c>
      <c r="H244" s="27">
        <v>0</v>
      </c>
      <c r="I244" s="27">
        <f>G244*AO244</f>
        <v>0</v>
      </c>
      <c r="J244" s="27">
        <f>G244*AP244</f>
        <v>0</v>
      </c>
      <c r="K244" s="27">
        <f>G244*H244</f>
        <v>0</v>
      </c>
      <c r="L244" s="28" t="s">
        <v>96</v>
      </c>
      <c r="Z244" s="27">
        <f>IF(AQ244="5",BJ244,0)</f>
        <v>0</v>
      </c>
      <c r="AB244" s="27">
        <f>IF(AQ244="1",BH244,0)</f>
        <v>0</v>
      </c>
      <c r="AC244" s="27">
        <f>IF(AQ244="1",BI244,0)</f>
        <v>0</v>
      </c>
      <c r="AD244" s="27">
        <f>IF(AQ244="7",BH244,0)</f>
        <v>0</v>
      </c>
      <c r="AE244" s="27">
        <f>IF(AQ244="7",BI244,0)</f>
        <v>0</v>
      </c>
      <c r="AF244" s="27">
        <f>IF(AQ244="2",BH244,0)</f>
        <v>0</v>
      </c>
      <c r="AG244" s="27">
        <f>IF(AQ244="2",BI244,0)</f>
        <v>0</v>
      </c>
      <c r="AH244" s="27">
        <f>IF(AQ244="0",BJ244,0)</f>
        <v>0</v>
      </c>
      <c r="AI244" s="9" t="s">
        <v>53</v>
      </c>
      <c r="AJ244" s="27">
        <f>IF(AN244=0,K244,0)</f>
        <v>0</v>
      </c>
      <c r="AK244" s="27">
        <f>IF(AN244=12,K244,0)</f>
        <v>0</v>
      </c>
      <c r="AL244" s="27">
        <f>IF(AN244=21,K244,0)</f>
        <v>0</v>
      </c>
      <c r="AN244" s="27">
        <v>21</v>
      </c>
      <c r="AO244" s="27">
        <f>H244*0</f>
        <v>0</v>
      </c>
      <c r="AP244" s="27">
        <f>H244*(1-0)</f>
        <v>0</v>
      </c>
      <c r="AQ244" s="29" t="s">
        <v>57</v>
      </c>
      <c r="AV244" s="27">
        <f>AW244+AX244</f>
        <v>0</v>
      </c>
      <c r="AW244" s="27">
        <f>G244*AO244</f>
        <v>0</v>
      </c>
      <c r="AX244" s="27">
        <f>G244*AP244</f>
        <v>0</v>
      </c>
      <c r="AY244" s="29" t="s">
        <v>476</v>
      </c>
      <c r="AZ244" s="29" t="s">
        <v>62</v>
      </c>
      <c r="BA244" s="9" t="s">
        <v>63</v>
      </c>
      <c r="BC244" s="27">
        <f>AW244+AX244</f>
        <v>0</v>
      </c>
      <c r="BD244" s="27">
        <f>H244/(100-BE244)*100</f>
        <v>0</v>
      </c>
      <c r="BE244" s="27">
        <v>0</v>
      </c>
      <c r="BF244" s="27">
        <f>244</f>
        <v>244</v>
      </c>
      <c r="BH244" s="27">
        <f>G244*AO244</f>
        <v>0</v>
      </c>
      <c r="BI244" s="27">
        <f>G244*AP244</f>
        <v>0</v>
      </c>
      <c r="BJ244" s="27">
        <f>G244*H244</f>
        <v>0</v>
      </c>
      <c r="BK244" s="27"/>
      <c r="BL244" s="27">
        <v>97</v>
      </c>
      <c r="BW244" s="27">
        <v>21</v>
      </c>
    </row>
    <row r="245" spans="1:12" ht="15">
      <c r="A245" s="30"/>
      <c r="D245" s="32" t="s">
        <v>477</v>
      </c>
      <c r="E245" s="31" t="s">
        <v>478</v>
      </c>
      <c r="G245" s="33">
        <v>17.975</v>
      </c>
      <c r="L245" s="34"/>
    </row>
    <row r="246" spans="1:12" ht="15">
      <c r="A246" s="30"/>
      <c r="D246" s="32" t="s">
        <v>479</v>
      </c>
      <c r="E246" s="31" t="s">
        <v>480</v>
      </c>
      <c r="G246" s="33">
        <v>17.375</v>
      </c>
      <c r="L246" s="34"/>
    </row>
    <row r="247" spans="1:12" ht="15">
      <c r="A247" s="30"/>
      <c r="D247" s="32" t="s">
        <v>479</v>
      </c>
      <c r="E247" s="31" t="s">
        <v>481</v>
      </c>
      <c r="G247" s="33">
        <v>17.375</v>
      </c>
      <c r="L247" s="34"/>
    </row>
    <row r="248" spans="1:12" ht="13.5" customHeight="1">
      <c r="A248" s="98"/>
      <c r="C248" s="99" t="s">
        <v>102</v>
      </c>
      <c r="D248" s="195" t="s">
        <v>482</v>
      </c>
      <c r="E248" s="196"/>
      <c r="F248" s="196"/>
      <c r="G248" s="196"/>
      <c r="H248" s="196"/>
      <c r="I248" s="196"/>
      <c r="J248" s="196"/>
      <c r="K248" s="196"/>
      <c r="L248" s="197"/>
    </row>
    <row r="249" spans="1:75" ht="13.5" customHeight="1">
      <c r="A249" s="41" t="s">
        <v>483</v>
      </c>
      <c r="B249" s="42" t="s">
        <v>53</v>
      </c>
      <c r="C249" s="42" t="s">
        <v>484</v>
      </c>
      <c r="D249" s="171" t="s">
        <v>485</v>
      </c>
      <c r="E249" s="172"/>
      <c r="F249" s="42" t="s">
        <v>126</v>
      </c>
      <c r="G249" s="43">
        <v>29</v>
      </c>
      <c r="H249" s="43">
        <v>0</v>
      </c>
      <c r="I249" s="43">
        <f>G249*AO249</f>
        <v>0</v>
      </c>
      <c r="J249" s="43">
        <f>G249*AP249</f>
        <v>0</v>
      </c>
      <c r="K249" s="43">
        <f>G249*H249</f>
        <v>0</v>
      </c>
      <c r="L249" s="44" t="s">
        <v>96</v>
      </c>
      <c r="Z249" s="27">
        <f>IF(AQ249="5",BJ249,0)</f>
        <v>0</v>
      </c>
      <c r="AB249" s="27">
        <f>IF(AQ249="1",BH249,0)</f>
        <v>0</v>
      </c>
      <c r="AC249" s="27">
        <f>IF(AQ249="1",BI249,0)</f>
        <v>0</v>
      </c>
      <c r="AD249" s="27">
        <f>IF(AQ249="7",BH249,0)</f>
        <v>0</v>
      </c>
      <c r="AE249" s="27">
        <f>IF(AQ249="7",BI249,0)</f>
        <v>0</v>
      </c>
      <c r="AF249" s="27">
        <f>IF(AQ249="2",BH249,0)</f>
        <v>0</v>
      </c>
      <c r="AG249" s="27">
        <f>IF(AQ249="2",BI249,0)</f>
        <v>0</v>
      </c>
      <c r="AH249" s="27">
        <f>IF(AQ249="0",BJ249,0)</f>
        <v>0</v>
      </c>
      <c r="AI249" s="9" t="s">
        <v>53</v>
      </c>
      <c r="AJ249" s="27">
        <f>IF(AN249=0,K249,0)</f>
        <v>0</v>
      </c>
      <c r="AK249" s="27">
        <f>IF(AN249=12,K249,0)</f>
        <v>0</v>
      </c>
      <c r="AL249" s="27">
        <f>IF(AN249=21,K249,0)</f>
        <v>0</v>
      </c>
      <c r="AN249" s="27">
        <v>21</v>
      </c>
      <c r="AO249" s="27">
        <f>H249*0.124869565</f>
        <v>0</v>
      </c>
      <c r="AP249" s="27">
        <f>H249*(1-0.124869565)</f>
        <v>0</v>
      </c>
      <c r="AQ249" s="29" t="s">
        <v>57</v>
      </c>
      <c r="AV249" s="27">
        <f>AW249+AX249</f>
        <v>0</v>
      </c>
      <c r="AW249" s="27">
        <f>G249*AO249</f>
        <v>0</v>
      </c>
      <c r="AX249" s="27">
        <f>G249*AP249</f>
        <v>0</v>
      </c>
      <c r="AY249" s="29" t="s">
        <v>476</v>
      </c>
      <c r="AZ249" s="29" t="s">
        <v>62</v>
      </c>
      <c r="BA249" s="9" t="s">
        <v>63</v>
      </c>
      <c r="BC249" s="27">
        <f>AW249+AX249</f>
        <v>0</v>
      </c>
      <c r="BD249" s="27">
        <f>H249/(100-BE249)*100</f>
        <v>0</v>
      </c>
      <c r="BE249" s="27">
        <v>0</v>
      </c>
      <c r="BF249" s="27">
        <f>249</f>
        <v>249</v>
      </c>
      <c r="BH249" s="27">
        <f>G249*AO249</f>
        <v>0</v>
      </c>
      <c r="BI249" s="27">
        <f>G249*AP249</f>
        <v>0</v>
      </c>
      <c r="BJ249" s="27">
        <f>G249*H249</f>
        <v>0</v>
      </c>
      <c r="BK249" s="27"/>
      <c r="BL249" s="27">
        <v>97</v>
      </c>
      <c r="BW249" s="27">
        <v>21</v>
      </c>
    </row>
    <row r="250" spans="1:12" ht="15">
      <c r="A250" s="52"/>
      <c r="B250" s="53"/>
      <c r="C250" s="53"/>
      <c r="D250" s="54" t="s">
        <v>130</v>
      </c>
      <c r="E250" s="55" t="s">
        <v>131</v>
      </c>
      <c r="F250" s="53"/>
      <c r="G250" s="56">
        <v>14.5</v>
      </c>
      <c r="H250" s="53"/>
      <c r="I250" s="53"/>
      <c r="J250" s="53"/>
      <c r="K250" s="53"/>
      <c r="L250" s="57"/>
    </row>
    <row r="251" spans="1:12" ht="15">
      <c r="A251" s="52"/>
      <c r="B251" s="53"/>
      <c r="C251" s="53"/>
      <c r="D251" s="54" t="s">
        <v>130</v>
      </c>
      <c r="E251" s="55" t="s">
        <v>132</v>
      </c>
      <c r="F251" s="53"/>
      <c r="G251" s="56">
        <v>14.5</v>
      </c>
      <c r="H251" s="53"/>
      <c r="I251" s="53"/>
      <c r="J251" s="53"/>
      <c r="K251" s="53"/>
      <c r="L251" s="57"/>
    </row>
    <row r="252" spans="1:12" ht="13.5" customHeight="1">
      <c r="A252" s="58"/>
      <c r="C252" s="59" t="s">
        <v>102</v>
      </c>
      <c r="D252" s="176" t="s">
        <v>486</v>
      </c>
      <c r="E252" s="177"/>
      <c r="F252" s="177"/>
      <c r="G252" s="177"/>
      <c r="H252" s="177"/>
      <c r="I252" s="177"/>
      <c r="J252" s="177"/>
      <c r="K252" s="177"/>
      <c r="L252" s="178"/>
    </row>
    <row r="253" spans="1:47" ht="15">
      <c r="A253" s="36" t="s">
        <v>52</v>
      </c>
      <c r="B253" s="37" t="s">
        <v>53</v>
      </c>
      <c r="C253" s="37" t="s">
        <v>487</v>
      </c>
      <c r="D253" s="169" t="s">
        <v>488</v>
      </c>
      <c r="E253" s="170"/>
      <c r="F253" s="38" t="s">
        <v>4</v>
      </c>
      <c r="G253" s="38" t="s">
        <v>4</v>
      </c>
      <c r="H253" s="38" t="s">
        <v>4</v>
      </c>
      <c r="I253" s="39">
        <f>SUM(I254:I254)</f>
        <v>0</v>
      </c>
      <c r="J253" s="39">
        <f>SUM(J254:J254)</f>
        <v>0</v>
      </c>
      <c r="K253" s="39">
        <f>SUM(K254:K254)</f>
        <v>0</v>
      </c>
      <c r="L253" s="40" t="s">
        <v>52</v>
      </c>
      <c r="AI253" s="9" t="s">
        <v>53</v>
      </c>
      <c r="AS253" s="1">
        <f>SUM(AJ254:AJ254)</f>
        <v>0</v>
      </c>
      <c r="AT253" s="1">
        <f>SUM(AK254:AK254)</f>
        <v>0</v>
      </c>
      <c r="AU253" s="1">
        <f>SUM(AL254:AL254)</f>
        <v>0</v>
      </c>
    </row>
    <row r="254" spans="1:75" ht="13.5" customHeight="1">
      <c r="A254" s="41" t="s">
        <v>489</v>
      </c>
      <c r="B254" s="42" t="s">
        <v>53</v>
      </c>
      <c r="C254" s="42" t="s">
        <v>490</v>
      </c>
      <c r="D254" s="171" t="s">
        <v>491</v>
      </c>
      <c r="E254" s="172"/>
      <c r="F254" s="42" t="s">
        <v>154</v>
      </c>
      <c r="G254" s="43">
        <v>3</v>
      </c>
      <c r="H254" s="43">
        <v>0</v>
      </c>
      <c r="I254" s="43">
        <f>G254*AO254</f>
        <v>0</v>
      </c>
      <c r="J254" s="43">
        <f>G254*AP254</f>
        <v>0</v>
      </c>
      <c r="K254" s="43">
        <f>G254*H254</f>
        <v>0</v>
      </c>
      <c r="L254" s="44" t="s">
        <v>96</v>
      </c>
      <c r="Z254" s="27">
        <f>IF(AQ254="5",BJ254,0)</f>
        <v>0</v>
      </c>
      <c r="AB254" s="27">
        <f>IF(AQ254="1",BH254,0)</f>
        <v>0</v>
      </c>
      <c r="AC254" s="27">
        <f>IF(AQ254="1",BI254,0)</f>
        <v>0</v>
      </c>
      <c r="AD254" s="27">
        <f>IF(AQ254="7",BH254,0)</f>
        <v>0</v>
      </c>
      <c r="AE254" s="27">
        <f>IF(AQ254="7",BI254,0)</f>
        <v>0</v>
      </c>
      <c r="AF254" s="27">
        <f>IF(AQ254="2",BH254,0)</f>
        <v>0</v>
      </c>
      <c r="AG254" s="27">
        <f>IF(AQ254="2",BI254,0)</f>
        <v>0</v>
      </c>
      <c r="AH254" s="27">
        <f>IF(AQ254="0",BJ254,0)</f>
        <v>0</v>
      </c>
      <c r="AI254" s="9" t="s">
        <v>53</v>
      </c>
      <c r="AJ254" s="27">
        <f>IF(AN254=0,K254,0)</f>
        <v>0</v>
      </c>
      <c r="AK254" s="27">
        <f>IF(AN254=12,K254,0)</f>
        <v>0</v>
      </c>
      <c r="AL254" s="27">
        <f>IF(AN254=21,K254,0)</f>
        <v>0</v>
      </c>
      <c r="AN254" s="27">
        <v>21</v>
      </c>
      <c r="AO254" s="27">
        <f>H254*0</f>
        <v>0</v>
      </c>
      <c r="AP254" s="27">
        <f>H254*(1-0)</f>
        <v>0</v>
      </c>
      <c r="AQ254" s="29" t="s">
        <v>60</v>
      </c>
      <c r="AV254" s="27">
        <f>AW254+AX254</f>
        <v>0</v>
      </c>
      <c r="AW254" s="27">
        <f>G254*AO254</f>
        <v>0</v>
      </c>
      <c r="AX254" s="27">
        <f>G254*AP254</f>
        <v>0</v>
      </c>
      <c r="AY254" s="29" t="s">
        <v>492</v>
      </c>
      <c r="AZ254" s="29" t="s">
        <v>62</v>
      </c>
      <c r="BA254" s="9" t="s">
        <v>63</v>
      </c>
      <c r="BC254" s="27">
        <f>AW254+AX254</f>
        <v>0</v>
      </c>
      <c r="BD254" s="27">
        <f>H254/(100-BE254)*100</f>
        <v>0</v>
      </c>
      <c r="BE254" s="27">
        <v>0</v>
      </c>
      <c r="BF254" s="27">
        <f>254</f>
        <v>254</v>
      </c>
      <c r="BH254" s="27">
        <f>G254*AO254</f>
        <v>0</v>
      </c>
      <c r="BI254" s="27">
        <f>G254*AP254</f>
        <v>0</v>
      </c>
      <c r="BJ254" s="27">
        <f>G254*H254</f>
        <v>0</v>
      </c>
      <c r="BK254" s="27"/>
      <c r="BL254" s="27"/>
      <c r="BW254" s="27">
        <v>21</v>
      </c>
    </row>
    <row r="255" spans="1:12" ht="13.5" customHeight="1">
      <c r="A255" s="45"/>
      <c r="D255" s="173" t="s">
        <v>493</v>
      </c>
      <c r="E255" s="174"/>
      <c r="F255" s="174"/>
      <c r="G255" s="174"/>
      <c r="H255" s="174"/>
      <c r="I255" s="174"/>
      <c r="J255" s="174"/>
      <c r="K255" s="174"/>
      <c r="L255" s="175"/>
    </row>
    <row r="256" spans="1:12" ht="15">
      <c r="A256" s="46"/>
      <c r="B256" s="47"/>
      <c r="C256" s="47"/>
      <c r="D256" s="48" t="s">
        <v>72</v>
      </c>
      <c r="E256" s="49" t="s">
        <v>52</v>
      </c>
      <c r="F256" s="47"/>
      <c r="G256" s="50">
        <v>3</v>
      </c>
      <c r="H256" s="47"/>
      <c r="I256" s="47"/>
      <c r="J256" s="47"/>
      <c r="K256" s="47"/>
      <c r="L256" s="51"/>
    </row>
    <row r="257" spans="1:47" ht="15">
      <c r="A257" s="93" t="s">
        <v>52</v>
      </c>
      <c r="B257" s="94" t="s">
        <v>53</v>
      </c>
      <c r="C257" s="94" t="s">
        <v>494</v>
      </c>
      <c r="D257" s="193" t="s">
        <v>495</v>
      </c>
      <c r="E257" s="194"/>
      <c r="F257" s="95" t="s">
        <v>4</v>
      </c>
      <c r="G257" s="95" t="s">
        <v>4</v>
      </c>
      <c r="H257" s="95" t="s">
        <v>4</v>
      </c>
      <c r="I257" s="96">
        <f>SUM(I258:I274)</f>
        <v>0</v>
      </c>
      <c r="J257" s="96">
        <f>SUM(J258:J274)</f>
        <v>0</v>
      </c>
      <c r="K257" s="96">
        <f>SUM(K258:K274)</f>
        <v>0</v>
      </c>
      <c r="L257" s="97" t="s">
        <v>52</v>
      </c>
      <c r="AI257" s="9" t="s">
        <v>53</v>
      </c>
      <c r="AS257" s="1">
        <f>SUM(AJ258:AJ274)</f>
        <v>0</v>
      </c>
      <c r="AT257" s="1">
        <f>SUM(AK258:AK274)</f>
        <v>0</v>
      </c>
      <c r="AU257" s="1">
        <f>SUM(AL258:AL274)</f>
        <v>0</v>
      </c>
    </row>
    <row r="258" spans="1:75" ht="13.5" customHeight="1">
      <c r="A258" s="2" t="s">
        <v>496</v>
      </c>
      <c r="B258" s="3" t="s">
        <v>53</v>
      </c>
      <c r="C258" s="3" t="s">
        <v>497</v>
      </c>
      <c r="D258" s="148" t="s">
        <v>498</v>
      </c>
      <c r="E258" s="143"/>
      <c r="F258" s="3" t="s">
        <v>95</v>
      </c>
      <c r="G258" s="27">
        <v>6.15599</v>
      </c>
      <c r="H258" s="27">
        <v>0</v>
      </c>
      <c r="I258" s="27">
        <f>G258*AO258</f>
        <v>0</v>
      </c>
      <c r="J258" s="27">
        <f>G258*AP258</f>
        <v>0</v>
      </c>
      <c r="K258" s="27">
        <f>G258*H258</f>
        <v>0</v>
      </c>
      <c r="L258" s="28" t="s">
        <v>137</v>
      </c>
      <c r="Z258" s="27">
        <f>IF(AQ258="5",BJ258,0)</f>
        <v>0</v>
      </c>
      <c r="AB258" s="27">
        <f>IF(AQ258="1",BH258,0)</f>
        <v>0</v>
      </c>
      <c r="AC258" s="27">
        <f>IF(AQ258="1",BI258,0)</f>
        <v>0</v>
      </c>
      <c r="AD258" s="27">
        <f>IF(AQ258="7",BH258,0)</f>
        <v>0</v>
      </c>
      <c r="AE258" s="27">
        <f>IF(AQ258="7",BI258,0)</f>
        <v>0</v>
      </c>
      <c r="AF258" s="27">
        <f>IF(AQ258="2",BH258,0)</f>
        <v>0</v>
      </c>
      <c r="AG258" s="27">
        <f>IF(AQ258="2",BI258,0)</f>
        <v>0</v>
      </c>
      <c r="AH258" s="27">
        <f>IF(AQ258="0",BJ258,0)</f>
        <v>0</v>
      </c>
      <c r="AI258" s="9" t="s">
        <v>53</v>
      </c>
      <c r="AJ258" s="27">
        <f>IF(AN258=0,K258,0)</f>
        <v>0</v>
      </c>
      <c r="AK258" s="27">
        <f>IF(AN258=12,K258,0)</f>
        <v>0</v>
      </c>
      <c r="AL258" s="27">
        <f>IF(AN258=21,K258,0)</f>
        <v>0</v>
      </c>
      <c r="AN258" s="27">
        <v>21</v>
      </c>
      <c r="AO258" s="27">
        <f>H258*0</f>
        <v>0</v>
      </c>
      <c r="AP258" s="27">
        <f>H258*(1-0)</f>
        <v>0</v>
      </c>
      <c r="AQ258" s="29" t="s">
        <v>78</v>
      </c>
      <c r="AV258" s="27">
        <f>AW258+AX258</f>
        <v>0</v>
      </c>
      <c r="AW258" s="27">
        <f>G258*AO258</f>
        <v>0</v>
      </c>
      <c r="AX258" s="27">
        <f>G258*AP258</f>
        <v>0</v>
      </c>
      <c r="AY258" s="29" t="s">
        <v>499</v>
      </c>
      <c r="AZ258" s="29" t="s">
        <v>62</v>
      </c>
      <c r="BA258" s="9" t="s">
        <v>63</v>
      </c>
      <c r="BC258" s="27">
        <f>AW258+AX258</f>
        <v>0</v>
      </c>
      <c r="BD258" s="27">
        <f>H258/(100-BE258)*100</f>
        <v>0</v>
      </c>
      <c r="BE258" s="27">
        <v>0</v>
      </c>
      <c r="BF258" s="27">
        <f>258</f>
        <v>258</v>
      </c>
      <c r="BH258" s="27">
        <f>G258*AO258</f>
        <v>0</v>
      </c>
      <c r="BI258" s="27">
        <f>G258*AP258</f>
        <v>0</v>
      </c>
      <c r="BJ258" s="27">
        <f>G258*H258</f>
        <v>0</v>
      </c>
      <c r="BK258" s="27"/>
      <c r="BL258" s="27"/>
      <c r="BW258" s="27">
        <v>21</v>
      </c>
    </row>
    <row r="259" spans="1:12" ht="13.5" customHeight="1">
      <c r="A259" s="30"/>
      <c r="C259" s="35" t="s">
        <v>102</v>
      </c>
      <c r="D259" s="166" t="s">
        <v>500</v>
      </c>
      <c r="E259" s="167"/>
      <c r="F259" s="167"/>
      <c r="G259" s="167"/>
      <c r="H259" s="167"/>
      <c r="I259" s="167"/>
      <c r="J259" s="167"/>
      <c r="K259" s="167"/>
      <c r="L259" s="168"/>
    </row>
    <row r="260" spans="1:75" ht="13.5" customHeight="1">
      <c r="A260" s="2" t="s">
        <v>501</v>
      </c>
      <c r="B260" s="3" t="s">
        <v>53</v>
      </c>
      <c r="C260" s="3" t="s">
        <v>502</v>
      </c>
      <c r="D260" s="148" t="s">
        <v>503</v>
      </c>
      <c r="E260" s="143"/>
      <c r="F260" s="3" t="s">
        <v>95</v>
      </c>
      <c r="G260" s="27">
        <v>6.15599</v>
      </c>
      <c r="H260" s="27">
        <v>0</v>
      </c>
      <c r="I260" s="27">
        <f>G260*AO260</f>
        <v>0</v>
      </c>
      <c r="J260" s="27">
        <f>G260*AP260</f>
        <v>0</v>
      </c>
      <c r="K260" s="27">
        <f>G260*H260</f>
        <v>0</v>
      </c>
      <c r="L260" s="28" t="s">
        <v>137</v>
      </c>
      <c r="Z260" s="27">
        <f>IF(AQ260="5",BJ260,0)</f>
        <v>0</v>
      </c>
      <c r="AB260" s="27">
        <f>IF(AQ260="1",BH260,0)</f>
        <v>0</v>
      </c>
      <c r="AC260" s="27">
        <f>IF(AQ260="1",BI260,0)</f>
        <v>0</v>
      </c>
      <c r="AD260" s="27">
        <f>IF(AQ260="7",BH260,0)</f>
        <v>0</v>
      </c>
      <c r="AE260" s="27">
        <f>IF(AQ260="7",BI260,0)</f>
        <v>0</v>
      </c>
      <c r="AF260" s="27">
        <f>IF(AQ260="2",BH260,0)</f>
        <v>0</v>
      </c>
      <c r="AG260" s="27">
        <f>IF(AQ260="2",BI260,0)</f>
        <v>0</v>
      </c>
      <c r="AH260" s="27">
        <f>IF(AQ260="0",BJ260,0)</f>
        <v>0</v>
      </c>
      <c r="AI260" s="9" t="s">
        <v>53</v>
      </c>
      <c r="AJ260" s="27">
        <f>IF(AN260=0,K260,0)</f>
        <v>0</v>
      </c>
      <c r="AK260" s="27">
        <f>IF(AN260=12,K260,0)</f>
        <v>0</v>
      </c>
      <c r="AL260" s="27">
        <f>IF(AN260=21,K260,0)</f>
        <v>0</v>
      </c>
      <c r="AN260" s="27">
        <v>21</v>
      </c>
      <c r="AO260" s="27">
        <f>H260*0</f>
        <v>0</v>
      </c>
      <c r="AP260" s="27">
        <f>H260*(1-0)</f>
        <v>0</v>
      </c>
      <c r="AQ260" s="29" t="s">
        <v>78</v>
      </c>
      <c r="AV260" s="27">
        <f>AW260+AX260</f>
        <v>0</v>
      </c>
      <c r="AW260" s="27">
        <f>G260*AO260</f>
        <v>0</v>
      </c>
      <c r="AX260" s="27">
        <f>G260*AP260</f>
        <v>0</v>
      </c>
      <c r="AY260" s="29" t="s">
        <v>499</v>
      </c>
      <c r="AZ260" s="29" t="s">
        <v>62</v>
      </c>
      <c r="BA260" s="9" t="s">
        <v>63</v>
      </c>
      <c r="BC260" s="27">
        <f>AW260+AX260</f>
        <v>0</v>
      </c>
      <c r="BD260" s="27">
        <f>H260/(100-BE260)*100</f>
        <v>0</v>
      </c>
      <c r="BE260" s="27">
        <v>0</v>
      </c>
      <c r="BF260" s="27">
        <f>260</f>
        <v>260</v>
      </c>
      <c r="BH260" s="27">
        <f>G260*AO260</f>
        <v>0</v>
      </c>
      <c r="BI260" s="27">
        <f>G260*AP260</f>
        <v>0</v>
      </c>
      <c r="BJ260" s="27">
        <f>G260*H260</f>
        <v>0</v>
      </c>
      <c r="BK260" s="27"/>
      <c r="BL260" s="27"/>
      <c r="BW260" s="27">
        <v>21</v>
      </c>
    </row>
    <row r="261" spans="1:12" ht="15">
      <c r="A261" s="30"/>
      <c r="D261" s="32" t="s">
        <v>504</v>
      </c>
      <c r="E261" s="31" t="s">
        <v>505</v>
      </c>
      <c r="G261" s="33">
        <v>6.15599</v>
      </c>
      <c r="L261" s="34"/>
    </row>
    <row r="262" spans="1:75" ht="13.5" customHeight="1">
      <c r="A262" s="2" t="s">
        <v>506</v>
      </c>
      <c r="B262" s="3" t="s">
        <v>53</v>
      </c>
      <c r="C262" s="3" t="s">
        <v>507</v>
      </c>
      <c r="D262" s="148" t="s">
        <v>508</v>
      </c>
      <c r="E262" s="143"/>
      <c r="F262" s="3" t="s">
        <v>95</v>
      </c>
      <c r="G262" s="27">
        <v>6.15599</v>
      </c>
      <c r="H262" s="27">
        <v>0</v>
      </c>
      <c r="I262" s="27">
        <f>G262*AO262</f>
        <v>0</v>
      </c>
      <c r="J262" s="27">
        <f>G262*AP262</f>
        <v>0</v>
      </c>
      <c r="K262" s="27">
        <f>G262*H262</f>
        <v>0</v>
      </c>
      <c r="L262" s="28" t="s">
        <v>137</v>
      </c>
      <c r="Z262" s="27">
        <f>IF(AQ262="5",BJ262,0)</f>
        <v>0</v>
      </c>
      <c r="AB262" s="27">
        <f>IF(AQ262="1",BH262,0)</f>
        <v>0</v>
      </c>
      <c r="AC262" s="27">
        <f>IF(AQ262="1",BI262,0)</f>
        <v>0</v>
      </c>
      <c r="AD262" s="27">
        <f>IF(AQ262="7",BH262,0)</f>
        <v>0</v>
      </c>
      <c r="AE262" s="27">
        <f>IF(AQ262="7",BI262,0)</f>
        <v>0</v>
      </c>
      <c r="AF262" s="27">
        <f>IF(AQ262="2",BH262,0)</f>
        <v>0</v>
      </c>
      <c r="AG262" s="27">
        <f>IF(AQ262="2",BI262,0)</f>
        <v>0</v>
      </c>
      <c r="AH262" s="27">
        <f>IF(AQ262="0",BJ262,0)</f>
        <v>0</v>
      </c>
      <c r="AI262" s="9" t="s">
        <v>53</v>
      </c>
      <c r="AJ262" s="27">
        <f>IF(AN262=0,K262,0)</f>
        <v>0</v>
      </c>
      <c r="AK262" s="27">
        <f>IF(AN262=12,K262,0)</f>
        <v>0</v>
      </c>
      <c r="AL262" s="27">
        <f>IF(AN262=21,K262,0)</f>
        <v>0</v>
      </c>
      <c r="AN262" s="27">
        <v>21</v>
      </c>
      <c r="AO262" s="27">
        <f>H262*0</f>
        <v>0</v>
      </c>
      <c r="AP262" s="27">
        <f>H262*(1-0)</f>
        <v>0</v>
      </c>
      <c r="AQ262" s="29" t="s">
        <v>78</v>
      </c>
      <c r="AV262" s="27">
        <f>AW262+AX262</f>
        <v>0</v>
      </c>
      <c r="AW262" s="27">
        <f>G262*AO262</f>
        <v>0</v>
      </c>
      <c r="AX262" s="27">
        <f>G262*AP262</f>
        <v>0</v>
      </c>
      <c r="AY262" s="29" t="s">
        <v>499</v>
      </c>
      <c r="AZ262" s="29" t="s">
        <v>62</v>
      </c>
      <c r="BA262" s="9" t="s">
        <v>63</v>
      </c>
      <c r="BC262" s="27">
        <f>AW262+AX262</f>
        <v>0</v>
      </c>
      <c r="BD262" s="27">
        <f>H262/(100-BE262)*100</f>
        <v>0</v>
      </c>
      <c r="BE262" s="27">
        <v>0</v>
      </c>
      <c r="BF262" s="27">
        <f>262</f>
        <v>262</v>
      </c>
      <c r="BH262" s="27">
        <f>G262*AO262</f>
        <v>0</v>
      </c>
      <c r="BI262" s="27">
        <f>G262*AP262</f>
        <v>0</v>
      </c>
      <c r="BJ262" s="27">
        <f>G262*H262</f>
        <v>0</v>
      </c>
      <c r="BK262" s="27"/>
      <c r="BL262" s="27"/>
      <c r="BW262" s="27">
        <v>21</v>
      </c>
    </row>
    <row r="263" spans="1:12" ht="15">
      <c r="A263" s="30"/>
      <c r="D263" s="32" t="s">
        <v>509</v>
      </c>
      <c r="E263" s="31" t="s">
        <v>52</v>
      </c>
      <c r="G263" s="33">
        <v>6.15599</v>
      </c>
      <c r="L263" s="34"/>
    </row>
    <row r="264" spans="1:75" ht="13.5" customHeight="1">
      <c r="A264" s="2" t="s">
        <v>510</v>
      </c>
      <c r="B264" s="3" t="s">
        <v>53</v>
      </c>
      <c r="C264" s="3" t="s">
        <v>511</v>
      </c>
      <c r="D264" s="148" t="s">
        <v>512</v>
      </c>
      <c r="E264" s="143"/>
      <c r="F264" s="3" t="s">
        <v>95</v>
      </c>
      <c r="G264" s="27">
        <v>80.02787</v>
      </c>
      <c r="H264" s="27">
        <v>0</v>
      </c>
      <c r="I264" s="27">
        <f>G264*AO264</f>
        <v>0</v>
      </c>
      <c r="J264" s="27">
        <f>G264*AP264</f>
        <v>0</v>
      </c>
      <c r="K264" s="27">
        <f>G264*H264</f>
        <v>0</v>
      </c>
      <c r="L264" s="28" t="s">
        <v>137</v>
      </c>
      <c r="Z264" s="27">
        <f>IF(AQ264="5",BJ264,0)</f>
        <v>0</v>
      </c>
      <c r="AB264" s="27">
        <f>IF(AQ264="1",BH264,0)</f>
        <v>0</v>
      </c>
      <c r="AC264" s="27">
        <f>IF(AQ264="1",BI264,0)</f>
        <v>0</v>
      </c>
      <c r="AD264" s="27">
        <f>IF(AQ264="7",BH264,0)</f>
        <v>0</v>
      </c>
      <c r="AE264" s="27">
        <f>IF(AQ264="7",BI264,0)</f>
        <v>0</v>
      </c>
      <c r="AF264" s="27">
        <f>IF(AQ264="2",BH264,0)</f>
        <v>0</v>
      </c>
      <c r="AG264" s="27">
        <f>IF(AQ264="2",BI264,0)</f>
        <v>0</v>
      </c>
      <c r="AH264" s="27">
        <f>IF(AQ264="0",BJ264,0)</f>
        <v>0</v>
      </c>
      <c r="AI264" s="9" t="s">
        <v>53</v>
      </c>
      <c r="AJ264" s="27">
        <f>IF(AN264=0,K264,0)</f>
        <v>0</v>
      </c>
      <c r="AK264" s="27">
        <f>IF(AN264=12,K264,0)</f>
        <v>0</v>
      </c>
      <c r="AL264" s="27">
        <f>IF(AN264=21,K264,0)</f>
        <v>0</v>
      </c>
      <c r="AN264" s="27">
        <v>21</v>
      </c>
      <c r="AO264" s="27">
        <f>H264*0</f>
        <v>0</v>
      </c>
      <c r="AP264" s="27">
        <f>H264*(1-0)</f>
        <v>0</v>
      </c>
      <c r="AQ264" s="29" t="s">
        <v>78</v>
      </c>
      <c r="AV264" s="27">
        <f>AW264+AX264</f>
        <v>0</v>
      </c>
      <c r="AW264" s="27">
        <f>G264*AO264</f>
        <v>0</v>
      </c>
      <c r="AX264" s="27">
        <f>G264*AP264</f>
        <v>0</v>
      </c>
      <c r="AY264" s="29" t="s">
        <v>499</v>
      </c>
      <c r="AZ264" s="29" t="s">
        <v>62</v>
      </c>
      <c r="BA264" s="9" t="s">
        <v>63</v>
      </c>
      <c r="BC264" s="27">
        <f>AW264+AX264</f>
        <v>0</v>
      </c>
      <c r="BD264" s="27">
        <f>H264/(100-BE264)*100</f>
        <v>0</v>
      </c>
      <c r="BE264" s="27">
        <v>0</v>
      </c>
      <c r="BF264" s="27">
        <f>264</f>
        <v>264</v>
      </c>
      <c r="BH264" s="27">
        <f>G264*AO264</f>
        <v>0</v>
      </c>
      <c r="BI264" s="27">
        <f>G264*AP264</f>
        <v>0</v>
      </c>
      <c r="BJ264" s="27">
        <f>G264*H264</f>
        <v>0</v>
      </c>
      <c r="BK264" s="27"/>
      <c r="BL264" s="27"/>
      <c r="BW264" s="27">
        <v>21</v>
      </c>
    </row>
    <row r="265" spans="1:12" ht="15">
      <c r="A265" s="30"/>
      <c r="D265" s="32" t="s">
        <v>513</v>
      </c>
      <c r="E265" s="31" t="s">
        <v>514</v>
      </c>
      <c r="G265" s="33">
        <v>80.02787</v>
      </c>
      <c r="L265" s="34"/>
    </row>
    <row r="266" spans="1:75" ht="13.5" customHeight="1">
      <c r="A266" s="2" t="s">
        <v>515</v>
      </c>
      <c r="B266" s="3" t="s">
        <v>53</v>
      </c>
      <c r="C266" s="3" t="s">
        <v>516</v>
      </c>
      <c r="D266" s="148" t="s">
        <v>517</v>
      </c>
      <c r="E266" s="143"/>
      <c r="F266" s="3" t="s">
        <v>95</v>
      </c>
      <c r="G266" s="27">
        <v>6.15599</v>
      </c>
      <c r="H266" s="27">
        <v>0</v>
      </c>
      <c r="I266" s="27">
        <f>G266*AO266</f>
        <v>0</v>
      </c>
      <c r="J266" s="27">
        <f>G266*AP266</f>
        <v>0</v>
      </c>
      <c r="K266" s="27">
        <f>G266*H266</f>
        <v>0</v>
      </c>
      <c r="L266" s="28" t="s">
        <v>137</v>
      </c>
      <c r="Z266" s="27">
        <f>IF(AQ266="5",BJ266,0)</f>
        <v>0</v>
      </c>
      <c r="AB266" s="27">
        <f>IF(AQ266="1",BH266,0)</f>
        <v>0</v>
      </c>
      <c r="AC266" s="27">
        <f>IF(AQ266="1",BI266,0)</f>
        <v>0</v>
      </c>
      <c r="AD266" s="27">
        <f>IF(AQ266="7",BH266,0)</f>
        <v>0</v>
      </c>
      <c r="AE266" s="27">
        <f>IF(AQ266="7",BI266,0)</f>
        <v>0</v>
      </c>
      <c r="AF266" s="27">
        <f>IF(AQ266="2",BH266,0)</f>
        <v>0</v>
      </c>
      <c r="AG266" s="27">
        <f>IF(AQ266="2",BI266,0)</f>
        <v>0</v>
      </c>
      <c r="AH266" s="27">
        <f>IF(AQ266="0",BJ266,0)</f>
        <v>0</v>
      </c>
      <c r="AI266" s="9" t="s">
        <v>53</v>
      </c>
      <c r="AJ266" s="27">
        <f>IF(AN266=0,K266,0)</f>
        <v>0</v>
      </c>
      <c r="AK266" s="27">
        <f>IF(AN266=12,K266,0)</f>
        <v>0</v>
      </c>
      <c r="AL266" s="27">
        <f>IF(AN266=21,K266,0)</f>
        <v>0</v>
      </c>
      <c r="AN266" s="27">
        <v>21</v>
      </c>
      <c r="AO266" s="27">
        <f>H266*0</f>
        <v>0</v>
      </c>
      <c r="AP266" s="27">
        <f>H266*(1-0)</f>
        <v>0</v>
      </c>
      <c r="AQ266" s="29" t="s">
        <v>78</v>
      </c>
      <c r="AV266" s="27">
        <f>AW266+AX266</f>
        <v>0</v>
      </c>
      <c r="AW266" s="27">
        <f>G266*AO266</f>
        <v>0</v>
      </c>
      <c r="AX266" s="27">
        <f>G266*AP266</f>
        <v>0</v>
      </c>
      <c r="AY266" s="29" t="s">
        <v>499</v>
      </c>
      <c r="AZ266" s="29" t="s">
        <v>62</v>
      </c>
      <c r="BA266" s="9" t="s">
        <v>63</v>
      </c>
      <c r="BC266" s="27">
        <f>AW266+AX266</f>
        <v>0</v>
      </c>
      <c r="BD266" s="27">
        <f>H266/(100-BE266)*100</f>
        <v>0</v>
      </c>
      <c r="BE266" s="27">
        <v>0</v>
      </c>
      <c r="BF266" s="27">
        <f>266</f>
        <v>266</v>
      </c>
      <c r="BH266" s="27">
        <f>G266*AO266</f>
        <v>0</v>
      </c>
      <c r="BI266" s="27">
        <f>G266*AP266</f>
        <v>0</v>
      </c>
      <c r="BJ266" s="27">
        <f>G266*H266</f>
        <v>0</v>
      </c>
      <c r="BK266" s="27"/>
      <c r="BL266" s="27"/>
      <c r="BW266" s="27">
        <v>21</v>
      </c>
    </row>
    <row r="267" spans="1:12" ht="15">
      <c r="A267" s="30"/>
      <c r="D267" s="32" t="s">
        <v>509</v>
      </c>
      <c r="E267" s="31" t="s">
        <v>52</v>
      </c>
      <c r="G267" s="33">
        <v>6.15599</v>
      </c>
      <c r="L267" s="34"/>
    </row>
    <row r="268" spans="1:75" ht="13.5" customHeight="1">
      <c r="A268" s="2" t="s">
        <v>518</v>
      </c>
      <c r="B268" s="3" t="s">
        <v>53</v>
      </c>
      <c r="C268" s="3" t="s">
        <v>519</v>
      </c>
      <c r="D268" s="148" t="s">
        <v>520</v>
      </c>
      <c r="E268" s="143"/>
      <c r="F268" s="3" t="s">
        <v>95</v>
      </c>
      <c r="G268" s="27">
        <v>6.15599</v>
      </c>
      <c r="H268" s="27">
        <v>0</v>
      </c>
      <c r="I268" s="27">
        <f>G268*AO268</f>
        <v>0</v>
      </c>
      <c r="J268" s="27">
        <f>G268*AP268</f>
        <v>0</v>
      </c>
      <c r="K268" s="27">
        <f>G268*H268</f>
        <v>0</v>
      </c>
      <c r="L268" s="28" t="s">
        <v>137</v>
      </c>
      <c r="Z268" s="27">
        <f>IF(AQ268="5",BJ268,0)</f>
        <v>0</v>
      </c>
      <c r="AB268" s="27">
        <f>IF(AQ268="1",BH268,0)</f>
        <v>0</v>
      </c>
      <c r="AC268" s="27">
        <f>IF(AQ268="1",BI268,0)</f>
        <v>0</v>
      </c>
      <c r="AD268" s="27">
        <f>IF(AQ268="7",BH268,0)</f>
        <v>0</v>
      </c>
      <c r="AE268" s="27">
        <f>IF(AQ268="7",BI268,0)</f>
        <v>0</v>
      </c>
      <c r="AF268" s="27">
        <f>IF(AQ268="2",BH268,0)</f>
        <v>0</v>
      </c>
      <c r="AG268" s="27">
        <f>IF(AQ268="2",BI268,0)</f>
        <v>0</v>
      </c>
      <c r="AH268" s="27">
        <f>IF(AQ268="0",BJ268,0)</f>
        <v>0</v>
      </c>
      <c r="AI268" s="9" t="s">
        <v>53</v>
      </c>
      <c r="AJ268" s="27">
        <f>IF(AN268=0,K268,0)</f>
        <v>0</v>
      </c>
      <c r="AK268" s="27">
        <f>IF(AN268=12,K268,0)</f>
        <v>0</v>
      </c>
      <c r="AL268" s="27">
        <f>IF(AN268=21,K268,0)</f>
        <v>0</v>
      </c>
      <c r="AN268" s="27">
        <v>21</v>
      </c>
      <c r="AO268" s="27">
        <f>H268*0</f>
        <v>0</v>
      </c>
      <c r="AP268" s="27">
        <f>H268*(1-0)</f>
        <v>0</v>
      </c>
      <c r="AQ268" s="29" t="s">
        <v>78</v>
      </c>
      <c r="AV268" s="27">
        <f>AW268+AX268</f>
        <v>0</v>
      </c>
      <c r="AW268" s="27">
        <f>G268*AO268</f>
        <v>0</v>
      </c>
      <c r="AX268" s="27">
        <f>G268*AP268</f>
        <v>0</v>
      </c>
      <c r="AY268" s="29" t="s">
        <v>499</v>
      </c>
      <c r="AZ268" s="29" t="s">
        <v>62</v>
      </c>
      <c r="BA268" s="9" t="s">
        <v>63</v>
      </c>
      <c r="BC268" s="27">
        <f>AW268+AX268</f>
        <v>0</v>
      </c>
      <c r="BD268" s="27">
        <f>H268/(100-BE268)*100</f>
        <v>0</v>
      </c>
      <c r="BE268" s="27">
        <v>0</v>
      </c>
      <c r="BF268" s="27">
        <f>268</f>
        <v>268</v>
      </c>
      <c r="BH268" s="27">
        <f>G268*AO268</f>
        <v>0</v>
      </c>
      <c r="BI268" s="27">
        <f>G268*AP268</f>
        <v>0</v>
      </c>
      <c r="BJ268" s="27">
        <f>G268*H268</f>
        <v>0</v>
      </c>
      <c r="BK268" s="27"/>
      <c r="BL268" s="27"/>
      <c r="BW268" s="27">
        <v>21</v>
      </c>
    </row>
    <row r="269" spans="1:12" ht="13.5" customHeight="1">
      <c r="A269" s="30"/>
      <c r="D269" s="166" t="s">
        <v>521</v>
      </c>
      <c r="E269" s="167"/>
      <c r="F269" s="167"/>
      <c r="G269" s="167"/>
      <c r="H269" s="167"/>
      <c r="I269" s="167"/>
      <c r="J269" s="167"/>
      <c r="K269" s="167"/>
      <c r="L269" s="168"/>
    </row>
    <row r="270" spans="1:12" ht="15">
      <c r="A270" s="30"/>
      <c r="D270" s="32" t="s">
        <v>509</v>
      </c>
      <c r="E270" s="31" t="s">
        <v>52</v>
      </c>
      <c r="G270" s="33">
        <v>6.15599</v>
      </c>
      <c r="L270" s="34"/>
    </row>
    <row r="271" spans="1:75" ht="13.5" customHeight="1">
      <c r="A271" s="2" t="s">
        <v>522</v>
      </c>
      <c r="B271" s="3" t="s">
        <v>53</v>
      </c>
      <c r="C271" s="3" t="s">
        <v>523</v>
      </c>
      <c r="D271" s="148" t="s">
        <v>524</v>
      </c>
      <c r="E271" s="143"/>
      <c r="F271" s="3" t="s">
        <v>95</v>
      </c>
      <c r="G271" s="27">
        <v>123.1198</v>
      </c>
      <c r="H271" s="27">
        <v>0</v>
      </c>
      <c r="I271" s="27">
        <f>G271*AO271</f>
        <v>0</v>
      </c>
      <c r="J271" s="27">
        <f>G271*AP271</f>
        <v>0</v>
      </c>
      <c r="K271" s="27">
        <f>G271*H271</f>
        <v>0</v>
      </c>
      <c r="L271" s="28" t="s">
        <v>137</v>
      </c>
      <c r="Z271" s="27">
        <f>IF(AQ271="5",BJ271,0)</f>
        <v>0</v>
      </c>
      <c r="AB271" s="27">
        <f>IF(AQ271="1",BH271,0)</f>
        <v>0</v>
      </c>
      <c r="AC271" s="27">
        <f>IF(AQ271="1",BI271,0)</f>
        <v>0</v>
      </c>
      <c r="AD271" s="27">
        <f>IF(AQ271="7",BH271,0)</f>
        <v>0</v>
      </c>
      <c r="AE271" s="27">
        <f>IF(AQ271="7",BI271,0)</f>
        <v>0</v>
      </c>
      <c r="AF271" s="27">
        <f>IF(AQ271="2",BH271,0)</f>
        <v>0</v>
      </c>
      <c r="AG271" s="27">
        <f>IF(AQ271="2",BI271,0)</f>
        <v>0</v>
      </c>
      <c r="AH271" s="27">
        <f>IF(AQ271="0",BJ271,0)</f>
        <v>0</v>
      </c>
      <c r="AI271" s="9" t="s">
        <v>53</v>
      </c>
      <c r="AJ271" s="27">
        <f>IF(AN271=0,K271,0)</f>
        <v>0</v>
      </c>
      <c r="AK271" s="27">
        <f>IF(AN271=12,K271,0)</f>
        <v>0</v>
      </c>
      <c r="AL271" s="27">
        <f>IF(AN271=21,K271,0)</f>
        <v>0</v>
      </c>
      <c r="AN271" s="27">
        <v>21</v>
      </c>
      <c r="AO271" s="27">
        <f>H271*0</f>
        <v>0</v>
      </c>
      <c r="AP271" s="27">
        <f>H271*(1-0)</f>
        <v>0</v>
      </c>
      <c r="AQ271" s="29" t="s">
        <v>78</v>
      </c>
      <c r="AV271" s="27">
        <f>AW271+AX271</f>
        <v>0</v>
      </c>
      <c r="AW271" s="27">
        <f>G271*AO271</f>
        <v>0</v>
      </c>
      <c r="AX271" s="27">
        <f>G271*AP271</f>
        <v>0</v>
      </c>
      <c r="AY271" s="29" t="s">
        <v>499</v>
      </c>
      <c r="AZ271" s="29" t="s">
        <v>62</v>
      </c>
      <c r="BA271" s="9" t="s">
        <v>63</v>
      </c>
      <c r="BC271" s="27">
        <f>AW271+AX271</f>
        <v>0</v>
      </c>
      <c r="BD271" s="27">
        <f>H271/(100-BE271)*100</f>
        <v>0</v>
      </c>
      <c r="BE271" s="27">
        <v>0</v>
      </c>
      <c r="BF271" s="27">
        <f>271</f>
        <v>271</v>
      </c>
      <c r="BH271" s="27">
        <f>G271*AO271</f>
        <v>0</v>
      </c>
      <c r="BI271" s="27">
        <f>G271*AP271</f>
        <v>0</v>
      </c>
      <c r="BJ271" s="27">
        <f>G271*H271</f>
        <v>0</v>
      </c>
      <c r="BK271" s="27"/>
      <c r="BL271" s="27"/>
      <c r="BW271" s="27">
        <v>21</v>
      </c>
    </row>
    <row r="272" spans="1:12" ht="13.5" customHeight="1">
      <c r="A272" s="30"/>
      <c r="D272" s="166" t="s">
        <v>521</v>
      </c>
      <c r="E272" s="167"/>
      <c r="F272" s="167"/>
      <c r="G272" s="167"/>
      <c r="H272" s="167"/>
      <c r="I272" s="167"/>
      <c r="J272" s="167"/>
      <c r="K272" s="167"/>
      <c r="L272" s="168"/>
    </row>
    <row r="273" spans="1:12" ht="15">
      <c r="A273" s="30"/>
      <c r="D273" s="32" t="s">
        <v>525</v>
      </c>
      <c r="E273" s="31" t="s">
        <v>526</v>
      </c>
      <c r="G273" s="33">
        <v>123.1198</v>
      </c>
      <c r="L273" s="34"/>
    </row>
    <row r="274" spans="1:75" ht="13.5" customHeight="1">
      <c r="A274" s="2" t="s">
        <v>527</v>
      </c>
      <c r="B274" s="3" t="s">
        <v>53</v>
      </c>
      <c r="C274" s="3" t="s">
        <v>528</v>
      </c>
      <c r="D274" s="148" t="s">
        <v>529</v>
      </c>
      <c r="E274" s="143"/>
      <c r="F274" s="3" t="s">
        <v>95</v>
      </c>
      <c r="G274" s="27">
        <v>6.15599</v>
      </c>
      <c r="H274" s="27">
        <v>0</v>
      </c>
      <c r="I274" s="27">
        <f>G274*AO274</f>
        <v>0</v>
      </c>
      <c r="J274" s="27">
        <f>G274*AP274</f>
        <v>0</v>
      </c>
      <c r="K274" s="27">
        <f>G274*H274</f>
        <v>0</v>
      </c>
      <c r="L274" s="28" t="s">
        <v>137</v>
      </c>
      <c r="Z274" s="27">
        <f>IF(AQ274="5",BJ274,0)</f>
        <v>0</v>
      </c>
      <c r="AB274" s="27">
        <f>IF(AQ274="1",BH274,0)</f>
        <v>0</v>
      </c>
      <c r="AC274" s="27">
        <f>IF(AQ274="1",BI274,0)</f>
        <v>0</v>
      </c>
      <c r="AD274" s="27">
        <f>IF(AQ274="7",BH274,0)</f>
        <v>0</v>
      </c>
      <c r="AE274" s="27">
        <f>IF(AQ274="7",BI274,0)</f>
        <v>0</v>
      </c>
      <c r="AF274" s="27">
        <f>IF(AQ274="2",BH274,0)</f>
        <v>0</v>
      </c>
      <c r="AG274" s="27">
        <f>IF(AQ274="2",BI274,0)</f>
        <v>0</v>
      </c>
      <c r="AH274" s="27">
        <f>IF(AQ274="0",BJ274,0)</f>
        <v>0</v>
      </c>
      <c r="AI274" s="9" t="s">
        <v>53</v>
      </c>
      <c r="AJ274" s="27">
        <f>IF(AN274=0,K274,0)</f>
        <v>0</v>
      </c>
      <c r="AK274" s="27">
        <f>IF(AN274=12,K274,0)</f>
        <v>0</v>
      </c>
      <c r="AL274" s="27">
        <f>IF(AN274=21,K274,0)</f>
        <v>0</v>
      </c>
      <c r="AN274" s="27">
        <v>21</v>
      </c>
      <c r="AO274" s="27">
        <f>H274*0</f>
        <v>0</v>
      </c>
      <c r="AP274" s="27">
        <f>H274*(1-0)</f>
        <v>0</v>
      </c>
      <c r="AQ274" s="29" t="s">
        <v>78</v>
      </c>
      <c r="AV274" s="27">
        <f>AW274+AX274</f>
        <v>0</v>
      </c>
      <c r="AW274" s="27">
        <f>G274*AO274</f>
        <v>0</v>
      </c>
      <c r="AX274" s="27">
        <f>G274*AP274</f>
        <v>0</v>
      </c>
      <c r="AY274" s="29" t="s">
        <v>499</v>
      </c>
      <c r="AZ274" s="29" t="s">
        <v>62</v>
      </c>
      <c r="BA274" s="9" t="s">
        <v>63</v>
      </c>
      <c r="BC274" s="27">
        <f>AW274+AX274</f>
        <v>0</v>
      </c>
      <c r="BD274" s="27">
        <f>H274/(100-BE274)*100</f>
        <v>0</v>
      </c>
      <c r="BE274" s="27">
        <v>0</v>
      </c>
      <c r="BF274" s="27">
        <f>274</f>
        <v>274</v>
      </c>
      <c r="BH274" s="27">
        <f>G274*AO274</f>
        <v>0</v>
      </c>
      <c r="BI274" s="27">
        <f>G274*AP274</f>
        <v>0</v>
      </c>
      <c r="BJ274" s="27">
        <f>G274*H274</f>
        <v>0</v>
      </c>
      <c r="BK274" s="27"/>
      <c r="BL274" s="27"/>
      <c r="BW274" s="27">
        <v>21</v>
      </c>
    </row>
    <row r="275" spans="1:12" ht="15">
      <c r="A275" s="30"/>
      <c r="D275" s="32" t="s">
        <v>509</v>
      </c>
      <c r="E275" s="31" t="s">
        <v>52</v>
      </c>
      <c r="G275" s="33">
        <v>6.15599</v>
      </c>
      <c r="L275" s="34"/>
    </row>
    <row r="276" spans="1:12" ht="15">
      <c r="A276" s="23" t="s">
        <v>52</v>
      </c>
      <c r="B276" s="24" t="s">
        <v>530</v>
      </c>
      <c r="C276" s="24" t="s">
        <v>52</v>
      </c>
      <c r="D276" s="164" t="s">
        <v>531</v>
      </c>
      <c r="E276" s="165"/>
      <c r="F276" s="25" t="s">
        <v>4</v>
      </c>
      <c r="G276" s="25" t="s">
        <v>4</v>
      </c>
      <c r="H276" s="25" t="s">
        <v>4</v>
      </c>
      <c r="I276" s="1">
        <f>I277+I282+I287+I293+I300+I303+I305+I307+I309+I311+I313</f>
        <v>0</v>
      </c>
      <c r="J276" s="1">
        <f>J277+J282+J287+J293+J300+J303+J305+J307+J309+J311+J313</f>
        <v>0</v>
      </c>
      <c r="K276" s="1">
        <f>K277+K282+K287+K293+K300+K303+K305+K307+K309+K311+K313</f>
        <v>0</v>
      </c>
      <c r="L276" s="26" t="s">
        <v>52</v>
      </c>
    </row>
    <row r="277" spans="1:47" ht="15">
      <c r="A277" s="23" t="s">
        <v>52</v>
      </c>
      <c r="B277" s="24" t="s">
        <v>530</v>
      </c>
      <c r="C277" s="24" t="s">
        <v>532</v>
      </c>
      <c r="D277" s="164" t="s">
        <v>533</v>
      </c>
      <c r="E277" s="165"/>
      <c r="F277" s="25" t="s">
        <v>4</v>
      </c>
      <c r="G277" s="25" t="s">
        <v>4</v>
      </c>
      <c r="H277" s="25" t="s">
        <v>4</v>
      </c>
      <c r="I277" s="1">
        <f>SUM(I278:I281)</f>
        <v>0</v>
      </c>
      <c r="J277" s="1">
        <f>SUM(J278:J281)</f>
        <v>0</v>
      </c>
      <c r="K277" s="1">
        <f>SUM(K278:K281)</f>
        <v>0</v>
      </c>
      <c r="L277" s="26" t="s">
        <v>52</v>
      </c>
      <c r="AI277" s="9" t="s">
        <v>530</v>
      </c>
      <c r="AS277" s="1">
        <f>SUM(AJ278:AJ281)</f>
        <v>0</v>
      </c>
      <c r="AT277" s="1">
        <f>SUM(AK278:AK281)</f>
        <v>0</v>
      </c>
      <c r="AU277" s="1">
        <f>SUM(AL278:AL281)</f>
        <v>0</v>
      </c>
    </row>
    <row r="278" spans="1:75" ht="13.5" customHeight="1">
      <c r="A278" s="2" t="s">
        <v>534</v>
      </c>
      <c r="B278" s="3" t="s">
        <v>530</v>
      </c>
      <c r="C278" s="3" t="s">
        <v>535</v>
      </c>
      <c r="D278" s="148" t="s">
        <v>536</v>
      </c>
      <c r="E278" s="143"/>
      <c r="F278" s="3" t="s">
        <v>126</v>
      </c>
      <c r="G278" s="27">
        <v>8</v>
      </c>
      <c r="H278" s="27">
        <v>0</v>
      </c>
      <c r="I278" s="27">
        <f>G278*AO278</f>
        <v>0</v>
      </c>
      <c r="J278" s="27">
        <f>G278*AP278</f>
        <v>0</v>
      </c>
      <c r="K278" s="27">
        <f>G278*H278</f>
        <v>0</v>
      </c>
      <c r="L278" s="28" t="s">
        <v>52</v>
      </c>
      <c r="Z278" s="27">
        <f>IF(AQ278="5",BJ278,0)</f>
        <v>0</v>
      </c>
      <c r="AB278" s="27">
        <f>IF(AQ278="1",BH278,0)</f>
        <v>0</v>
      </c>
      <c r="AC278" s="27">
        <f>IF(AQ278="1",BI278,0)</f>
        <v>0</v>
      </c>
      <c r="AD278" s="27">
        <f>IF(AQ278="7",BH278,0)</f>
        <v>0</v>
      </c>
      <c r="AE278" s="27">
        <f>IF(AQ278="7",BI278,0)</f>
        <v>0</v>
      </c>
      <c r="AF278" s="27">
        <f>IF(AQ278="2",BH278,0)</f>
        <v>0</v>
      </c>
      <c r="AG278" s="27">
        <f>IF(AQ278="2",BI278,0)</f>
        <v>0</v>
      </c>
      <c r="AH278" s="27">
        <f>IF(AQ278="0",BJ278,0)</f>
        <v>0</v>
      </c>
      <c r="AI278" s="9" t="s">
        <v>530</v>
      </c>
      <c r="AJ278" s="27">
        <f>IF(AN278=0,K278,0)</f>
        <v>0</v>
      </c>
      <c r="AK278" s="27">
        <f>IF(AN278=12,K278,0)</f>
        <v>0</v>
      </c>
      <c r="AL278" s="27">
        <f>IF(AN278=21,K278,0)</f>
        <v>0</v>
      </c>
      <c r="AN278" s="27">
        <v>21</v>
      </c>
      <c r="AO278" s="27">
        <f>H278*0</f>
        <v>0</v>
      </c>
      <c r="AP278" s="27">
        <f>H278*(1-0)</f>
        <v>0</v>
      </c>
      <c r="AQ278" s="29" t="s">
        <v>84</v>
      </c>
      <c r="AV278" s="27">
        <f>AW278+AX278</f>
        <v>0</v>
      </c>
      <c r="AW278" s="27">
        <f>G278*AO278</f>
        <v>0</v>
      </c>
      <c r="AX278" s="27">
        <f>G278*AP278</f>
        <v>0</v>
      </c>
      <c r="AY278" s="29" t="s">
        <v>537</v>
      </c>
      <c r="AZ278" s="29" t="s">
        <v>538</v>
      </c>
      <c r="BA278" s="9" t="s">
        <v>539</v>
      </c>
      <c r="BC278" s="27">
        <f>AW278+AX278</f>
        <v>0</v>
      </c>
      <c r="BD278" s="27">
        <f>H278/(100-BE278)*100</f>
        <v>0</v>
      </c>
      <c r="BE278" s="27">
        <v>0</v>
      </c>
      <c r="BF278" s="27">
        <f>278</f>
        <v>278</v>
      </c>
      <c r="BH278" s="27">
        <f>G278*AO278</f>
        <v>0</v>
      </c>
      <c r="BI278" s="27">
        <f>G278*AP278</f>
        <v>0</v>
      </c>
      <c r="BJ278" s="27">
        <f>G278*H278</f>
        <v>0</v>
      </c>
      <c r="BK278" s="27"/>
      <c r="BL278" s="27">
        <v>713</v>
      </c>
      <c r="BW278" s="27">
        <v>21</v>
      </c>
    </row>
    <row r="279" spans="1:75" ht="13.5" customHeight="1">
      <c r="A279" s="2" t="s">
        <v>540</v>
      </c>
      <c r="B279" s="3" t="s">
        <v>530</v>
      </c>
      <c r="C279" s="3" t="s">
        <v>541</v>
      </c>
      <c r="D279" s="148" t="s">
        <v>542</v>
      </c>
      <c r="E279" s="143"/>
      <c r="F279" s="3" t="s">
        <v>126</v>
      </c>
      <c r="G279" s="27">
        <v>8</v>
      </c>
      <c r="H279" s="27">
        <v>0</v>
      </c>
      <c r="I279" s="27">
        <f>G279*AO279</f>
        <v>0</v>
      </c>
      <c r="J279" s="27">
        <f>G279*AP279</f>
        <v>0</v>
      </c>
      <c r="K279" s="27">
        <f>G279*H279</f>
        <v>0</v>
      </c>
      <c r="L279" s="28" t="s">
        <v>52</v>
      </c>
      <c r="Z279" s="27">
        <f>IF(AQ279="5",BJ279,0)</f>
        <v>0</v>
      </c>
      <c r="AB279" s="27">
        <f>IF(AQ279="1",BH279,0)</f>
        <v>0</v>
      </c>
      <c r="AC279" s="27">
        <f>IF(AQ279="1",BI279,0)</f>
        <v>0</v>
      </c>
      <c r="AD279" s="27">
        <f>IF(AQ279="7",BH279,0)</f>
        <v>0</v>
      </c>
      <c r="AE279" s="27">
        <f>IF(AQ279="7",BI279,0)</f>
        <v>0</v>
      </c>
      <c r="AF279" s="27">
        <f>IF(AQ279="2",BH279,0)</f>
        <v>0</v>
      </c>
      <c r="AG279" s="27">
        <f>IF(AQ279="2",BI279,0)</f>
        <v>0</v>
      </c>
      <c r="AH279" s="27">
        <f>IF(AQ279="0",BJ279,0)</f>
        <v>0</v>
      </c>
      <c r="AI279" s="9" t="s">
        <v>530</v>
      </c>
      <c r="AJ279" s="27">
        <f>IF(AN279=0,K279,0)</f>
        <v>0</v>
      </c>
      <c r="AK279" s="27">
        <f>IF(AN279=12,K279,0)</f>
        <v>0</v>
      </c>
      <c r="AL279" s="27">
        <f>IF(AN279=21,K279,0)</f>
        <v>0</v>
      </c>
      <c r="AN279" s="27">
        <v>21</v>
      </c>
      <c r="AO279" s="27">
        <f>H279*0</f>
        <v>0</v>
      </c>
      <c r="AP279" s="27">
        <f>H279*(1-0)</f>
        <v>0</v>
      </c>
      <c r="AQ279" s="29" t="s">
        <v>84</v>
      </c>
      <c r="AV279" s="27">
        <f>AW279+AX279</f>
        <v>0</v>
      </c>
      <c r="AW279" s="27">
        <f>G279*AO279</f>
        <v>0</v>
      </c>
      <c r="AX279" s="27">
        <f>G279*AP279</f>
        <v>0</v>
      </c>
      <c r="AY279" s="29" t="s">
        <v>537</v>
      </c>
      <c r="AZ279" s="29" t="s">
        <v>538</v>
      </c>
      <c r="BA279" s="9" t="s">
        <v>539</v>
      </c>
      <c r="BC279" s="27">
        <f>AW279+AX279</f>
        <v>0</v>
      </c>
      <c r="BD279" s="27">
        <f>H279/(100-BE279)*100</f>
        <v>0</v>
      </c>
      <c r="BE279" s="27">
        <v>0</v>
      </c>
      <c r="BF279" s="27">
        <f>279</f>
        <v>279</v>
      </c>
      <c r="BH279" s="27">
        <f>G279*AO279</f>
        <v>0</v>
      </c>
      <c r="BI279" s="27">
        <f>G279*AP279</f>
        <v>0</v>
      </c>
      <c r="BJ279" s="27">
        <f>G279*H279</f>
        <v>0</v>
      </c>
      <c r="BK279" s="27"/>
      <c r="BL279" s="27">
        <v>713</v>
      </c>
      <c r="BW279" s="27">
        <v>21</v>
      </c>
    </row>
    <row r="280" spans="1:75" ht="13.5" customHeight="1">
      <c r="A280" s="2" t="s">
        <v>543</v>
      </c>
      <c r="B280" s="3" t="s">
        <v>530</v>
      </c>
      <c r="C280" s="3" t="s">
        <v>544</v>
      </c>
      <c r="D280" s="148" t="s">
        <v>545</v>
      </c>
      <c r="E280" s="143"/>
      <c r="F280" s="3" t="s">
        <v>546</v>
      </c>
      <c r="G280" s="27">
        <v>1</v>
      </c>
      <c r="H280" s="27">
        <v>0</v>
      </c>
      <c r="I280" s="27">
        <f>G280*AO280</f>
        <v>0</v>
      </c>
      <c r="J280" s="27">
        <f>G280*AP280</f>
        <v>0</v>
      </c>
      <c r="K280" s="27">
        <f>G280*H280</f>
        <v>0</v>
      </c>
      <c r="L280" s="28" t="s">
        <v>52</v>
      </c>
      <c r="Z280" s="27">
        <f>IF(AQ280="5",BJ280,0)</f>
        <v>0</v>
      </c>
      <c r="AB280" s="27">
        <f>IF(AQ280="1",BH280,0)</f>
        <v>0</v>
      </c>
      <c r="AC280" s="27">
        <f>IF(AQ280="1",BI280,0)</f>
        <v>0</v>
      </c>
      <c r="AD280" s="27">
        <f>IF(AQ280="7",BH280,0)</f>
        <v>0</v>
      </c>
      <c r="AE280" s="27">
        <f>IF(AQ280="7",BI280,0)</f>
        <v>0</v>
      </c>
      <c r="AF280" s="27">
        <f>IF(AQ280="2",BH280,0)</f>
        <v>0</v>
      </c>
      <c r="AG280" s="27">
        <f>IF(AQ280="2",BI280,0)</f>
        <v>0</v>
      </c>
      <c r="AH280" s="27">
        <f>IF(AQ280="0",BJ280,0)</f>
        <v>0</v>
      </c>
      <c r="AI280" s="9" t="s">
        <v>530</v>
      </c>
      <c r="AJ280" s="27">
        <f>IF(AN280=0,K280,0)</f>
        <v>0</v>
      </c>
      <c r="AK280" s="27">
        <f>IF(AN280=12,K280,0)</f>
        <v>0</v>
      </c>
      <c r="AL280" s="27">
        <f>IF(AN280=21,K280,0)</f>
        <v>0</v>
      </c>
      <c r="AN280" s="27">
        <v>21</v>
      </c>
      <c r="AO280" s="27">
        <f>H280*0</f>
        <v>0</v>
      </c>
      <c r="AP280" s="27">
        <f>H280*(1-0)</f>
        <v>0</v>
      </c>
      <c r="AQ280" s="29" t="s">
        <v>84</v>
      </c>
      <c r="AV280" s="27">
        <f>AW280+AX280</f>
        <v>0</v>
      </c>
      <c r="AW280" s="27">
        <f>G280*AO280</f>
        <v>0</v>
      </c>
      <c r="AX280" s="27">
        <f>G280*AP280</f>
        <v>0</v>
      </c>
      <c r="AY280" s="29" t="s">
        <v>537</v>
      </c>
      <c r="AZ280" s="29" t="s">
        <v>538</v>
      </c>
      <c r="BA280" s="9" t="s">
        <v>539</v>
      </c>
      <c r="BC280" s="27">
        <f>AW280+AX280</f>
        <v>0</v>
      </c>
      <c r="BD280" s="27">
        <f>H280/(100-BE280)*100</f>
        <v>0</v>
      </c>
      <c r="BE280" s="27">
        <v>0</v>
      </c>
      <c r="BF280" s="27">
        <f>280</f>
        <v>280</v>
      </c>
      <c r="BH280" s="27">
        <f>G280*AO280</f>
        <v>0</v>
      </c>
      <c r="BI280" s="27">
        <f>G280*AP280</f>
        <v>0</v>
      </c>
      <c r="BJ280" s="27">
        <f>G280*H280</f>
        <v>0</v>
      </c>
      <c r="BK280" s="27"/>
      <c r="BL280" s="27">
        <v>713</v>
      </c>
      <c r="BW280" s="27">
        <v>21</v>
      </c>
    </row>
    <row r="281" spans="1:75" ht="13.5" customHeight="1">
      <c r="A281" s="2" t="s">
        <v>547</v>
      </c>
      <c r="B281" s="3" t="s">
        <v>530</v>
      </c>
      <c r="C281" s="3" t="s">
        <v>548</v>
      </c>
      <c r="D281" s="148" t="s">
        <v>549</v>
      </c>
      <c r="E281" s="143"/>
      <c r="F281" s="3" t="s">
        <v>546</v>
      </c>
      <c r="G281" s="27">
        <v>1</v>
      </c>
      <c r="H281" s="27">
        <v>0</v>
      </c>
      <c r="I281" s="27">
        <f>G281*AO281</f>
        <v>0</v>
      </c>
      <c r="J281" s="27">
        <f>G281*AP281</f>
        <v>0</v>
      </c>
      <c r="K281" s="27">
        <f>G281*H281</f>
        <v>0</v>
      </c>
      <c r="L281" s="28" t="s">
        <v>52</v>
      </c>
      <c r="Z281" s="27">
        <f>IF(AQ281="5",BJ281,0)</f>
        <v>0</v>
      </c>
      <c r="AB281" s="27">
        <f>IF(AQ281="1",BH281,0)</f>
        <v>0</v>
      </c>
      <c r="AC281" s="27">
        <f>IF(AQ281="1",BI281,0)</f>
        <v>0</v>
      </c>
      <c r="AD281" s="27">
        <f>IF(AQ281="7",BH281,0)</f>
        <v>0</v>
      </c>
      <c r="AE281" s="27">
        <f>IF(AQ281="7",BI281,0)</f>
        <v>0</v>
      </c>
      <c r="AF281" s="27">
        <f>IF(AQ281="2",BH281,0)</f>
        <v>0</v>
      </c>
      <c r="AG281" s="27">
        <f>IF(AQ281="2",BI281,0)</f>
        <v>0</v>
      </c>
      <c r="AH281" s="27">
        <f>IF(AQ281="0",BJ281,0)</f>
        <v>0</v>
      </c>
      <c r="AI281" s="9" t="s">
        <v>530</v>
      </c>
      <c r="AJ281" s="27">
        <f>IF(AN281=0,K281,0)</f>
        <v>0</v>
      </c>
      <c r="AK281" s="27">
        <f>IF(AN281=12,K281,0)</f>
        <v>0</v>
      </c>
      <c r="AL281" s="27">
        <f>IF(AN281=21,K281,0)</f>
        <v>0</v>
      </c>
      <c r="AN281" s="27">
        <v>21</v>
      </c>
      <c r="AO281" s="27">
        <f>H281*0</f>
        <v>0</v>
      </c>
      <c r="AP281" s="27">
        <f>H281*(1-0)</f>
        <v>0</v>
      </c>
      <c r="AQ281" s="29" t="s">
        <v>84</v>
      </c>
      <c r="AV281" s="27">
        <f>AW281+AX281</f>
        <v>0</v>
      </c>
      <c r="AW281" s="27">
        <f>G281*AO281</f>
        <v>0</v>
      </c>
      <c r="AX281" s="27">
        <f>G281*AP281</f>
        <v>0</v>
      </c>
      <c r="AY281" s="29" t="s">
        <v>537</v>
      </c>
      <c r="AZ281" s="29" t="s">
        <v>538</v>
      </c>
      <c r="BA281" s="9" t="s">
        <v>539</v>
      </c>
      <c r="BC281" s="27">
        <f>AW281+AX281</f>
        <v>0</v>
      </c>
      <c r="BD281" s="27">
        <f>H281/(100-BE281)*100</f>
        <v>0</v>
      </c>
      <c r="BE281" s="27">
        <v>0</v>
      </c>
      <c r="BF281" s="27">
        <f>281</f>
        <v>281</v>
      </c>
      <c r="BH281" s="27">
        <f>G281*AO281</f>
        <v>0</v>
      </c>
      <c r="BI281" s="27">
        <f>G281*AP281</f>
        <v>0</v>
      </c>
      <c r="BJ281" s="27">
        <f>G281*H281</f>
        <v>0</v>
      </c>
      <c r="BK281" s="27"/>
      <c r="BL281" s="27">
        <v>713</v>
      </c>
      <c r="BW281" s="27">
        <v>21</v>
      </c>
    </row>
    <row r="282" spans="1:47" ht="15">
      <c r="A282" s="23" t="s">
        <v>52</v>
      </c>
      <c r="B282" s="24" t="s">
        <v>530</v>
      </c>
      <c r="C282" s="24" t="s">
        <v>550</v>
      </c>
      <c r="D282" s="164" t="s">
        <v>551</v>
      </c>
      <c r="E282" s="165"/>
      <c r="F282" s="25" t="s">
        <v>4</v>
      </c>
      <c r="G282" s="25" t="s">
        <v>4</v>
      </c>
      <c r="H282" s="25" t="s">
        <v>4</v>
      </c>
      <c r="I282" s="1">
        <f>SUM(I283:I286)</f>
        <v>0</v>
      </c>
      <c r="J282" s="1">
        <f>SUM(J283:J286)</f>
        <v>0</v>
      </c>
      <c r="K282" s="1">
        <f>SUM(K283:K286)</f>
        <v>0</v>
      </c>
      <c r="L282" s="26" t="s">
        <v>52</v>
      </c>
      <c r="AI282" s="9" t="s">
        <v>530</v>
      </c>
      <c r="AS282" s="1">
        <f>SUM(AJ283:AJ286)</f>
        <v>0</v>
      </c>
      <c r="AT282" s="1">
        <f>SUM(AK283:AK286)</f>
        <v>0</v>
      </c>
      <c r="AU282" s="1">
        <f>SUM(AL283:AL286)</f>
        <v>0</v>
      </c>
    </row>
    <row r="283" spans="1:75" ht="13.5" customHeight="1">
      <c r="A283" s="2" t="s">
        <v>552</v>
      </c>
      <c r="B283" s="3" t="s">
        <v>530</v>
      </c>
      <c r="C283" s="3" t="s">
        <v>553</v>
      </c>
      <c r="D283" s="148" t="s">
        <v>554</v>
      </c>
      <c r="E283" s="143"/>
      <c r="F283" s="3" t="s">
        <v>126</v>
      </c>
      <c r="G283" s="27">
        <v>8</v>
      </c>
      <c r="H283" s="27">
        <v>0</v>
      </c>
      <c r="I283" s="27">
        <f>G283*AO283</f>
        <v>0</v>
      </c>
      <c r="J283" s="27">
        <f>G283*AP283</f>
        <v>0</v>
      </c>
      <c r="K283" s="27">
        <f>G283*H283</f>
        <v>0</v>
      </c>
      <c r="L283" s="28" t="s">
        <v>52</v>
      </c>
      <c r="Z283" s="27">
        <f>IF(AQ283="5",BJ283,0)</f>
        <v>0</v>
      </c>
      <c r="AB283" s="27">
        <f>IF(AQ283="1",BH283,0)</f>
        <v>0</v>
      </c>
      <c r="AC283" s="27">
        <f>IF(AQ283="1",BI283,0)</f>
        <v>0</v>
      </c>
      <c r="AD283" s="27">
        <f>IF(AQ283="7",BH283,0)</f>
        <v>0</v>
      </c>
      <c r="AE283" s="27">
        <f>IF(AQ283="7",BI283,0)</f>
        <v>0</v>
      </c>
      <c r="AF283" s="27">
        <f>IF(AQ283="2",BH283,0)</f>
        <v>0</v>
      </c>
      <c r="AG283" s="27">
        <f>IF(AQ283="2",BI283,0)</f>
        <v>0</v>
      </c>
      <c r="AH283" s="27">
        <f>IF(AQ283="0",BJ283,0)</f>
        <v>0</v>
      </c>
      <c r="AI283" s="9" t="s">
        <v>530</v>
      </c>
      <c r="AJ283" s="27">
        <f>IF(AN283=0,K283,0)</f>
        <v>0</v>
      </c>
      <c r="AK283" s="27">
        <f>IF(AN283=12,K283,0)</f>
        <v>0</v>
      </c>
      <c r="AL283" s="27">
        <f>IF(AN283=21,K283,0)</f>
        <v>0</v>
      </c>
      <c r="AN283" s="27">
        <v>21</v>
      </c>
      <c r="AO283" s="27">
        <f>H283*0</f>
        <v>0</v>
      </c>
      <c r="AP283" s="27">
        <f>H283*(1-0)</f>
        <v>0</v>
      </c>
      <c r="AQ283" s="29" t="s">
        <v>84</v>
      </c>
      <c r="AV283" s="27">
        <f>AW283+AX283</f>
        <v>0</v>
      </c>
      <c r="AW283" s="27">
        <f>G283*AO283</f>
        <v>0</v>
      </c>
      <c r="AX283" s="27">
        <f>G283*AP283</f>
        <v>0</v>
      </c>
      <c r="AY283" s="29" t="s">
        <v>555</v>
      </c>
      <c r="AZ283" s="29" t="s">
        <v>556</v>
      </c>
      <c r="BA283" s="9" t="s">
        <v>539</v>
      </c>
      <c r="BC283" s="27">
        <f>AW283+AX283</f>
        <v>0</v>
      </c>
      <c r="BD283" s="27">
        <f>H283/(100-BE283)*100</f>
        <v>0</v>
      </c>
      <c r="BE283" s="27">
        <v>0</v>
      </c>
      <c r="BF283" s="27">
        <f>283</f>
        <v>283</v>
      </c>
      <c r="BH283" s="27">
        <f>G283*AO283</f>
        <v>0</v>
      </c>
      <c r="BI283" s="27">
        <f>G283*AP283</f>
        <v>0</v>
      </c>
      <c r="BJ283" s="27">
        <f>G283*H283</f>
        <v>0</v>
      </c>
      <c r="BK283" s="27"/>
      <c r="BL283" s="27">
        <v>733</v>
      </c>
      <c r="BW283" s="27">
        <v>21</v>
      </c>
    </row>
    <row r="284" spans="1:75" ht="13.5" customHeight="1">
      <c r="A284" s="2" t="s">
        <v>557</v>
      </c>
      <c r="B284" s="3" t="s">
        <v>530</v>
      </c>
      <c r="C284" s="3" t="s">
        <v>558</v>
      </c>
      <c r="D284" s="148" t="s">
        <v>559</v>
      </c>
      <c r="E284" s="143"/>
      <c r="F284" s="3" t="s">
        <v>126</v>
      </c>
      <c r="G284" s="27">
        <v>8</v>
      </c>
      <c r="H284" s="27">
        <v>0</v>
      </c>
      <c r="I284" s="27">
        <f>G284*AO284</f>
        <v>0</v>
      </c>
      <c r="J284" s="27">
        <f>G284*AP284</f>
        <v>0</v>
      </c>
      <c r="K284" s="27">
        <f>G284*H284</f>
        <v>0</v>
      </c>
      <c r="L284" s="28" t="s">
        <v>52</v>
      </c>
      <c r="Z284" s="27">
        <f>IF(AQ284="5",BJ284,0)</f>
        <v>0</v>
      </c>
      <c r="AB284" s="27">
        <f>IF(AQ284="1",BH284,0)</f>
        <v>0</v>
      </c>
      <c r="AC284" s="27">
        <f>IF(AQ284="1",BI284,0)</f>
        <v>0</v>
      </c>
      <c r="AD284" s="27">
        <f>IF(AQ284="7",BH284,0)</f>
        <v>0</v>
      </c>
      <c r="AE284" s="27">
        <f>IF(AQ284="7",BI284,0)</f>
        <v>0</v>
      </c>
      <c r="AF284" s="27">
        <f>IF(AQ284="2",BH284,0)</f>
        <v>0</v>
      </c>
      <c r="AG284" s="27">
        <f>IF(AQ284="2",BI284,0)</f>
        <v>0</v>
      </c>
      <c r="AH284" s="27">
        <f>IF(AQ284="0",BJ284,0)</f>
        <v>0</v>
      </c>
      <c r="AI284" s="9" t="s">
        <v>530</v>
      </c>
      <c r="AJ284" s="27">
        <f>IF(AN284=0,K284,0)</f>
        <v>0</v>
      </c>
      <c r="AK284" s="27">
        <f>IF(AN284=12,K284,0)</f>
        <v>0</v>
      </c>
      <c r="AL284" s="27">
        <f>IF(AN284=21,K284,0)</f>
        <v>0</v>
      </c>
      <c r="AN284" s="27">
        <v>21</v>
      </c>
      <c r="AO284" s="27">
        <f>H284*0</f>
        <v>0</v>
      </c>
      <c r="AP284" s="27">
        <f>H284*(1-0)</f>
        <v>0</v>
      </c>
      <c r="AQ284" s="29" t="s">
        <v>84</v>
      </c>
      <c r="AV284" s="27">
        <f>AW284+AX284</f>
        <v>0</v>
      </c>
      <c r="AW284" s="27">
        <f>G284*AO284</f>
        <v>0</v>
      </c>
      <c r="AX284" s="27">
        <f>G284*AP284</f>
        <v>0</v>
      </c>
      <c r="AY284" s="29" t="s">
        <v>555</v>
      </c>
      <c r="AZ284" s="29" t="s">
        <v>556</v>
      </c>
      <c r="BA284" s="9" t="s">
        <v>539</v>
      </c>
      <c r="BC284" s="27">
        <f>AW284+AX284</f>
        <v>0</v>
      </c>
      <c r="BD284" s="27">
        <f>H284/(100-BE284)*100</f>
        <v>0</v>
      </c>
      <c r="BE284" s="27">
        <v>0</v>
      </c>
      <c r="BF284" s="27">
        <f>284</f>
        <v>284</v>
      </c>
      <c r="BH284" s="27">
        <f>G284*AO284</f>
        <v>0</v>
      </c>
      <c r="BI284" s="27">
        <f>G284*AP284</f>
        <v>0</v>
      </c>
      <c r="BJ284" s="27">
        <f>G284*H284</f>
        <v>0</v>
      </c>
      <c r="BK284" s="27"/>
      <c r="BL284" s="27">
        <v>733</v>
      </c>
      <c r="BW284" s="27">
        <v>21</v>
      </c>
    </row>
    <row r="285" spans="1:75" ht="13.5" customHeight="1">
      <c r="A285" s="2" t="s">
        <v>560</v>
      </c>
      <c r="B285" s="3" t="s">
        <v>530</v>
      </c>
      <c r="C285" s="3" t="s">
        <v>561</v>
      </c>
      <c r="D285" s="148" t="s">
        <v>562</v>
      </c>
      <c r="E285" s="143"/>
      <c r="F285" s="3" t="s">
        <v>126</v>
      </c>
      <c r="G285" s="27">
        <v>8</v>
      </c>
      <c r="H285" s="27">
        <v>0</v>
      </c>
      <c r="I285" s="27">
        <f>G285*AO285</f>
        <v>0</v>
      </c>
      <c r="J285" s="27">
        <f>G285*AP285</f>
        <v>0</v>
      </c>
      <c r="K285" s="27">
        <f>G285*H285</f>
        <v>0</v>
      </c>
      <c r="L285" s="28" t="s">
        <v>52</v>
      </c>
      <c r="Z285" s="27">
        <f>IF(AQ285="5",BJ285,0)</f>
        <v>0</v>
      </c>
      <c r="AB285" s="27">
        <f>IF(AQ285="1",BH285,0)</f>
        <v>0</v>
      </c>
      <c r="AC285" s="27">
        <f>IF(AQ285="1",BI285,0)</f>
        <v>0</v>
      </c>
      <c r="AD285" s="27">
        <f>IF(AQ285="7",BH285,0)</f>
        <v>0</v>
      </c>
      <c r="AE285" s="27">
        <f>IF(AQ285="7",BI285,0)</f>
        <v>0</v>
      </c>
      <c r="AF285" s="27">
        <f>IF(AQ285="2",BH285,0)</f>
        <v>0</v>
      </c>
      <c r="AG285" s="27">
        <f>IF(AQ285="2",BI285,0)</f>
        <v>0</v>
      </c>
      <c r="AH285" s="27">
        <f>IF(AQ285="0",BJ285,0)</f>
        <v>0</v>
      </c>
      <c r="AI285" s="9" t="s">
        <v>530</v>
      </c>
      <c r="AJ285" s="27">
        <f>IF(AN285=0,K285,0)</f>
        <v>0</v>
      </c>
      <c r="AK285" s="27">
        <f>IF(AN285=12,K285,0)</f>
        <v>0</v>
      </c>
      <c r="AL285" s="27">
        <f>IF(AN285=21,K285,0)</f>
        <v>0</v>
      </c>
      <c r="AN285" s="27">
        <v>21</v>
      </c>
      <c r="AO285" s="27">
        <f>H285*0</f>
        <v>0</v>
      </c>
      <c r="AP285" s="27">
        <f>H285*(1-0)</f>
        <v>0</v>
      </c>
      <c r="AQ285" s="29" t="s">
        <v>84</v>
      </c>
      <c r="AV285" s="27">
        <f>AW285+AX285</f>
        <v>0</v>
      </c>
      <c r="AW285" s="27">
        <f>G285*AO285</f>
        <v>0</v>
      </c>
      <c r="AX285" s="27">
        <f>G285*AP285</f>
        <v>0</v>
      </c>
      <c r="AY285" s="29" t="s">
        <v>555</v>
      </c>
      <c r="AZ285" s="29" t="s">
        <v>556</v>
      </c>
      <c r="BA285" s="9" t="s">
        <v>539</v>
      </c>
      <c r="BC285" s="27">
        <f>AW285+AX285</f>
        <v>0</v>
      </c>
      <c r="BD285" s="27">
        <f>H285/(100-BE285)*100</f>
        <v>0</v>
      </c>
      <c r="BE285" s="27">
        <v>0</v>
      </c>
      <c r="BF285" s="27">
        <f>285</f>
        <v>285</v>
      </c>
      <c r="BH285" s="27">
        <f>G285*AO285</f>
        <v>0</v>
      </c>
      <c r="BI285" s="27">
        <f>G285*AP285</f>
        <v>0</v>
      </c>
      <c r="BJ285" s="27">
        <f>G285*H285</f>
        <v>0</v>
      </c>
      <c r="BK285" s="27"/>
      <c r="BL285" s="27">
        <v>733</v>
      </c>
      <c r="BW285" s="27">
        <v>21</v>
      </c>
    </row>
    <row r="286" spans="1:75" ht="13.5" customHeight="1">
      <c r="A286" s="2" t="s">
        <v>563</v>
      </c>
      <c r="B286" s="3" t="s">
        <v>530</v>
      </c>
      <c r="C286" s="3" t="s">
        <v>564</v>
      </c>
      <c r="D286" s="148" t="s">
        <v>565</v>
      </c>
      <c r="E286" s="143"/>
      <c r="F286" s="3" t="s">
        <v>126</v>
      </c>
      <c r="G286" s="27">
        <v>8</v>
      </c>
      <c r="H286" s="27">
        <v>0</v>
      </c>
      <c r="I286" s="27">
        <f>G286*AO286</f>
        <v>0</v>
      </c>
      <c r="J286" s="27">
        <f>G286*AP286</f>
        <v>0</v>
      </c>
      <c r="K286" s="27">
        <f>G286*H286</f>
        <v>0</v>
      </c>
      <c r="L286" s="28" t="s">
        <v>52</v>
      </c>
      <c r="Z286" s="27">
        <f>IF(AQ286="5",BJ286,0)</f>
        <v>0</v>
      </c>
      <c r="AB286" s="27">
        <f>IF(AQ286="1",BH286,0)</f>
        <v>0</v>
      </c>
      <c r="AC286" s="27">
        <f>IF(AQ286="1",BI286,0)</f>
        <v>0</v>
      </c>
      <c r="AD286" s="27">
        <f>IF(AQ286="7",BH286,0)</f>
        <v>0</v>
      </c>
      <c r="AE286" s="27">
        <f>IF(AQ286="7",BI286,0)</f>
        <v>0</v>
      </c>
      <c r="AF286" s="27">
        <f>IF(AQ286="2",BH286,0)</f>
        <v>0</v>
      </c>
      <c r="AG286" s="27">
        <f>IF(AQ286="2",BI286,0)</f>
        <v>0</v>
      </c>
      <c r="AH286" s="27">
        <f>IF(AQ286="0",BJ286,0)</f>
        <v>0</v>
      </c>
      <c r="AI286" s="9" t="s">
        <v>530</v>
      </c>
      <c r="AJ286" s="27">
        <f>IF(AN286=0,K286,0)</f>
        <v>0</v>
      </c>
      <c r="AK286" s="27">
        <f>IF(AN286=12,K286,0)</f>
        <v>0</v>
      </c>
      <c r="AL286" s="27">
        <f>IF(AN286=21,K286,0)</f>
        <v>0</v>
      </c>
      <c r="AN286" s="27">
        <v>21</v>
      </c>
      <c r="AO286" s="27">
        <f>H286*0</f>
        <v>0</v>
      </c>
      <c r="AP286" s="27">
        <f>H286*(1-0)</f>
        <v>0</v>
      </c>
      <c r="AQ286" s="29" t="s">
        <v>84</v>
      </c>
      <c r="AV286" s="27">
        <f>AW286+AX286</f>
        <v>0</v>
      </c>
      <c r="AW286" s="27">
        <f>G286*AO286</f>
        <v>0</v>
      </c>
      <c r="AX286" s="27">
        <f>G286*AP286</f>
        <v>0</v>
      </c>
      <c r="AY286" s="29" t="s">
        <v>555</v>
      </c>
      <c r="AZ286" s="29" t="s">
        <v>556</v>
      </c>
      <c r="BA286" s="9" t="s">
        <v>539</v>
      </c>
      <c r="BC286" s="27">
        <f>AW286+AX286</f>
        <v>0</v>
      </c>
      <c r="BD286" s="27">
        <f>H286/(100-BE286)*100</f>
        <v>0</v>
      </c>
      <c r="BE286" s="27">
        <v>0</v>
      </c>
      <c r="BF286" s="27">
        <f>286</f>
        <v>286</v>
      </c>
      <c r="BH286" s="27">
        <f>G286*AO286</f>
        <v>0</v>
      </c>
      <c r="BI286" s="27">
        <f>G286*AP286</f>
        <v>0</v>
      </c>
      <c r="BJ286" s="27">
        <f>G286*H286</f>
        <v>0</v>
      </c>
      <c r="BK286" s="27"/>
      <c r="BL286" s="27">
        <v>733</v>
      </c>
      <c r="BW286" s="27">
        <v>21</v>
      </c>
    </row>
    <row r="287" spans="1:47" ht="15">
      <c r="A287" s="23" t="s">
        <v>52</v>
      </c>
      <c r="B287" s="24" t="s">
        <v>530</v>
      </c>
      <c r="C287" s="24" t="s">
        <v>566</v>
      </c>
      <c r="D287" s="164" t="s">
        <v>567</v>
      </c>
      <c r="E287" s="165"/>
      <c r="F287" s="25" t="s">
        <v>4</v>
      </c>
      <c r="G287" s="25" t="s">
        <v>4</v>
      </c>
      <c r="H287" s="25" t="s">
        <v>4</v>
      </c>
      <c r="I287" s="1">
        <f>SUM(I288:I292)</f>
        <v>0</v>
      </c>
      <c r="J287" s="1">
        <f>SUM(J288:J292)</f>
        <v>0</v>
      </c>
      <c r="K287" s="1">
        <f>SUM(K288:K292)</f>
        <v>0</v>
      </c>
      <c r="L287" s="26" t="s">
        <v>52</v>
      </c>
      <c r="AI287" s="9" t="s">
        <v>530</v>
      </c>
      <c r="AS287" s="1">
        <f>SUM(AJ288:AJ292)</f>
        <v>0</v>
      </c>
      <c r="AT287" s="1">
        <f>SUM(AK288:AK292)</f>
        <v>0</v>
      </c>
      <c r="AU287" s="1">
        <f>SUM(AL288:AL292)</f>
        <v>0</v>
      </c>
    </row>
    <row r="288" spans="1:75" ht="13.5" customHeight="1">
      <c r="A288" s="2" t="s">
        <v>568</v>
      </c>
      <c r="B288" s="3" t="s">
        <v>530</v>
      </c>
      <c r="C288" s="3" t="s">
        <v>569</v>
      </c>
      <c r="D288" s="148" t="s">
        <v>570</v>
      </c>
      <c r="E288" s="143"/>
      <c r="F288" s="3" t="s">
        <v>154</v>
      </c>
      <c r="G288" s="27">
        <v>3</v>
      </c>
      <c r="H288" s="27">
        <v>0</v>
      </c>
      <c r="I288" s="27">
        <f>G288*AO288</f>
        <v>0</v>
      </c>
      <c r="J288" s="27">
        <f>G288*AP288</f>
        <v>0</v>
      </c>
      <c r="K288" s="27">
        <f>G288*H288</f>
        <v>0</v>
      </c>
      <c r="L288" s="28" t="s">
        <v>52</v>
      </c>
      <c r="Z288" s="27">
        <f>IF(AQ288="5",BJ288,0)</f>
        <v>0</v>
      </c>
      <c r="AB288" s="27">
        <f>IF(AQ288="1",BH288,0)</f>
        <v>0</v>
      </c>
      <c r="AC288" s="27">
        <f>IF(AQ288="1",BI288,0)</f>
        <v>0</v>
      </c>
      <c r="AD288" s="27">
        <f>IF(AQ288="7",BH288,0)</f>
        <v>0</v>
      </c>
      <c r="AE288" s="27">
        <f>IF(AQ288="7",BI288,0)</f>
        <v>0</v>
      </c>
      <c r="AF288" s="27">
        <f>IF(AQ288="2",BH288,0)</f>
        <v>0</v>
      </c>
      <c r="AG288" s="27">
        <f>IF(AQ288="2",BI288,0)</f>
        <v>0</v>
      </c>
      <c r="AH288" s="27">
        <f>IF(AQ288="0",BJ288,0)</f>
        <v>0</v>
      </c>
      <c r="AI288" s="9" t="s">
        <v>530</v>
      </c>
      <c r="AJ288" s="27">
        <f>IF(AN288=0,K288,0)</f>
        <v>0</v>
      </c>
      <c r="AK288" s="27">
        <f>IF(AN288=12,K288,0)</f>
        <v>0</v>
      </c>
      <c r="AL288" s="27">
        <f>IF(AN288=21,K288,0)</f>
        <v>0</v>
      </c>
      <c r="AN288" s="27">
        <v>21</v>
      </c>
      <c r="AO288" s="27">
        <f>H288*0</f>
        <v>0</v>
      </c>
      <c r="AP288" s="27">
        <f>H288*(1-0)</f>
        <v>0</v>
      </c>
      <c r="AQ288" s="29" t="s">
        <v>84</v>
      </c>
      <c r="AV288" s="27">
        <f>AW288+AX288</f>
        <v>0</v>
      </c>
      <c r="AW288" s="27">
        <f>G288*AO288</f>
        <v>0</v>
      </c>
      <c r="AX288" s="27">
        <f>G288*AP288</f>
        <v>0</v>
      </c>
      <c r="AY288" s="29" t="s">
        <v>571</v>
      </c>
      <c r="AZ288" s="29" t="s">
        <v>556</v>
      </c>
      <c r="BA288" s="9" t="s">
        <v>539</v>
      </c>
      <c r="BC288" s="27">
        <f>AW288+AX288</f>
        <v>0</v>
      </c>
      <c r="BD288" s="27">
        <f>H288/(100-BE288)*100</f>
        <v>0</v>
      </c>
      <c r="BE288" s="27">
        <v>0</v>
      </c>
      <c r="BF288" s="27">
        <f>288</f>
        <v>288</v>
      </c>
      <c r="BH288" s="27">
        <f>G288*AO288</f>
        <v>0</v>
      </c>
      <c r="BI288" s="27">
        <f>G288*AP288</f>
        <v>0</v>
      </c>
      <c r="BJ288" s="27">
        <f>G288*H288</f>
        <v>0</v>
      </c>
      <c r="BK288" s="27"/>
      <c r="BL288" s="27">
        <v>734</v>
      </c>
      <c r="BW288" s="27">
        <v>21</v>
      </c>
    </row>
    <row r="289" spans="1:75" ht="13.5" customHeight="1">
      <c r="A289" s="2" t="s">
        <v>572</v>
      </c>
      <c r="B289" s="3" t="s">
        <v>530</v>
      </c>
      <c r="C289" s="3" t="s">
        <v>573</v>
      </c>
      <c r="D289" s="148" t="s">
        <v>574</v>
      </c>
      <c r="E289" s="143"/>
      <c r="F289" s="3" t="s">
        <v>154</v>
      </c>
      <c r="G289" s="27">
        <v>3</v>
      </c>
      <c r="H289" s="27">
        <v>0</v>
      </c>
      <c r="I289" s="27">
        <f>G289*AO289</f>
        <v>0</v>
      </c>
      <c r="J289" s="27">
        <f>G289*AP289</f>
        <v>0</v>
      </c>
      <c r="K289" s="27">
        <f>G289*H289</f>
        <v>0</v>
      </c>
      <c r="L289" s="28" t="s">
        <v>52</v>
      </c>
      <c r="Z289" s="27">
        <f>IF(AQ289="5",BJ289,0)</f>
        <v>0</v>
      </c>
      <c r="AB289" s="27">
        <f>IF(AQ289="1",BH289,0)</f>
        <v>0</v>
      </c>
      <c r="AC289" s="27">
        <f>IF(AQ289="1",BI289,0)</f>
        <v>0</v>
      </c>
      <c r="AD289" s="27">
        <f>IF(AQ289="7",BH289,0)</f>
        <v>0</v>
      </c>
      <c r="AE289" s="27">
        <f>IF(AQ289="7",BI289,0)</f>
        <v>0</v>
      </c>
      <c r="AF289" s="27">
        <f>IF(AQ289="2",BH289,0)</f>
        <v>0</v>
      </c>
      <c r="AG289" s="27">
        <f>IF(AQ289="2",BI289,0)</f>
        <v>0</v>
      </c>
      <c r="AH289" s="27">
        <f>IF(AQ289="0",BJ289,0)</f>
        <v>0</v>
      </c>
      <c r="AI289" s="9" t="s">
        <v>530</v>
      </c>
      <c r="AJ289" s="27">
        <f>IF(AN289=0,K289,0)</f>
        <v>0</v>
      </c>
      <c r="AK289" s="27">
        <f>IF(AN289=12,K289,0)</f>
        <v>0</v>
      </c>
      <c r="AL289" s="27">
        <f>IF(AN289=21,K289,0)</f>
        <v>0</v>
      </c>
      <c r="AN289" s="27">
        <v>21</v>
      </c>
      <c r="AO289" s="27">
        <f>H289*0</f>
        <v>0</v>
      </c>
      <c r="AP289" s="27">
        <f>H289*(1-0)</f>
        <v>0</v>
      </c>
      <c r="AQ289" s="29" t="s">
        <v>84</v>
      </c>
      <c r="AV289" s="27">
        <f>AW289+AX289</f>
        <v>0</v>
      </c>
      <c r="AW289" s="27">
        <f>G289*AO289</f>
        <v>0</v>
      </c>
      <c r="AX289" s="27">
        <f>G289*AP289</f>
        <v>0</v>
      </c>
      <c r="AY289" s="29" t="s">
        <v>571</v>
      </c>
      <c r="AZ289" s="29" t="s">
        <v>556</v>
      </c>
      <c r="BA289" s="9" t="s">
        <v>539</v>
      </c>
      <c r="BC289" s="27">
        <f>AW289+AX289</f>
        <v>0</v>
      </c>
      <c r="BD289" s="27">
        <f>H289/(100-BE289)*100</f>
        <v>0</v>
      </c>
      <c r="BE289" s="27">
        <v>0</v>
      </c>
      <c r="BF289" s="27">
        <f>289</f>
        <v>289</v>
      </c>
      <c r="BH289" s="27">
        <f>G289*AO289</f>
        <v>0</v>
      </c>
      <c r="BI289" s="27">
        <f>G289*AP289</f>
        <v>0</v>
      </c>
      <c r="BJ289" s="27">
        <f>G289*H289</f>
        <v>0</v>
      </c>
      <c r="BK289" s="27"/>
      <c r="BL289" s="27">
        <v>734</v>
      </c>
      <c r="BW289" s="27">
        <v>21</v>
      </c>
    </row>
    <row r="290" spans="1:75" ht="13.5" customHeight="1">
      <c r="A290" s="2" t="s">
        <v>575</v>
      </c>
      <c r="B290" s="3" t="s">
        <v>530</v>
      </c>
      <c r="C290" s="3" t="s">
        <v>576</v>
      </c>
      <c r="D290" s="148" t="s">
        <v>577</v>
      </c>
      <c r="E290" s="143"/>
      <c r="F290" s="3" t="s">
        <v>154</v>
      </c>
      <c r="G290" s="27">
        <v>3</v>
      </c>
      <c r="H290" s="27">
        <v>0</v>
      </c>
      <c r="I290" s="27">
        <f>G290*AO290</f>
        <v>0</v>
      </c>
      <c r="J290" s="27">
        <f>G290*AP290</f>
        <v>0</v>
      </c>
      <c r="K290" s="27">
        <f>G290*H290</f>
        <v>0</v>
      </c>
      <c r="L290" s="28" t="s">
        <v>52</v>
      </c>
      <c r="Z290" s="27">
        <f>IF(AQ290="5",BJ290,0)</f>
        <v>0</v>
      </c>
      <c r="AB290" s="27">
        <f>IF(AQ290="1",BH290,0)</f>
        <v>0</v>
      </c>
      <c r="AC290" s="27">
        <f>IF(AQ290="1",BI290,0)</f>
        <v>0</v>
      </c>
      <c r="AD290" s="27">
        <f>IF(AQ290="7",BH290,0)</f>
        <v>0</v>
      </c>
      <c r="AE290" s="27">
        <f>IF(AQ290="7",BI290,0)</f>
        <v>0</v>
      </c>
      <c r="AF290" s="27">
        <f>IF(AQ290="2",BH290,0)</f>
        <v>0</v>
      </c>
      <c r="AG290" s="27">
        <f>IF(AQ290="2",BI290,0)</f>
        <v>0</v>
      </c>
      <c r="AH290" s="27">
        <f>IF(AQ290="0",BJ290,0)</f>
        <v>0</v>
      </c>
      <c r="AI290" s="9" t="s">
        <v>530</v>
      </c>
      <c r="AJ290" s="27">
        <f>IF(AN290=0,K290,0)</f>
        <v>0</v>
      </c>
      <c r="AK290" s="27">
        <f>IF(AN290=12,K290,0)</f>
        <v>0</v>
      </c>
      <c r="AL290" s="27">
        <f>IF(AN290=21,K290,0)</f>
        <v>0</v>
      </c>
      <c r="AN290" s="27">
        <v>21</v>
      </c>
      <c r="AO290" s="27">
        <f>H290*0</f>
        <v>0</v>
      </c>
      <c r="AP290" s="27">
        <f>H290*(1-0)</f>
        <v>0</v>
      </c>
      <c r="AQ290" s="29" t="s">
        <v>84</v>
      </c>
      <c r="AV290" s="27">
        <f>AW290+AX290</f>
        <v>0</v>
      </c>
      <c r="AW290" s="27">
        <f>G290*AO290</f>
        <v>0</v>
      </c>
      <c r="AX290" s="27">
        <f>G290*AP290</f>
        <v>0</v>
      </c>
      <c r="AY290" s="29" t="s">
        <v>571</v>
      </c>
      <c r="AZ290" s="29" t="s">
        <v>556</v>
      </c>
      <c r="BA290" s="9" t="s">
        <v>539</v>
      </c>
      <c r="BC290" s="27">
        <f>AW290+AX290</f>
        <v>0</v>
      </c>
      <c r="BD290" s="27">
        <f>H290/(100-BE290)*100</f>
        <v>0</v>
      </c>
      <c r="BE290" s="27">
        <v>0</v>
      </c>
      <c r="BF290" s="27">
        <f>290</f>
        <v>290</v>
      </c>
      <c r="BH290" s="27">
        <f>G290*AO290</f>
        <v>0</v>
      </c>
      <c r="BI290" s="27">
        <f>G290*AP290</f>
        <v>0</v>
      </c>
      <c r="BJ290" s="27">
        <f>G290*H290</f>
        <v>0</v>
      </c>
      <c r="BK290" s="27"/>
      <c r="BL290" s="27">
        <v>734</v>
      </c>
      <c r="BW290" s="27">
        <v>21</v>
      </c>
    </row>
    <row r="291" spans="1:75" ht="13.5" customHeight="1">
      <c r="A291" s="2" t="s">
        <v>578</v>
      </c>
      <c r="B291" s="3" t="s">
        <v>530</v>
      </c>
      <c r="C291" s="3" t="s">
        <v>579</v>
      </c>
      <c r="D291" s="148" t="s">
        <v>580</v>
      </c>
      <c r="E291" s="143"/>
      <c r="F291" s="3" t="s">
        <v>154</v>
      </c>
      <c r="G291" s="27">
        <v>3</v>
      </c>
      <c r="H291" s="27">
        <v>0</v>
      </c>
      <c r="I291" s="27">
        <f>G291*AO291</f>
        <v>0</v>
      </c>
      <c r="J291" s="27">
        <f>G291*AP291</f>
        <v>0</v>
      </c>
      <c r="K291" s="27">
        <f>G291*H291</f>
        <v>0</v>
      </c>
      <c r="L291" s="28" t="s">
        <v>52</v>
      </c>
      <c r="Z291" s="27">
        <f>IF(AQ291="5",BJ291,0)</f>
        <v>0</v>
      </c>
      <c r="AB291" s="27">
        <f>IF(AQ291="1",BH291,0)</f>
        <v>0</v>
      </c>
      <c r="AC291" s="27">
        <f>IF(AQ291="1",BI291,0)</f>
        <v>0</v>
      </c>
      <c r="AD291" s="27">
        <f>IF(AQ291="7",BH291,0)</f>
        <v>0</v>
      </c>
      <c r="AE291" s="27">
        <f>IF(AQ291="7",BI291,0)</f>
        <v>0</v>
      </c>
      <c r="AF291" s="27">
        <f>IF(AQ291="2",BH291,0)</f>
        <v>0</v>
      </c>
      <c r="AG291" s="27">
        <f>IF(AQ291="2",BI291,0)</f>
        <v>0</v>
      </c>
      <c r="AH291" s="27">
        <f>IF(AQ291="0",BJ291,0)</f>
        <v>0</v>
      </c>
      <c r="AI291" s="9" t="s">
        <v>530</v>
      </c>
      <c r="AJ291" s="27">
        <f>IF(AN291=0,K291,0)</f>
        <v>0</v>
      </c>
      <c r="AK291" s="27">
        <f>IF(AN291=12,K291,0)</f>
        <v>0</v>
      </c>
      <c r="AL291" s="27">
        <f>IF(AN291=21,K291,0)</f>
        <v>0</v>
      </c>
      <c r="AN291" s="27">
        <v>21</v>
      </c>
      <c r="AO291" s="27">
        <f>H291*0</f>
        <v>0</v>
      </c>
      <c r="AP291" s="27">
        <f>H291*(1-0)</f>
        <v>0</v>
      </c>
      <c r="AQ291" s="29" t="s">
        <v>84</v>
      </c>
      <c r="AV291" s="27">
        <f>AW291+AX291</f>
        <v>0</v>
      </c>
      <c r="AW291" s="27">
        <f>G291*AO291</f>
        <v>0</v>
      </c>
      <c r="AX291" s="27">
        <f>G291*AP291</f>
        <v>0</v>
      </c>
      <c r="AY291" s="29" t="s">
        <v>571</v>
      </c>
      <c r="AZ291" s="29" t="s">
        <v>556</v>
      </c>
      <c r="BA291" s="9" t="s">
        <v>539</v>
      </c>
      <c r="BC291" s="27">
        <f>AW291+AX291</f>
        <v>0</v>
      </c>
      <c r="BD291" s="27">
        <f>H291/(100-BE291)*100</f>
        <v>0</v>
      </c>
      <c r="BE291" s="27">
        <v>0</v>
      </c>
      <c r="BF291" s="27">
        <f>291</f>
        <v>291</v>
      </c>
      <c r="BH291" s="27">
        <f>G291*AO291</f>
        <v>0</v>
      </c>
      <c r="BI291" s="27">
        <f>G291*AP291</f>
        <v>0</v>
      </c>
      <c r="BJ291" s="27">
        <f>G291*H291</f>
        <v>0</v>
      </c>
      <c r="BK291" s="27"/>
      <c r="BL291" s="27">
        <v>734</v>
      </c>
      <c r="BW291" s="27">
        <v>21</v>
      </c>
    </row>
    <row r="292" spans="1:75" ht="13.5" customHeight="1">
      <c r="A292" s="2" t="s">
        <v>581</v>
      </c>
      <c r="B292" s="3" t="s">
        <v>530</v>
      </c>
      <c r="C292" s="3" t="s">
        <v>582</v>
      </c>
      <c r="D292" s="148" t="s">
        <v>583</v>
      </c>
      <c r="E292" s="143"/>
      <c r="F292" s="3" t="s">
        <v>154</v>
      </c>
      <c r="G292" s="27">
        <v>3</v>
      </c>
      <c r="H292" s="27">
        <v>0</v>
      </c>
      <c r="I292" s="27">
        <f>G292*AO292</f>
        <v>0</v>
      </c>
      <c r="J292" s="27">
        <f>G292*AP292</f>
        <v>0</v>
      </c>
      <c r="K292" s="27">
        <f>G292*H292</f>
        <v>0</v>
      </c>
      <c r="L292" s="28" t="s">
        <v>52</v>
      </c>
      <c r="Z292" s="27">
        <f>IF(AQ292="5",BJ292,0)</f>
        <v>0</v>
      </c>
      <c r="AB292" s="27">
        <f>IF(AQ292="1",BH292,0)</f>
        <v>0</v>
      </c>
      <c r="AC292" s="27">
        <f>IF(AQ292="1",BI292,0)</f>
        <v>0</v>
      </c>
      <c r="AD292" s="27">
        <f>IF(AQ292="7",BH292,0)</f>
        <v>0</v>
      </c>
      <c r="AE292" s="27">
        <f>IF(AQ292="7",BI292,0)</f>
        <v>0</v>
      </c>
      <c r="AF292" s="27">
        <f>IF(AQ292="2",BH292,0)</f>
        <v>0</v>
      </c>
      <c r="AG292" s="27">
        <f>IF(AQ292="2",BI292,0)</f>
        <v>0</v>
      </c>
      <c r="AH292" s="27">
        <f>IF(AQ292="0",BJ292,0)</f>
        <v>0</v>
      </c>
      <c r="AI292" s="9" t="s">
        <v>530</v>
      </c>
      <c r="AJ292" s="27">
        <f>IF(AN292=0,K292,0)</f>
        <v>0</v>
      </c>
      <c r="AK292" s="27">
        <f>IF(AN292=12,K292,0)</f>
        <v>0</v>
      </c>
      <c r="AL292" s="27">
        <f>IF(AN292=21,K292,0)</f>
        <v>0</v>
      </c>
      <c r="AN292" s="27">
        <v>21</v>
      </c>
      <c r="AO292" s="27">
        <f>H292*0</f>
        <v>0</v>
      </c>
      <c r="AP292" s="27">
        <f>H292*(1-0)</f>
        <v>0</v>
      </c>
      <c r="AQ292" s="29" t="s">
        <v>84</v>
      </c>
      <c r="AV292" s="27">
        <f>AW292+AX292</f>
        <v>0</v>
      </c>
      <c r="AW292" s="27">
        <f>G292*AO292</f>
        <v>0</v>
      </c>
      <c r="AX292" s="27">
        <f>G292*AP292</f>
        <v>0</v>
      </c>
      <c r="AY292" s="29" t="s">
        <v>571</v>
      </c>
      <c r="AZ292" s="29" t="s">
        <v>556</v>
      </c>
      <c r="BA292" s="9" t="s">
        <v>539</v>
      </c>
      <c r="BC292" s="27">
        <f>AW292+AX292</f>
        <v>0</v>
      </c>
      <c r="BD292" s="27">
        <f>H292/(100-BE292)*100</f>
        <v>0</v>
      </c>
      <c r="BE292" s="27">
        <v>0</v>
      </c>
      <c r="BF292" s="27">
        <f>292</f>
        <v>292</v>
      </c>
      <c r="BH292" s="27">
        <f>G292*AO292</f>
        <v>0</v>
      </c>
      <c r="BI292" s="27">
        <f>G292*AP292</f>
        <v>0</v>
      </c>
      <c r="BJ292" s="27">
        <f>G292*H292</f>
        <v>0</v>
      </c>
      <c r="BK292" s="27"/>
      <c r="BL292" s="27">
        <v>734</v>
      </c>
      <c r="BW292" s="27">
        <v>21</v>
      </c>
    </row>
    <row r="293" spans="1:47" ht="15">
      <c r="A293" s="23" t="s">
        <v>52</v>
      </c>
      <c r="B293" s="24" t="s">
        <v>530</v>
      </c>
      <c r="C293" s="24" t="s">
        <v>241</v>
      </c>
      <c r="D293" s="164" t="s">
        <v>242</v>
      </c>
      <c r="E293" s="165"/>
      <c r="F293" s="25" t="s">
        <v>4</v>
      </c>
      <c r="G293" s="25" t="s">
        <v>4</v>
      </c>
      <c r="H293" s="25" t="s">
        <v>4</v>
      </c>
      <c r="I293" s="1">
        <f>SUM(I294:I299)</f>
        <v>0</v>
      </c>
      <c r="J293" s="1">
        <f>SUM(J294:J299)</f>
        <v>0</v>
      </c>
      <c r="K293" s="1">
        <f>SUM(K294:K299)</f>
        <v>0</v>
      </c>
      <c r="L293" s="26" t="s">
        <v>52</v>
      </c>
      <c r="AI293" s="9" t="s">
        <v>530</v>
      </c>
      <c r="AS293" s="1">
        <f>SUM(AJ294:AJ299)</f>
        <v>0</v>
      </c>
      <c r="AT293" s="1">
        <f>SUM(AK294:AK299)</f>
        <v>0</v>
      </c>
      <c r="AU293" s="1">
        <f>SUM(AL294:AL299)</f>
        <v>0</v>
      </c>
    </row>
    <row r="294" spans="1:75" ht="13.5" customHeight="1">
      <c r="A294" s="2" t="s">
        <v>584</v>
      </c>
      <c r="B294" s="3" t="s">
        <v>530</v>
      </c>
      <c r="C294" s="3" t="s">
        <v>585</v>
      </c>
      <c r="D294" s="148" t="s">
        <v>586</v>
      </c>
      <c r="E294" s="143"/>
      <c r="F294" s="3" t="s">
        <v>109</v>
      </c>
      <c r="G294" s="27">
        <v>2.365</v>
      </c>
      <c r="H294" s="27">
        <v>0</v>
      </c>
      <c r="I294" s="27">
        <f aca="true" t="shared" si="24" ref="I294:I299">G294*AO294</f>
        <v>0</v>
      </c>
      <c r="J294" s="27">
        <f aca="true" t="shared" si="25" ref="J294:J299">G294*AP294</f>
        <v>0</v>
      </c>
      <c r="K294" s="27">
        <f aca="true" t="shared" si="26" ref="K294:K299">G294*H294</f>
        <v>0</v>
      </c>
      <c r="L294" s="28" t="s">
        <v>52</v>
      </c>
      <c r="Z294" s="27">
        <f aca="true" t="shared" si="27" ref="Z294:Z299">IF(AQ294="5",BJ294,0)</f>
        <v>0</v>
      </c>
      <c r="AB294" s="27">
        <f aca="true" t="shared" si="28" ref="AB294:AB299">IF(AQ294="1",BH294,0)</f>
        <v>0</v>
      </c>
      <c r="AC294" s="27">
        <f aca="true" t="shared" si="29" ref="AC294:AC299">IF(AQ294="1",BI294,0)</f>
        <v>0</v>
      </c>
      <c r="AD294" s="27">
        <f aca="true" t="shared" si="30" ref="AD294:AD299">IF(AQ294="7",BH294,0)</f>
        <v>0</v>
      </c>
      <c r="AE294" s="27">
        <f aca="true" t="shared" si="31" ref="AE294:AE299">IF(AQ294="7",BI294,0)</f>
        <v>0</v>
      </c>
      <c r="AF294" s="27">
        <f aca="true" t="shared" si="32" ref="AF294:AF299">IF(AQ294="2",BH294,0)</f>
        <v>0</v>
      </c>
      <c r="AG294" s="27">
        <f aca="true" t="shared" si="33" ref="AG294:AG299">IF(AQ294="2",BI294,0)</f>
        <v>0</v>
      </c>
      <c r="AH294" s="27">
        <f aca="true" t="shared" si="34" ref="AH294:AH299">IF(AQ294="0",BJ294,0)</f>
        <v>0</v>
      </c>
      <c r="AI294" s="9" t="s">
        <v>530</v>
      </c>
      <c r="AJ294" s="27">
        <f aca="true" t="shared" si="35" ref="AJ294:AJ299">IF(AN294=0,K294,0)</f>
        <v>0</v>
      </c>
      <c r="AK294" s="27">
        <f aca="true" t="shared" si="36" ref="AK294:AK299">IF(AN294=12,K294,0)</f>
        <v>0</v>
      </c>
      <c r="AL294" s="27">
        <f aca="true" t="shared" si="37" ref="AL294:AL299">IF(AN294=21,K294,0)</f>
        <v>0</v>
      </c>
      <c r="AN294" s="27">
        <v>21</v>
      </c>
      <c r="AO294" s="27">
        <f aca="true" t="shared" si="38" ref="AO294:AO299">H294*0</f>
        <v>0</v>
      </c>
      <c r="AP294" s="27">
        <f aca="true" t="shared" si="39" ref="AP294:AP299">H294*(1-0)</f>
        <v>0</v>
      </c>
      <c r="AQ294" s="29" t="s">
        <v>84</v>
      </c>
      <c r="AV294" s="27">
        <f aca="true" t="shared" si="40" ref="AV294:AV299">AW294+AX294</f>
        <v>0</v>
      </c>
      <c r="AW294" s="27">
        <f aca="true" t="shared" si="41" ref="AW294:AW299">G294*AO294</f>
        <v>0</v>
      </c>
      <c r="AX294" s="27">
        <f aca="true" t="shared" si="42" ref="AX294:AX299">G294*AP294</f>
        <v>0</v>
      </c>
      <c r="AY294" s="29" t="s">
        <v>245</v>
      </c>
      <c r="AZ294" s="29" t="s">
        <v>556</v>
      </c>
      <c r="BA294" s="9" t="s">
        <v>539</v>
      </c>
      <c r="BC294" s="27">
        <f aca="true" t="shared" si="43" ref="BC294:BC299">AW294+AX294</f>
        <v>0</v>
      </c>
      <c r="BD294" s="27">
        <f aca="true" t="shared" si="44" ref="BD294:BD299">H294/(100-BE294)*100</f>
        <v>0</v>
      </c>
      <c r="BE294" s="27">
        <v>0</v>
      </c>
      <c r="BF294" s="27">
        <f>294</f>
        <v>294</v>
      </c>
      <c r="BH294" s="27">
        <f aca="true" t="shared" si="45" ref="BH294:BH299">G294*AO294</f>
        <v>0</v>
      </c>
      <c r="BI294" s="27">
        <f aca="true" t="shared" si="46" ref="BI294:BI299">G294*AP294</f>
        <v>0</v>
      </c>
      <c r="BJ294" s="27">
        <f aca="true" t="shared" si="47" ref="BJ294:BJ299">G294*H294</f>
        <v>0</v>
      </c>
      <c r="BK294" s="27"/>
      <c r="BL294" s="27">
        <v>735</v>
      </c>
      <c r="BW294" s="27">
        <v>21</v>
      </c>
    </row>
    <row r="295" spans="1:75" ht="13.5" customHeight="1">
      <c r="A295" s="2" t="s">
        <v>587</v>
      </c>
      <c r="B295" s="3" t="s">
        <v>530</v>
      </c>
      <c r="C295" s="3" t="s">
        <v>588</v>
      </c>
      <c r="D295" s="148" t="s">
        <v>589</v>
      </c>
      <c r="E295" s="143"/>
      <c r="F295" s="3" t="s">
        <v>154</v>
      </c>
      <c r="G295" s="27">
        <v>12</v>
      </c>
      <c r="H295" s="27">
        <v>0</v>
      </c>
      <c r="I295" s="27">
        <f t="shared" si="24"/>
        <v>0</v>
      </c>
      <c r="J295" s="27">
        <f t="shared" si="25"/>
        <v>0</v>
      </c>
      <c r="K295" s="27">
        <f t="shared" si="26"/>
        <v>0</v>
      </c>
      <c r="L295" s="28" t="s">
        <v>52</v>
      </c>
      <c r="Z295" s="27">
        <f t="shared" si="27"/>
        <v>0</v>
      </c>
      <c r="AB295" s="27">
        <f t="shared" si="28"/>
        <v>0</v>
      </c>
      <c r="AC295" s="27">
        <f t="shared" si="29"/>
        <v>0</v>
      </c>
      <c r="AD295" s="27">
        <f t="shared" si="30"/>
        <v>0</v>
      </c>
      <c r="AE295" s="27">
        <f t="shared" si="31"/>
        <v>0</v>
      </c>
      <c r="AF295" s="27">
        <f t="shared" si="32"/>
        <v>0</v>
      </c>
      <c r="AG295" s="27">
        <f t="shared" si="33"/>
        <v>0</v>
      </c>
      <c r="AH295" s="27">
        <f t="shared" si="34"/>
        <v>0</v>
      </c>
      <c r="AI295" s="9" t="s">
        <v>530</v>
      </c>
      <c r="AJ295" s="27">
        <f t="shared" si="35"/>
        <v>0</v>
      </c>
      <c r="AK295" s="27">
        <f t="shared" si="36"/>
        <v>0</v>
      </c>
      <c r="AL295" s="27">
        <f t="shared" si="37"/>
        <v>0</v>
      </c>
      <c r="AN295" s="27">
        <v>21</v>
      </c>
      <c r="AO295" s="27">
        <f t="shared" si="38"/>
        <v>0</v>
      </c>
      <c r="AP295" s="27">
        <f t="shared" si="39"/>
        <v>0</v>
      </c>
      <c r="AQ295" s="29" t="s">
        <v>84</v>
      </c>
      <c r="AV295" s="27">
        <f t="shared" si="40"/>
        <v>0</v>
      </c>
      <c r="AW295" s="27">
        <f t="shared" si="41"/>
        <v>0</v>
      </c>
      <c r="AX295" s="27">
        <f t="shared" si="42"/>
        <v>0</v>
      </c>
      <c r="AY295" s="29" t="s">
        <v>245</v>
      </c>
      <c r="AZ295" s="29" t="s">
        <v>556</v>
      </c>
      <c r="BA295" s="9" t="s">
        <v>539</v>
      </c>
      <c r="BC295" s="27">
        <f t="shared" si="43"/>
        <v>0</v>
      </c>
      <c r="BD295" s="27">
        <f t="shared" si="44"/>
        <v>0</v>
      </c>
      <c r="BE295" s="27">
        <v>0</v>
      </c>
      <c r="BF295" s="27">
        <f>295</f>
        <v>295</v>
      </c>
      <c r="BH295" s="27">
        <f t="shared" si="45"/>
        <v>0</v>
      </c>
      <c r="BI295" s="27">
        <f t="shared" si="46"/>
        <v>0</v>
      </c>
      <c r="BJ295" s="27">
        <f t="shared" si="47"/>
        <v>0</v>
      </c>
      <c r="BK295" s="27"/>
      <c r="BL295" s="27">
        <v>735</v>
      </c>
      <c r="BW295" s="27">
        <v>21</v>
      </c>
    </row>
    <row r="296" spans="1:75" ht="13.5" customHeight="1">
      <c r="A296" s="2" t="s">
        <v>590</v>
      </c>
      <c r="B296" s="3" t="s">
        <v>530</v>
      </c>
      <c r="C296" s="3" t="s">
        <v>591</v>
      </c>
      <c r="D296" s="148" t="s">
        <v>592</v>
      </c>
      <c r="E296" s="143"/>
      <c r="F296" s="3" t="s">
        <v>109</v>
      </c>
      <c r="G296" s="27">
        <v>2.365</v>
      </c>
      <c r="H296" s="27">
        <v>0</v>
      </c>
      <c r="I296" s="27">
        <f t="shared" si="24"/>
        <v>0</v>
      </c>
      <c r="J296" s="27">
        <f t="shared" si="25"/>
        <v>0</v>
      </c>
      <c r="K296" s="27">
        <f t="shared" si="26"/>
        <v>0</v>
      </c>
      <c r="L296" s="28" t="s">
        <v>52</v>
      </c>
      <c r="Z296" s="27">
        <f t="shared" si="27"/>
        <v>0</v>
      </c>
      <c r="AB296" s="27">
        <f t="shared" si="28"/>
        <v>0</v>
      </c>
      <c r="AC296" s="27">
        <f t="shared" si="29"/>
        <v>0</v>
      </c>
      <c r="AD296" s="27">
        <f t="shared" si="30"/>
        <v>0</v>
      </c>
      <c r="AE296" s="27">
        <f t="shared" si="31"/>
        <v>0</v>
      </c>
      <c r="AF296" s="27">
        <f t="shared" si="32"/>
        <v>0</v>
      </c>
      <c r="AG296" s="27">
        <f t="shared" si="33"/>
        <v>0</v>
      </c>
      <c r="AH296" s="27">
        <f t="shared" si="34"/>
        <v>0</v>
      </c>
      <c r="AI296" s="9" t="s">
        <v>530</v>
      </c>
      <c r="AJ296" s="27">
        <f t="shared" si="35"/>
        <v>0</v>
      </c>
      <c r="AK296" s="27">
        <f t="shared" si="36"/>
        <v>0</v>
      </c>
      <c r="AL296" s="27">
        <f t="shared" si="37"/>
        <v>0</v>
      </c>
      <c r="AN296" s="27">
        <v>21</v>
      </c>
      <c r="AO296" s="27">
        <f t="shared" si="38"/>
        <v>0</v>
      </c>
      <c r="AP296" s="27">
        <f t="shared" si="39"/>
        <v>0</v>
      </c>
      <c r="AQ296" s="29" t="s">
        <v>84</v>
      </c>
      <c r="AV296" s="27">
        <f t="shared" si="40"/>
        <v>0</v>
      </c>
      <c r="AW296" s="27">
        <f t="shared" si="41"/>
        <v>0</v>
      </c>
      <c r="AX296" s="27">
        <f t="shared" si="42"/>
        <v>0</v>
      </c>
      <c r="AY296" s="29" t="s">
        <v>245</v>
      </c>
      <c r="AZ296" s="29" t="s">
        <v>556</v>
      </c>
      <c r="BA296" s="9" t="s">
        <v>539</v>
      </c>
      <c r="BC296" s="27">
        <f t="shared" si="43"/>
        <v>0</v>
      </c>
      <c r="BD296" s="27">
        <f t="shared" si="44"/>
        <v>0</v>
      </c>
      <c r="BE296" s="27">
        <v>0</v>
      </c>
      <c r="BF296" s="27">
        <f>296</f>
        <v>296</v>
      </c>
      <c r="BH296" s="27">
        <f t="shared" si="45"/>
        <v>0</v>
      </c>
      <c r="BI296" s="27">
        <f t="shared" si="46"/>
        <v>0</v>
      </c>
      <c r="BJ296" s="27">
        <f t="shared" si="47"/>
        <v>0</v>
      </c>
      <c r="BK296" s="27"/>
      <c r="BL296" s="27">
        <v>735</v>
      </c>
      <c r="BW296" s="27">
        <v>21</v>
      </c>
    </row>
    <row r="297" spans="1:75" ht="13.5" customHeight="1">
      <c r="A297" s="2" t="s">
        <v>409</v>
      </c>
      <c r="B297" s="3" t="s">
        <v>530</v>
      </c>
      <c r="C297" s="3" t="s">
        <v>593</v>
      </c>
      <c r="D297" s="148" t="s">
        <v>594</v>
      </c>
      <c r="E297" s="143"/>
      <c r="F297" s="3" t="s">
        <v>154</v>
      </c>
      <c r="G297" s="27">
        <v>3</v>
      </c>
      <c r="H297" s="27">
        <v>0</v>
      </c>
      <c r="I297" s="27">
        <f t="shared" si="24"/>
        <v>0</v>
      </c>
      <c r="J297" s="27">
        <f t="shared" si="25"/>
        <v>0</v>
      </c>
      <c r="K297" s="27">
        <f t="shared" si="26"/>
        <v>0</v>
      </c>
      <c r="L297" s="28" t="s">
        <v>52</v>
      </c>
      <c r="Z297" s="27">
        <f t="shared" si="27"/>
        <v>0</v>
      </c>
      <c r="AB297" s="27">
        <f t="shared" si="28"/>
        <v>0</v>
      </c>
      <c r="AC297" s="27">
        <f t="shared" si="29"/>
        <v>0</v>
      </c>
      <c r="AD297" s="27">
        <f t="shared" si="30"/>
        <v>0</v>
      </c>
      <c r="AE297" s="27">
        <f t="shared" si="31"/>
        <v>0</v>
      </c>
      <c r="AF297" s="27">
        <f t="shared" si="32"/>
        <v>0</v>
      </c>
      <c r="AG297" s="27">
        <f t="shared" si="33"/>
        <v>0</v>
      </c>
      <c r="AH297" s="27">
        <f t="shared" si="34"/>
        <v>0</v>
      </c>
      <c r="AI297" s="9" t="s">
        <v>530</v>
      </c>
      <c r="AJ297" s="27">
        <f t="shared" si="35"/>
        <v>0</v>
      </c>
      <c r="AK297" s="27">
        <f t="shared" si="36"/>
        <v>0</v>
      </c>
      <c r="AL297" s="27">
        <f t="shared" si="37"/>
        <v>0</v>
      </c>
      <c r="AN297" s="27">
        <v>21</v>
      </c>
      <c r="AO297" s="27">
        <f t="shared" si="38"/>
        <v>0</v>
      </c>
      <c r="AP297" s="27">
        <f t="shared" si="39"/>
        <v>0</v>
      </c>
      <c r="AQ297" s="29" t="s">
        <v>84</v>
      </c>
      <c r="AV297" s="27">
        <f t="shared" si="40"/>
        <v>0</v>
      </c>
      <c r="AW297" s="27">
        <f t="shared" si="41"/>
        <v>0</v>
      </c>
      <c r="AX297" s="27">
        <f t="shared" si="42"/>
        <v>0</v>
      </c>
      <c r="AY297" s="29" t="s">
        <v>245</v>
      </c>
      <c r="AZ297" s="29" t="s">
        <v>556</v>
      </c>
      <c r="BA297" s="9" t="s">
        <v>539</v>
      </c>
      <c r="BC297" s="27">
        <f t="shared" si="43"/>
        <v>0</v>
      </c>
      <c r="BD297" s="27">
        <f t="shared" si="44"/>
        <v>0</v>
      </c>
      <c r="BE297" s="27">
        <v>0</v>
      </c>
      <c r="BF297" s="27">
        <f>297</f>
        <v>297</v>
      </c>
      <c r="BH297" s="27">
        <f t="shared" si="45"/>
        <v>0</v>
      </c>
      <c r="BI297" s="27">
        <f t="shared" si="46"/>
        <v>0</v>
      </c>
      <c r="BJ297" s="27">
        <f t="shared" si="47"/>
        <v>0</v>
      </c>
      <c r="BK297" s="27"/>
      <c r="BL297" s="27">
        <v>735</v>
      </c>
      <c r="BW297" s="27">
        <v>21</v>
      </c>
    </row>
    <row r="298" spans="1:75" ht="13.5" customHeight="1">
      <c r="A298" s="2" t="s">
        <v>422</v>
      </c>
      <c r="B298" s="3" t="s">
        <v>530</v>
      </c>
      <c r="C298" s="3" t="s">
        <v>595</v>
      </c>
      <c r="D298" s="148" t="s">
        <v>596</v>
      </c>
      <c r="E298" s="143"/>
      <c r="F298" s="3" t="s">
        <v>154</v>
      </c>
      <c r="G298" s="27">
        <v>3</v>
      </c>
      <c r="H298" s="27">
        <v>0</v>
      </c>
      <c r="I298" s="27">
        <f t="shared" si="24"/>
        <v>0</v>
      </c>
      <c r="J298" s="27">
        <f t="shared" si="25"/>
        <v>0</v>
      </c>
      <c r="K298" s="27">
        <f t="shared" si="26"/>
        <v>0</v>
      </c>
      <c r="L298" s="28" t="s">
        <v>52</v>
      </c>
      <c r="Z298" s="27">
        <f t="shared" si="27"/>
        <v>0</v>
      </c>
      <c r="AB298" s="27">
        <f t="shared" si="28"/>
        <v>0</v>
      </c>
      <c r="AC298" s="27">
        <f t="shared" si="29"/>
        <v>0</v>
      </c>
      <c r="AD298" s="27">
        <f t="shared" si="30"/>
        <v>0</v>
      </c>
      <c r="AE298" s="27">
        <f t="shared" si="31"/>
        <v>0</v>
      </c>
      <c r="AF298" s="27">
        <f t="shared" si="32"/>
        <v>0</v>
      </c>
      <c r="AG298" s="27">
        <f t="shared" si="33"/>
        <v>0</v>
      </c>
      <c r="AH298" s="27">
        <f t="shared" si="34"/>
        <v>0</v>
      </c>
      <c r="AI298" s="9" t="s">
        <v>530</v>
      </c>
      <c r="AJ298" s="27">
        <f t="shared" si="35"/>
        <v>0</v>
      </c>
      <c r="AK298" s="27">
        <f t="shared" si="36"/>
        <v>0</v>
      </c>
      <c r="AL298" s="27">
        <f t="shared" si="37"/>
        <v>0</v>
      </c>
      <c r="AN298" s="27">
        <v>21</v>
      </c>
      <c r="AO298" s="27">
        <f t="shared" si="38"/>
        <v>0</v>
      </c>
      <c r="AP298" s="27">
        <f t="shared" si="39"/>
        <v>0</v>
      </c>
      <c r="AQ298" s="29" t="s">
        <v>84</v>
      </c>
      <c r="AV298" s="27">
        <f t="shared" si="40"/>
        <v>0</v>
      </c>
      <c r="AW298" s="27">
        <f t="shared" si="41"/>
        <v>0</v>
      </c>
      <c r="AX298" s="27">
        <f t="shared" si="42"/>
        <v>0</v>
      </c>
      <c r="AY298" s="29" t="s">
        <v>245</v>
      </c>
      <c r="AZ298" s="29" t="s">
        <v>556</v>
      </c>
      <c r="BA298" s="9" t="s">
        <v>539</v>
      </c>
      <c r="BC298" s="27">
        <f t="shared" si="43"/>
        <v>0</v>
      </c>
      <c r="BD298" s="27">
        <f t="shared" si="44"/>
        <v>0</v>
      </c>
      <c r="BE298" s="27">
        <v>0</v>
      </c>
      <c r="BF298" s="27">
        <f>298</f>
        <v>298</v>
      </c>
      <c r="BH298" s="27">
        <f t="shared" si="45"/>
        <v>0</v>
      </c>
      <c r="BI298" s="27">
        <f t="shared" si="46"/>
        <v>0</v>
      </c>
      <c r="BJ298" s="27">
        <f t="shared" si="47"/>
        <v>0</v>
      </c>
      <c r="BK298" s="27"/>
      <c r="BL298" s="27">
        <v>735</v>
      </c>
      <c r="BW298" s="27">
        <v>21</v>
      </c>
    </row>
    <row r="299" spans="1:75" ht="13.5" customHeight="1">
      <c r="A299" s="2" t="s">
        <v>434</v>
      </c>
      <c r="B299" s="3" t="s">
        <v>530</v>
      </c>
      <c r="C299" s="3" t="s">
        <v>597</v>
      </c>
      <c r="D299" s="148" t="s">
        <v>598</v>
      </c>
      <c r="E299" s="143"/>
      <c r="F299" s="3" t="s">
        <v>154</v>
      </c>
      <c r="G299" s="27">
        <v>3</v>
      </c>
      <c r="H299" s="27">
        <v>0</v>
      </c>
      <c r="I299" s="27">
        <f t="shared" si="24"/>
        <v>0</v>
      </c>
      <c r="J299" s="27">
        <f t="shared" si="25"/>
        <v>0</v>
      </c>
      <c r="K299" s="27">
        <f t="shared" si="26"/>
        <v>0</v>
      </c>
      <c r="L299" s="28" t="s">
        <v>52</v>
      </c>
      <c r="Z299" s="27">
        <f t="shared" si="27"/>
        <v>0</v>
      </c>
      <c r="AB299" s="27">
        <f t="shared" si="28"/>
        <v>0</v>
      </c>
      <c r="AC299" s="27">
        <f t="shared" si="29"/>
        <v>0</v>
      </c>
      <c r="AD299" s="27">
        <f t="shared" si="30"/>
        <v>0</v>
      </c>
      <c r="AE299" s="27">
        <f t="shared" si="31"/>
        <v>0</v>
      </c>
      <c r="AF299" s="27">
        <f t="shared" si="32"/>
        <v>0</v>
      </c>
      <c r="AG299" s="27">
        <f t="shared" si="33"/>
        <v>0</v>
      </c>
      <c r="AH299" s="27">
        <f t="shared" si="34"/>
        <v>0</v>
      </c>
      <c r="AI299" s="9" t="s">
        <v>530</v>
      </c>
      <c r="AJ299" s="27">
        <f t="shared" si="35"/>
        <v>0</v>
      </c>
      <c r="AK299" s="27">
        <f t="shared" si="36"/>
        <v>0</v>
      </c>
      <c r="AL299" s="27">
        <f t="shared" si="37"/>
        <v>0</v>
      </c>
      <c r="AN299" s="27">
        <v>21</v>
      </c>
      <c r="AO299" s="27">
        <f t="shared" si="38"/>
        <v>0</v>
      </c>
      <c r="AP299" s="27">
        <f t="shared" si="39"/>
        <v>0</v>
      </c>
      <c r="AQ299" s="29" t="s">
        <v>84</v>
      </c>
      <c r="AV299" s="27">
        <f t="shared" si="40"/>
        <v>0</v>
      </c>
      <c r="AW299" s="27">
        <f t="shared" si="41"/>
        <v>0</v>
      </c>
      <c r="AX299" s="27">
        <f t="shared" si="42"/>
        <v>0</v>
      </c>
      <c r="AY299" s="29" t="s">
        <v>245</v>
      </c>
      <c r="AZ299" s="29" t="s">
        <v>556</v>
      </c>
      <c r="BA299" s="9" t="s">
        <v>539</v>
      </c>
      <c r="BC299" s="27">
        <f t="shared" si="43"/>
        <v>0</v>
      </c>
      <c r="BD299" s="27">
        <f t="shared" si="44"/>
        <v>0</v>
      </c>
      <c r="BE299" s="27">
        <v>0</v>
      </c>
      <c r="BF299" s="27">
        <f>299</f>
        <v>299</v>
      </c>
      <c r="BH299" s="27">
        <f t="shared" si="45"/>
        <v>0</v>
      </c>
      <c r="BI299" s="27">
        <f t="shared" si="46"/>
        <v>0</v>
      </c>
      <c r="BJ299" s="27">
        <f t="shared" si="47"/>
        <v>0</v>
      </c>
      <c r="BK299" s="27"/>
      <c r="BL299" s="27">
        <v>735</v>
      </c>
      <c r="BW299" s="27">
        <v>21</v>
      </c>
    </row>
    <row r="300" spans="1:47" ht="15">
      <c r="A300" s="23" t="s">
        <v>52</v>
      </c>
      <c r="B300" s="24" t="s">
        <v>530</v>
      </c>
      <c r="C300" s="24" t="s">
        <v>250</v>
      </c>
      <c r="D300" s="164" t="s">
        <v>251</v>
      </c>
      <c r="E300" s="165"/>
      <c r="F300" s="25" t="s">
        <v>4</v>
      </c>
      <c r="G300" s="25" t="s">
        <v>4</v>
      </c>
      <c r="H300" s="25" t="s">
        <v>4</v>
      </c>
      <c r="I300" s="1">
        <f>SUM(I301:I302)</f>
        <v>0</v>
      </c>
      <c r="J300" s="1">
        <f>SUM(J301:J302)</f>
        <v>0</v>
      </c>
      <c r="K300" s="1">
        <f>SUM(K301:K302)</f>
        <v>0</v>
      </c>
      <c r="L300" s="26" t="s">
        <v>52</v>
      </c>
      <c r="AI300" s="9" t="s">
        <v>530</v>
      </c>
      <c r="AS300" s="1">
        <f>SUM(AJ301:AJ302)</f>
        <v>0</v>
      </c>
      <c r="AT300" s="1">
        <f>SUM(AK301:AK302)</f>
        <v>0</v>
      </c>
      <c r="AU300" s="1">
        <f>SUM(AL301:AL302)</f>
        <v>0</v>
      </c>
    </row>
    <row r="301" spans="1:75" ht="13.5" customHeight="1">
      <c r="A301" s="2" t="s">
        <v>471</v>
      </c>
      <c r="B301" s="3" t="s">
        <v>530</v>
      </c>
      <c r="C301" s="3" t="s">
        <v>599</v>
      </c>
      <c r="D301" s="148" t="s">
        <v>600</v>
      </c>
      <c r="E301" s="143"/>
      <c r="F301" s="3" t="s">
        <v>282</v>
      </c>
      <c r="G301" s="27">
        <v>5</v>
      </c>
      <c r="H301" s="27">
        <v>0</v>
      </c>
      <c r="I301" s="27">
        <f>G301*AO301</f>
        <v>0</v>
      </c>
      <c r="J301" s="27">
        <f>G301*AP301</f>
        <v>0</v>
      </c>
      <c r="K301" s="27">
        <f>G301*H301</f>
        <v>0</v>
      </c>
      <c r="L301" s="28" t="s">
        <v>52</v>
      </c>
      <c r="Z301" s="27">
        <f>IF(AQ301="5",BJ301,0)</f>
        <v>0</v>
      </c>
      <c r="AB301" s="27">
        <f>IF(AQ301="1",BH301,0)</f>
        <v>0</v>
      </c>
      <c r="AC301" s="27">
        <f>IF(AQ301="1",BI301,0)</f>
        <v>0</v>
      </c>
      <c r="AD301" s="27">
        <f>IF(AQ301="7",BH301,0)</f>
        <v>0</v>
      </c>
      <c r="AE301" s="27">
        <f>IF(AQ301="7",BI301,0)</f>
        <v>0</v>
      </c>
      <c r="AF301" s="27">
        <f>IF(AQ301="2",BH301,0)</f>
        <v>0</v>
      </c>
      <c r="AG301" s="27">
        <f>IF(AQ301="2",BI301,0)</f>
        <v>0</v>
      </c>
      <c r="AH301" s="27">
        <f>IF(AQ301="0",BJ301,0)</f>
        <v>0</v>
      </c>
      <c r="AI301" s="9" t="s">
        <v>530</v>
      </c>
      <c r="AJ301" s="27">
        <f>IF(AN301=0,K301,0)</f>
        <v>0</v>
      </c>
      <c r="AK301" s="27">
        <f>IF(AN301=12,K301,0)</f>
        <v>0</v>
      </c>
      <c r="AL301" s="27">
        <f>IF(AN301=21,K301,0)</f>
        <v>0</v>
      </c>
      <c r="AN301" s="27">
        <v>21</v>
      </c>
      <c r="AO301" s="27">
        <f>H301*0</f>
        <v>0</v>
      </c>
      <c r="AP301" s="27">
        <f>H301*(1-0)</f>
        <v>0</v>
      </c>
      <c r="AQ301" s="29" t="s">
        <v>84</v>
      </c>
      <c r="AV301" s="27">
        <f>AW301+AX301</f>
        <v>0</v>
      </c>
      <c r="AW301" s="27">
        <f>G301*AO301</f>
        <v>0</v>
      </c>
      <c r="AX301" s="27">
        <f>G301*AP301</f>
        <v>0</v>
      </c>
      <c r="AY301" s="29" t="s">
        <v>255</v>
      </c>
      <c r="AZ301" s="29" t="s">
        <v>601</v>
      </c>
      <c r="BA301" s="9" t="s">
        <v>539</v>
      </c>
      <c r="BC301" s="27">
        <f>AW301+AX301</f>
        <v>0</v>
      </c>
      <c r="BD301" s="27">
        <f>H301/(100-BE301)*100</f>
        <v>0</v>
      </c>
      <c r="BE301" s="27">
        <v>0</v>
      </c>
      <c r="BF301" s="27">
        <f>301</f>
        <v>301</v>
      </c>
      <c r="BH301" s="27">
        <f>G301*AO301</f>
        <v>0</v>
      </c>
      <c r="BI301" s="27">
        <f>G301*AP301</f>
        <v>0</v>
      </c>
      <c r="BJ301" s="27">
        <f>G301*H301</f>
        <v>0</v>
      </c>
      <c r="BK301" s="27"/>
      <c r="BL301" s="27">
        <v>767</v>
      </c>
      <c r="BW301" s="27">
        <v>21</v>
      </c>
    </row>
    <row r="302" spans="1:75" ht="13.5" customHeight="1">
      <c r="A302" s="2" t="s">
        <v>602</v>
      </c>
      <c r="B302" s="3" t="s">
        <v>530</v>
      </c>
      <c r="C302" s="3" t="s">
        <v>603</v>
      </c>
      <c r="D302" s="148" t="s">
        <v>604</v>
      </c>
      <c r="E302" s="143"/>
      <c r="F302" s="3" t="s">
        <v>282</v>
      </c>
      <c r="G302" s="27">
        <v>5</v>
      </c>
      <c r="H302" s="27">
        <v>0</v>
      </c>
      <c r="I302" s="27">
        <f>G302*AO302</f>
        <v>0</v>
      </c>
      <c r="J302" s="27">
        <f>G302*AP302</f>
        <v>0</v>
      </c>
      <c r="K302" s="27">
        <f>G302*H302</f>
        <v>0</v>
      </c>
      <c r="L302" s="28" t="s">
        <v>52</v>
      </c>
      <c r="Z302" s="27">
        <f>IF(AQ302="5",BJ302,0)</f>
        <v>0</v>
      </c>
      <c r="AB302" s="27">
        <f>IF(AQ302="1",BH302,0)</f>
        <v>0</v>
      </c>
      <c r="AC302" s="27">
        <f>IF(AQ302="1",BI302,0)</f>
        <v>0</v>
      </c>
      <c r="AD302" s="27">
        <f>IF(AQ302="7",BH302,0)</f>
        <v>0</v>
      </c>
      <c r="AE302" s="27">
        <f>IF(AQ302="7",BI302,0)</f>
        <v>0</v>
      </c>
      <c r="AF302" s="27">
        <f>IF(AQ302="2",BH302,0)</f>
        <v>0</v>
      </c>
      <c r="AG302" s="27">
        <f>IF(AQ302="2",BI302,0)</f>
        <v>0</v>
      </c>
      <c r="AH302" s="27">
        <f>IF(AQ302="0",BJ302,0)</f>
        <v>0</v>
      </c>
      <c r="AI302" s="9" t="s">
        <v>530</v>
      </c>
      <c r="AJ302" s="27">
        <f>IF(AN302=0,K302,0)</f>
        <v>0</v>
      </c>
      <c r="AK302" s="27">
        <f>IF(AN302=12,K302,0)</f>
        <v>0</v>
      </c>
      <c r="AL302" s="27">
        <f>IF(AN302=21,K302,0)</f>
        <v>0</v>
      </c>
      <c r="AN302" s="27">
        <v>21</v>
      </c>
      <c r="AO302" s="27">
        <f>H302*0</f>
        <v>0</v>
      </c>
      <c r="AP302" s="27">
        <f>H302*(1-0)</f>
        <v>0</v>
      </c>
      <c r="AQ302" s="29" t="s">
        <v>84</v>
      </c>
      <c r="AV302" s="27">
        <f>AW302+AX302</f>
        <v>0</v>
      </c>
      <c r="AW302" s="27">
        <f>G302*AO302</f>
        <v>0</v>
      </c>
      <c r="AX302" s="27">
        <f>G302*AP302</f>
        <v>0</v>
      </c>
      <c r="AY302" s="29" t="s">
        <v>255</v>
      </c>
      <c r="AZ302" s="29" t="s">
        <v>601</v>
      </c>
      <c r="BA302" s="9" t="s">
        <v>539</v>
      </c>
      <c r="BC302" s="27">
        <f>AW302+AX302</f>
        <v>0</v>
      </c>
      <c r="BD302" s="27">
        <f>H302/(100-BE302)*100</f>
        <v>0</v>
      </c>
      <c r="BE302" s="27">
        <v>0</v>
      </c>
      <c r="BF302" s="27">
        <f>302</f>
        <v>302</v>
      </c>
      <c r="BH302" s="27">
        <f>G302*AO302</f>
        <v>0</v>
      </c>
      <c r="BI302" s="27">
        <f>G302*AP302</f>
        <v>0</v>
      </c>
      <c r="BJ302" s="27">
        <f>G302*H302</f>
        <v>0</v>
      </c>
      <c r="BK302" s="27"/>
      <c r="BL302" s="27">
        <v>767</v>
      </c>
      <c r="BW302" s="27">
        <v>21</v>
      </c>
    </row>
    <row r="303" spans="1:47" ht="15">
      <c r="A303" s="23" t="s">
        <v>52</v>
      </c>
      <c r="B303" s="24" t="s">
        <v>530</v>
      </c>
      <c r="C303" s="24" t="s">
        <v>605</v>
      </c>
      <c r="D303" s="164" t="s">
        <v>533</v>
      </c>
      <c r="E303" s="165"/>
      <c r="F303" s="25" t="s">
        <v>4</v>
      </c>
      <c r="G303" s="25" t="s">
        <v>4</v>
      </c>
      <c r="H303" s="25" t="s">
        <v>4</v>
      </c>
      <c r="I303" s="1">
        <f>SUM(I304:I304)</f>
        <v>0</v>
      </c>
      <c r="J303" s="1">
        <f>SUM(J304:J304)</f>
        <v>0</v>
      </c>
      <c r="K303" s="1">
        <f>SUM(K304:K304)</f>
        <v>0</v>
      </c>
      <c r="L303" s="26" t="s">
        <v>52</v>
      </c>
      <c r="AI303" s="9" t="s">
        <v>530</v>
      </c>
      <c r="AS303" s="1">
        <f>SUM(AJ304:AJ304)</f>
        <v>0</v>
      </c>
      <c r="AT303" s="1">
        <f>SUM(AK304:AK304)</f>
        <v>0</v>
      </c>
      <c r="AU303" s="1">
        <f>SUM(AL304:AL304)</f>
        <v>0</v>
      </c>
    </row>
    <row r="304" spans="1:75" ht="13.5" customHeight="1">
      <c r="A304" s="2" t="s">
        <v>606</v>
      </c>
      <c r="B304" s="3" t="s">
        <v>530</v>
      </c>
      <c r="C304" s="3" t="s">
        <v>607</v>
      </c>
      <c r="D304" s="148" t="s">
        <v>608</v>
      </c>
      <c r="E304" s="143"/>
      <c r="F304" s="3" t="s">
        <v>95</v>
      </c>
      <c r="G304" s="27">
        <v>0.00024</v>
      </c>
      <c r="H304" s="27">
        <v>0</v>
      </c>
      <c r="I304" s="27">
        <f>G304*AO304</f>
        <v>0</v>
      </c>
      <c r="J304" s="27">
        <f>G304*AP304</f>
        <v>0</v>
      </c>
      <c r="K304" s="27">
        <f>G304*H304</f>
        <v>0</v>
      </c>
      <c r="L304" s="28" t="s">
        <v>52</v>
      </c>
      <c r="Z304" s="27">
        <f>IF(AQ304="5",BJ304,0)</f>
        <v>0</v>
      </c>
      <c r="AB304" s="27">
        <f>IF(AQ304="1",BH304,0)</f>
        <v>0</v>
      </c>
      <c r="AC304" s="27">
        <f>IF(AQ304="1",BI304,0)</f>
        <v>0</v>
      </c>
      <c r="AD304" s="27">
        <f>IF(AQ304="7",BH304,0)</f>
        <v>0</v>
      </c>
      <c r="AE304" s="27">
        <f>IF(AQ304="7",BI304,0)</f>
        <v>0</v>
      </c>
      <c r="AF304" s="27">
        <f>IF(AQ304="2",BH304,0)</f>
        <v>0</v>
      </c>
      <c r="AG304" s="27">
        <f>IF(AQ304="2",BI304,0)</f>
        <v>0</v>
      </c>
      <c r="AH304" s="27">
        <f>IF(AQ304="0",BJ304,0)</f>
        <v>0</v>
      </c>
      <c r="AI304" s="9" t="s">
        <v>530</v>
      </c>
      <c r="AJ304" s="27">
        <f>IF(AN304=0,K304,0)</f>
        <v>0</v>
      </c>
      <c r="AK304" s="27">
        <f>IF(AN304=12,K304,0)</f>
        <v>0</v>
      </c>
      <c r="AL304" s="27">
        <f>IF(AN304=21,K304,0)</f>
        <v>0</v>
      </c>
      <c r="AN304" s="27">
        <v>21</v>
      </c>
      <c r="AO304" s="27">
        <f>H304*0</f>
        <v>0</v>
      </c>
      <c r="AP304" s="27">
        <f>H304*(1-0)</f>
        <v>0</v>
      </c>
      <c r="AQ304" s="29" t="s">
        <v>78</v>
      </c>
      <c r="AV304" s="27">
        <f>AW304+AX304</f>
        <v>0</v>
      </c>
      <c r="AW304" s="27">
        <f>G304*AO304</f>
        <v>0</v>
      </c>
      <c r="AX304" s="27">
        <f>G304*AP304</f>
        <v>0</v>
      </c>
      <c r="AY304" s="29" t="s">
        <v>609</v>
      </c>
      <c r="AZ304" s="29" t="s">
        <v>610</v>
      </c>
      <c r="BA304" s="9" t="s">
        <v>539</v>
      </c>
      <c r="BC304" s="27">
        <f>AW304+AX304</f>
        <v>0</v>
      </c>
      <c r="BD304" s="27">
        <f>H304/(100-BE304)*100</f>
        <v>0</v>
      </c>
      <c r="BE304" s="27">
        <v>0</v>
      </c>
      <c r="BF304" s="27">
        <f>304</f>
        <v>304</v>
      </c>
      <c r="BH304" s="27">
        <f>G304*AO304</f>
        <v>0</v>
      </c>
      <c r="BI304" s="27">
        <f>G304*AP304</f>
        <v>0</v>
      </c>
      <c r="BJ304" s="27">
        <f>G304*H304</f>
        <v>0</v>
      </c>
      <c r="BK304" s="27"/>
      <c r="BL304" s="27"/>
      <c r="BW304" s="27">
        <v>21</v>
      </c>
    </row>
    <row r="305" spans="1:47" ht="15">
      <c r="A305" s="23" t="s">
        <v>52</v>
      </c>
      <c r="B305" s="24" t="s">
        <v>530</v>
      </c>
      <c r="C305" s="24" t="s">
        <v>611</v>
      </c>
      <c r="D305" s="164" t="s">
        <v>551</v>
      </c>
      <c r="E305" s="165"/>
      <c r="F305" s="25" t="s">
        <v>4</v>
      </c>
      <c r="G305" s="25" t="s">
        <v>4</v>
      </c>
      <c r="H305" s="25" t="s">
        <v>4</v>
      </c>
      <c r="I305" s="1">
        <f>SUM(I306:I306)</f>
        <v>0</v>
      </c>
      <c r="J305" s="1">
        <f>SUM(J306:J306)</f>
        <v>0</v>
      </c>
      <c r="K305" s="1">
        <f>SUM(K306:K306)</f>
        <v>0</v>
      </c>
      <c r="L305" s="26" t="s">
        <v>52</v>
      </c>
      <c r="AI305" s="9" t="s">
        <v>530</v>
      </c>
      <c r="AS305" s="1">
        <f>SUM(AJ306:AJ306)</f>
        <v>0</v>
      </c>
      <c r="AT305" s="1">
        <f>SUM(AK306:AK306)</f>
        <v>0</v>
      </c>
      <c r="AU305" s="1">
        <f>SUM(AL306:AL306)</f>
        <v>0</v>
      </c>
    </row>
    <row r="306" spans="1:75" ht="13.5" customHeight="1">
      <c r="A306" s="2" t="s">
        <v>612</v>
      </c>
      <c r="B306" s="3" t="s">
        <v>530</v>
      </c>
      <c r="C306" s="3" t="s">
        <v>613</v>
      </c>
      <c r="D306" s="148" t="s">
        <v>614</v>
      </c>
      <c r="E306" s="143"/>
      <c r="F306" s="3" t="s">
        <v>95</v>
      </c>
      <c r="G306" s="27">
        <v>0.0042</v>
      </c>
      <c r="H306" s="27">
        <v>0</v>
      </c>
      <c r="I306" s="27">
        <f>G306*AO306</f>
        <v>0</v>
      </c>
      <c r="J306" s="27">
        <f>G306*AP306</f>
        <v>0</v>
      </c>
      <c r="K306" s="27">
        <f>G306*H306</f>
        <v>0</v>
      </c>
      <c r="L306" s="28" t="s">
        <v>52</v>
      </c>
      <c r="Z306" s="27">
        <f>IF(AQ306="5",BJ306,0)</f>
        <v>0</v>
      </c>
      <c r="AB306" s="27">
        <f>IF(AQ306="1",BH306,0)</f>
        <v>0</v>
      </c>
      <c r="AC306" s="27">
        <f>IF(AQ306="1",BI306,0)</f>
        <v>0</v>
      </c>
      <c r="AD306" s="27">
        <f>IF(AQ306="7",BH306,0)</f>
        <v>0</v>
      </c>
      <c r="AE306" s="27">
        <f>IF(AQ306="7",BI306,0)</f>
        <v>0</v>
      </c>
      <c r="AF306" s="27">
        <f>IF(AQ306="2",BH306,0)</f>
        <v>0</v>
      </c>
      <c r="AG306" s="27">
        <f>IF(AQ306="2",BI306,0)</f>
        <v>0</v>
      </c>
      <c r="AH306" s="27">
        <f>IF(AQ306="0",BJ306,0)</f>
        <v>0</v>
      </c>
      <c r="AI306" s="9" t="s">
        <v>530</v>
      </c>
      <c r="AJ306" s="27">
        <f>IF(AN306=0,K306,0)</f>
        <v>0</v>
      </c>
      <c r="AK306" s="27">
        <f>IF(AN306=12,K306,0)</f>
        <v>0</v>
      </c>
      <c r="AL306" s="27">
        <f>IF(AN306=21,K306,0)</f>
        <v>0</v>
      </c>
      <c r="AN306" s="27">
        <v>21</v>
      </c>
      <c r="AO306" s="27">
        <f>H306*0</f>
        <v>0</v>
      </c>
      <c r="AP306" s="27">
        <f>H306*(1-0)</f>
        <v>0</v>
      </c>
      <c r="AQ306" s="29" t="s">
        <v>78</v>
      </c>
      <c r="AV306" s="27">
        <f>AW306+AX306</f>
        <v>0</v>
      </c>
      <c r="AW306" s="27">
        <f>G306*AO306</f>
        <v>0</v>
      </c>
      <c r="AX306" s="27">
        <f>G306*AP306</f>
        <v>0</v>
      </c>
      <c r="AY306" s="29" t="s">
        <v>615</v>
      </c>
      <c r="AZ306" s="29" t="s">
        <v>610</v>
      </c>
      <c r="BA306" s="9" t="s">
        <v>539</v>
      </c>
      <c r="BC306" s="27">
        <f>AW306+AX306</f>
        <v>0</v>
      </c>
      <c r="BD306" s="27">
        <f>H306/(100-BE306)*100</f>
        <v>0</v>
      </c>
      <c r="BE306" s="27">
        <v>0</v>
      </c>
      <c r="BF306" s="27">
        <f>306</f>
        <v>306</v>
      </c>
      <c r="BH306" s="27">
        <f>G306*AO306</f>
        <v>0</v>
      </c>
      <c r="BI306" s="27">
        <f>G306*AP306</f>
        <v>0</v>
      </c>
      <c r="BJ306" s="27">
        <f>G306*H306</f>
        <v>0</v>
      </c>
      <c r="BK306" s="27"/>
      <c r="BL306" s="27"/>
      <c r="BW306" s="27">
        <v>21</v>
      </c>
    </row>
    <row r="307" spans="1:47" ht="15">
      <c r="A307" s="23" t="s">
        <v>52</v>
      </c>
      <c r="B307" s="24" t="s">
        <v>530</v>
      </c>
      <c r="C307" s="24" t="s">
        <v>616</v>
      </c>
      <c r="D307" s="164" t="s">
        <v>567</v>
      </c>
      <c r="E307" s="165"/>
      <c r="F307" s="25" t="s">
        <v>4</v>
      </c>
      <c r="G307" s="25" t="s">
        <v>4</v>
      </c>
      <c r="H307" s="25" t="s">
        <v>4</v>
      </c>
      <c r="I307" s="1">
        <f>SUM(I308:I308)</f>
        <v>0</v>
      </c>
      <c r="J307" s="1">
        <f>SUM(J308:J308)</f>
        <v>0</v>
      </c>
      <c r="K307" s="1">
        <f>SUM(K308:K308)</f>
        <v>0</v>
      </c>
      <c r="L307" s="26" t="s">
        <v>52</v>
      </c>
      <c r="AI307" s="9" t="s">
        <v>530</v>
      </c>
      <c r="AS307" s="1">
        <f>SUM(AJ308:AJ308)</f>
        <v>0</v>
      </c>
      <c r="AT307" s="1">
        <f>SUM(AK308:AK308)</f>
        <v>0</v>
      </c>
      <c r="AU307" s="1">
        <f>SUM(AL308:AL308)</f>
        <v>0</v>
      </c>
    </row>
    <row r="308" spans="1:75" ht="13.5" customHeight="1">
      <c r="A308" s="2" t="s">
        <v>617</v>
      </c>
      <c r="B308" s="3" t="s">
        <v>530</v>
      </c>
      <c r="C308" s="3" t="s">
        <v>618</v>
      </c>
      <c r="D308" s="148" t="s">
        <v>619</v>
      </c>
      <c r="E308" s="143"/>
      <c r="F308" s="3" t="s">
        <v>95</v>
      </c>
      <c r="G308" s="27">
        <v>0.00243</v>
      </c>
      <c r="H308" s="27">
        <v>0</v>
      </c>
      <c r="I308" s="27">
        <f>G308*AO308</f>
        <v>0</v>
      </c>
      <c r="J308" s="27">
        <f>G308*AP308</f>
        <v>0</v>
      </c>
      <c r="K308" s="27">
        <f>G308*H308</f>
        <v>0</v>
      </c>
      <c r="L308" s="28" t="s">
        <v>52</v>
      </c>
      <c r="Z308" s="27">
        <f>IF(AQ308="5",BJ308,0)</f>
        <v>0</v>
      </c>
      <c r="AB308" s="27">
        <f>IF(AQ308="1",BH308,0)</f>
        <v>0</v>
      </c>
      <c r="AC308" s="27">
        <f>IF(AQ308="1",BI308,0)</f>
        <v>0</v>
      </c>
      <c r="AD308" s="27">
        <f>IF(AQ308="7",BH308,0)</f>
        <v>0</v>
      </c>
      <c r="AE308" s="27">
        <f>IF(AQ308="7",BI308,0)</f>
        <v>0</v>
      </c>
      <c r="AF308" s="27">
        <f>IF(AQ308="2",BH308,0)</f>
        <v>0</v>
      </c>
      <c r="AG308" s="27">
        <f>IF(AQ308="2",BI308,0)</f>
        <v>0</v>
      </c>
      <c r="AH308" s="27">
        <f>IF(AQ308="0",BJ308,0)</f>
        <v>0</v>
      </c>
      <c r="AI308" s="9" t="s">
        <v>530</v>
      </c>
      <c r="AJ308" s="27">
        <f>IF(AN308=0,K308,0)</f>
        <v>0</v>
      </c>
      <c r="AK308" s="27">
        <f>IF(AN308=12,K308,0)</f>
        <v>0</v>
      </c>
      <c r="AL308" s="27">
        <f>IF(AN308=21,K308,0)</f>
        <v>0</v>
      </c>
      <c r="AN308" s="27">
        <v>21</v>
      </c>
      <c r="AO308" s="27">
        <f>H308*0</f>
        <v>0</v>
      </c>
      <c r="AP308" s="27">
        <f>H308*(1-0)</f>
        <v>0</v>
      </c>
      <c r="AQ308" s="29" t="s">
        <v>78</v>
      </c>
      <c r="AV308" s="27">
        <f>AW308+AX308</f>
        <v>0</v>
      </c>
      <c r="AW308" s="27">
        <f>G308*AO308</f>
        <v>0</v>
      </c>
      <c r="AX308" s="27">
        <f>G308*AP308</f>
        <v>0</v>
      </c>
      <c r="AY308" s="29" t="s">
        <v>620</v>
      </c>
      <c r="AZ308" s="29" t="s">
        <v>610</v>
      </c>
      <c r="BA308" s="9" t="s">
        <v>539</v>
      </c>
      <c r="BC308" s="27">
        <f>AW308+AX308</f>
        <v>0</v>
      </c>
      <c r="BD308" s="27">
        <f>H308/(100-BE308)*100</f>
        <v>0</v>
      </c>
      <c r="BE308" s="27">
        <v>0</v>
      </c>
      <c r="BF308" s="27">
        <f>308</f>
        <v>308</v>
      </c>
      <c r="BH308" s="27">
        <f>G308*AO308</f>
        <v>0</v>
      </c>
      <c r="BI308" s="27">
        <f>G308*AP308</f>
        <v>0</v>
      </c>
      <c r="BJ308" s="27">
        <f>G308*H308</f>
        <v>0</v>
      </c>
      <c r="BK308" s="27"/>
      <c r="BL308" s="27"/>
      <c r="BW308" s="27">
        <v>21</v>
      </c>
    </row>
    <row r="309" spans="1:47" ht="15">
      <c r="A309" s="23" t="s">
        <v>52</v>
      </c>
      <c r="B309" s="24" t="s">
        <v>530</v>
      </c>
      <c r="C309" s="24" t="s">
        <v>621</v>
      </c>
      <c r="D309" s="164" t="s">
        <v>242</v>
      </c>
      <c r="E309" s="165"/>
      <c r="F309" s="25" t="s">
        <v>4</v>
      </c>
      <c r="G309" s="25" t="s">
        <v>4</v>
      </c>
      <c r="H309" s="25" t="s">
        <v>4</v>
      </c>
      <c r="I309" s="1">
        <f>SUM(I310:I310)</f>
        <v>0</v>
      </c>
      <c r="J309" s="1">
        <f>SUM(J310:J310)</f>
        <v>0</v>
      </c>
      <c r="K309" s="1">
        <f>SUM(K310:K310)</f>
        <v>0</v>
      </c>
      <c r="L309" s="26" t="s">
        <v>52</v>
      </c>
      <c r="AI309" s="9" t="s">
        <v>530</v>
      </c>
      <c r="AS309" s="1">
        <f>SUM(AJ310:AJ310)</f>
        <v>0</v>
      </c>
      <c r="AT309" s="1">
        <f>SUM(AK310:AK310)</f>
        <v>0</v>
      </c>
      <c r="AU309" s="1">
        <f>SUM(AL310:AL310)</f>
        <v>0</v>
      </c>
    </row>
    <row r="310" spans="1:75" ht="13.5" customHeight="1">
      <c r="A310" s="2" t="s">
        <v>622</v>
      </c>
      <c r="B310" s="3" t="s">
        <v>530</v>
      </c>
      <c r="C310" s="3" t="s">
        <v>623</v>
      </c>
      <c r="D310" s="148" t="s">
        <v>624</v>
      </c>
      <c r="E310" s="143"/>
      <c r="F310" s="3" t="s">
        <v>95</v>
      </c>
      <c r="G310" s="27">
        <v>0.02478</v>
      </c>
      <c r="H310" s="27">
        <v>0</v>
      </c>
      <c r="I310" s="27">
        <f>G310*AO310</f>
        <v>0</v>
      </c>
      <c r="J310" s="27">
        <f>G310*AP310</f>
        <v>0</v>
      </c>
      <c r="K310" s="27">
        <f>G310*H310</f>
        <v>0</v>
      </c>
      <c r="L310" s="28" t="s">
        <v>52</v>
      </c>
      <c r="Z310" s="27">
        <f>IF(AQ310="5",BJ310,0)</f>
        <v>0</v>
      </c>
      <c r="AB310" s="27">
        <f>IF(AQ310="1",BH310,0)</f>
        <v>0</v>
      </c>
      <c r="AC310" s="27">
        <f>IF(AQ310="1",BI310,0)</f>
        <v>0</v>
      </c>
      <c r="AD310" s="27">
        <f>IF(AQ310="7",BH310,0)</f>
        <v>0</v>
      </c>
      <c r="AE310" s="27">
        <f>IF(AQ310="7",BI310,0)</f>
        <v>0</v>
      </c>
      <c r="AF310" s="27">
        <f>IF(AQ310="2",BH310,0)</f>
        <v>0</v>
      </c>
      <c r="AG310" s="27">
        <f>IF(AQ310="2",BI310,0)</f>
        <v>0</v>
      </c>
      <c r="AH310" s="27">
        <f>IF(AQ310="0",BJ310,0)</f>
        <v>0</v>
      </c>
      <c r="AI310" s="9" t="s">
        <v>530</v>
      </c>
      <c r="AJ310" s="27">
        <f>IF(AN310=0,K310,0)</f>
        <v>0</v>
      </c>
      <c r="AK310" s="27">
        <f>IF(AN310=12,K310,0)</f>
        <v>0</v>
      </c>
      <c r="AL310" s="27">
        <f>IF(AN310=21,K310,0)</f>
        <v>0</v>
      </c>
      <c r="AN310" s="27">
        <v>21</v>
      </c>
      <c r="AO310" s="27">
        <f>H310*0</f>
        <v>0</v>
      </c>
      <c r="AP310" s="27">
        <f>H310*(1-0)</f>
        <v>0</v>
      </c>
      <c r="AQ310" s="29" t="s">
        <v>78</v>
      </c>
      <c r="AV310" s="27">
        <f>AW310+AX310</f>
        <v>0</v>
      </c>
      <c r="AW310" s="27">
        <f>G310*AO310</f>
        <v>0</v>
      </c>
      <c r="AX310" s="27">
        <f>G310*AP310</f>
        <v>0</v>
      </c>
      <c r="AY310" s="29" t="s">
        <v>625</v>
      </c>
      <c r="AZ310" s="29" t="s">
        <v>610</v>
      </c>
      <c r="BA310" s="9" t="s">
        <v>539</v>
      </c>
      <c r="BC310" s="27">
        <f>AW310+AX310</f>
        <v>0</v>
      </c>
      <c r="BD310" s="27">
        <f>H310/(100-BE310)*100</f>
        <v>0</v>
      </c>
      <c r="BE310" s="27">
        <v>0</v>
      </c>
      <c r="BF310" s="27">
        <f>310</f>
        <v>310</v>
      </c>
      <c r="BH310" s="27">
        <f>G310*AO310</f>
        <v>0</v>
      </c>
      <c r="BI310" s="27">
        <f>G310*AP310</f>
        <v>0</v>
      </c>
      <c r="BJ310" s="27">
        <f>G310*H310</f>
        <v>0</v>
      </c>
      <c r="BK310" s="27"/>
      <c r="BL310" s="27"/>
      <c r="BW310" s="27">
        <v>21</v>
      </c>
    </row>
    <row r="311" spans="1:47" ht="15">
      <c r="A311" s="23" t="s">
        <v>52</v>
      </c>
      <c r="B311" s="24" t="s">
        <v>530</v>
      </c>
      <c r="C311" s="24" t="s">
        <v>626</v>
      </c>
      <c r="D311" s="164" t="s">
        <v>251</v>
      </c>
      <c r="E311" s="165"/>
      <c r="F311" s="25" t="s">
        <v>4</v>
      </c>
      <c r="G311" s="25" t="s">
        <v>4</v>
      </c>
      <c r="H311" s="25" t="s">
        <v>4</v>
      </c>
      <c r="I311" s="1">
        <f>SUM(I312:I312)</f>
        <v>0</v>
      </c>
      <c r="J311" s="1">
        <f>SUM(J312:J312)</f>
        <v>0</v>
      </c>
      <c r="K311" s="1">
        <f>SUM(K312:K312)</f>
        <v>0</v>
      </c>
      <c r="L311" s="26" t="s">
        <v>52</v>
      </c>
      <c r="AI311" s="9" t="s">
        <v>530</v>
      </c>
      <c r="AS311" s="1">
        <f>SUM(AJ312:AJ312)</f>
        <v>0</v>
      </c>
      <c r="AT311" s="1">
        <f>SUM(AK312:AK312)</f>
        <v>0</v>
      </c>
      <c r="AU311" s="1">
        <f>SUM(AL312:AL312)</f>
        <v>0</v>
      </c>
    </row>
    <row r="312" spans="1:75" ht="13.5" customHeight="1">
      <c r="A312" s="2" t="s">
        <v>627</v>
      </c>
      <c r="B312" s="3" t="s">
        <v>530</v>
      </c>
      <c r="C312" s="3" t="s">
        <v>628</v>
      </c>
      <c r="D312" s="148" t="s">
        <v>629</v>
      </c>
      <c r="E312" s="143"/>
      <c r="F312" s="3" t="s">
        <v>95</v>
      </c>
      <c r="G312" s="27">
        <v>0.0006</v>
      </c>
      <c r="H312" s="27">
        <v>0</v>
      </c>
      <c r="I312" s="27">
        <f>G312*AO312</f>
        <v>0</v>
      </c>
      <c r="J312" s="27">
        <f>G312*AP312</f>
        <v>0</v>
      </c>
      <c r="K312" s="27">
        <f>G312*H312</f>
        <v>0</v>
      </c>
      <c r="L312" s="28" t="s">
        <v>52</v>
      </c>
      <c r="Z312" s="27">
        <f>IF(AQ312="5",BJ312,0)</f>
        <v>0</v>
      </c>
      <c r="AB312" s="27">
        <f>IF(AQ312="1",BH312,0)</f>
        <v>0</v>
      </c>
      <c r="AC312" s="27">
        <f>IF(AQ312="1",BI312,0)</f>
        <v>0</v>
      </c>
      <c r="AD312" s="27">
        <f>IF(AQ312="7",BH312,0)</f>
        <v>0</v>
      </c>
      <c r="AE312" s="27">
        <f>IF(AQ312="7",BI312,0)</f>
        <v>0</v>
      </c>
      <c r="AF312" s="27">
        <f>IF(AQ312="2",BH312,0)</f>
        <v>0</v>
      </c>
      <c r="AG312" s="27">
        <f>IF(AQ312="2",BI312,0)</f>
        <v>0</v>
      </c>
      <c r="AH312" s="27">
        <f>IF(AQ312="0",BJ312,0)</f>
        <v>0</v>
      </c>
      <c r="AI312" s="9" t="s">
        <v>530</v>
      </c>
      <c r="AJ312" s="27">
        <f>IF(AN312=0,K312,0)</f>
        <v>0</v>
      </c>
      <c r="AK312" s="27">
        <f>IF(AN312=12,K312,0)</f>
        <v>0</v>
      </c>
      <c r="AL312" s="27">
        <f>IF(AN312=21,K312,0)</f>
        <v>0</v>
      </c>
      <c r="AN312" s="27">
        <v>21</v>
      </c>
      <c r="AO312" s="27">
        <f>H312*0</f>
        <v>0</v>
      </c>
      <c r="AP312" s="27">
        <f>H312*(1-0)</f>
        <v>0</v>
      </c>
      <c r="AQ312" s="29" t="s">
        <v>78</v>
      </c>
      <c r="AV312" s="27">
        <f>AW312+AX312</f>
        <v>0</v>
      </c>
      <c r="AW312" s="27">
        <f>G312*AO312</f>
        <v>0</v>
      </c>
      <c r="AX312" s="27">
        <f>G312*AP312</f>
        <v>0</v>
      </c>
      <c r="AY312" s="29" t="s">
        <v>630</v>
      </c>
      <c r="AZ312" s="29" t="s">
        <v>610</v>
      </c>
      <c r="BA312" s="9" t="s">
        <v>539</v>
      </c>
      <c r="BC312" s="27">
        <f>AW312+AX312</f>
        <v>0</v>
      </c>
      <c r="BD312" s="27">
        <f>H312/(100-BE312)*100</f>
        <v>0</v>
      </c>
      <c r="BE312" s="27">
        <v>0</v>
      </c>
      <c r="BF312" s="27">
        <f>312</f>
        <v>312</v>
      </c>
      <c r="BH312" s="27">
        <f>G312*AO312</f>
        <v>0</v>
      </c>
      <c r="BI312" s="27">
        <f>G312*AP312</f>
        <v>0</v>
      </c>
      <c r="BJ312" s="27">
        <f>G312*H312</f>
        <v>0</v>
      </c>
      <c r="BK312" s="27"/>
      <c r="BL312" s="27"/>
      <c r="BW312" s="27">
        <v>21</v>
      </c>
    </row>
    <row r="313" spans="1:47" ht="15">
      <c r="A313" s="23" t="s">
        <v>52</v>
      </c>
      <c r="B313" s="24" t="s">
        <v>530</v>
      </c>
      <c r="C313" s="24" t="s">
        <v>52</v>
      </c>
      <c r="D313" s="164" t="s">
        <v>631</v>
      </c>
      <c r="E313" s="165"/>
      <c r="F313" s="25" t="s">
        <v>4</v>
      </c>
      <c r="G313" s="25" t="s">
        <v>4</v>
      </c>
      <c r="H313" s="25" t="s">
        <v>4</v>
      </c>
      <c r="I313" s="1">
        <f>SUM(I314:I318)</f>
        <v>0</v>
      </c>
      <c r="J313" s="1">
        <f>SUM(J314:J318)</f>
        <v>0</v>
      </c>
      <c r="K313" s="1">
        <f>SUM(K314:K318)</f>
        <v>0</v>
      </c>
      <c r="L313" s="26" t="s">
        <v>52</v>
      </c>
      <c r="AI313" s="9" t="s">
        <v>530</v>
      </c>
      <c r="AS313" s="1">
        <f>SUM(AJ314:AJ318)</f>
        <v>0</v>
      </c>
      <c r="AT313" s="1">
        <f>SUM(AK314:AK318)</f>
        <v>0</v>
      </c>
      <c r="AU313" s="1">
        <f>SUM(AL314:AL318)</f>
        <v>0</v>
      </c>
    </row>
    <row r="314" spans="1:75" ht="13.5" customHeight="1">
      <c r="A314" s="2" t="s">
        <v>632</v>
      </c>
      <c r="B314" s="3" t="s">
        <v>530</v>
      </c>
      <c r="C314" s="3" t="s">
        <v>633</v>
      </c>
      <c r="D314" s="148" t="s">
        <v>634</v>
      </c>
      <c r="E314" s="143"/>
      <c r="F314" s="3" t="s">
        <v>635</v>
      </c>
      <c r="G314" s="27">
        <v>24</v>
      </c>
      <c r="H314" s="27">
        <v>0</v>
      </c>
      <c r="I314" s="27">
        <f>G314*AO314</f>
        <v>0</v>
      </c>
      <c r="J314" s="27">
        <f>G314*AP314</f>
        <v>0</v>
      </c>
      <c r="K314" s="27">
        <f>G314*H314</f>
        <v>0</v>
      </c>
      <c r="L314" s="28" t="s">
        <v>52</v>
      </c>
      <c r="Z314" s="27">
        <f>IF(AQ314="5",BJ314,0)</f>
        <v>0</v>
      </c>
      <c r="AB314" s="27">
        <f>IF(AQ314="1",BH314,0)</f>
        <v>0</v>
      </c>
      <c r="AC314" s="27">
        <f>IF(AQ314="1",BI314,0)</f>
        <v>0</v>
      </c>
      <c r="AD314" s="27">
        <f>IF(AQ314="7",BH314,0)</f>
        <v>0</v>
      </c>
      <c r="AE314" s="27">
        <f>IF(AQ314="7",BI314,0)</f>
        <v>0</v>
      </c>
      <c r="AF314" s="27">
        <f>IF(AQ314="2",BH314,0)</f>
        <v>0</v>
      </c>
      <c r="AG314" s="27">
        <f>IF(AQ314="2",BI314,0)</f>
        <v>0</v>
      </c>
      <c r="AH314" s="27">
        <f>IF(AQ314="0",BJ314,0)</f>
        <v>0</v>
      </c>
      <c r="AI314" s="9" t="s">
        <v>530</v>
      </c>
      <c r="AJ314" s="27">
        <f>IF(AN314=0,K314,0)</f>
        <v>0</v>
      </c>
      <c r="AK314" s="27">
        <f>IF(AN314=12,K314,0)</f>
        <v>0</v>
      </c>
      <c r="AL314" s="27">
        <f>IF(AN314=21,K314,0)</f>
        <v>0</v>
      </c>
      <c r="AN314" s="27">
        <v>21</v>
      </c>
      <c r="AO314" s="27">
        <f>H314*0</f>
        <v>0</v>
      </c>
      <c r="AP314" s="27">
        <f>H314*(1-0)</f>
        <v>0</v>
      </c>
      <c r="AQ314" s="29" t="s">
        <v>57</v>
      </c>
      <c r="AV314" s="27">
        <f>AW314+AX314</f>
        <v>0</v>
      </c>
      <c r="AW314" s="27">
        <f>G314*AO314</f>
        <v>0</v>
      </c>
      <c r="AX314" s="27">
        <f>G314*AP314</f>
        <v>0</v>
      </c>
      <c r="AY314" s="29" t="s">
        <v>636</v>
      </c>
      <c r="AZ314" s="29" t="s">
        <v>637</v>
      </c>
      <c r="BA314" s="9" t="s">
        <v>539</v>
      </c>
      <c r="BC314" s="27">
        <f>AW314+AX314</f>
        <v>0</v>
      </c>
      <c r="BD314" s="27">
        <f>H314/(100-BE314)*100</f>
        <v>0</v>
      </c>
      <c r="BE314" s="27">
        <v>0</v>
      </c>
      <c r="BF314" s="27">
        <f>314</f>
        <v>314</v>
      </c>
      <c r="BH314" s="27">
        <f>G314*AO314</f>
        <v>0</v>
      </c>
      <c r="BI314" s="27">
        <f>G314*AP314</f>
        <v>0</v>
      </c>
      <c r="BJ314" s="27">
        <f>G314*H314</f>
        <v>0</v>
      </c>
      <c r="BK314" s="27"/>
      <c r="BL314" s="27"/>
      <c r="BW314" s="27">
        <v>21</v>
      </c>
    </row>
    <row r="315" spans="1:75" ht="13.5" customHeight="1">
      <c r="A315" s="2" t="s">
        <v>638</v>
      </c>
      <c r="B315" s="3" t="s">
        <v>530</v>
      </c>
      <c r="C315" s="3" t="s">
        <v>639</v>
      </c>
      <c r="D315" s="148" t="s">
        <v>640</v>
      </c>
      <c r="E315" s="143"/>
      <c r="F315" s="3" t="s">
        <v>635</v>
      </c>
      <c r="G315" s="27">
        <v>8</v>
      </c>
      <c r="H315" s="27">
        <v>0</v>
      </c>
      <c r="I315" s="27">
        <f>G315*AO315</f>
        <v>0</v>
      </c>
      <c r="J315" s="27">
        <f>G315*AP315</f>
        <v>0</v>
      </c>
      <c r="K315" s="27">
        <f>G315*H315</f>
        <v>0</v>
      </c>
      <c r="L315" s="28" t="s">
        <v>52</v>
      </c>
      <c r="Z315" s="27">
        <f>IF(AQ315="5",BJ315,0)</f>
        <v>0</v>
      </c>
      <c r="AB315" s="27">
        <f>IF(AQ315="1",BH315,0)</f>
        <v>0</v>
      </c>
      <c r="AC315" s="27">
        <f>IF(AQ315="1",BI315,0)</f>
        <v>0</v>
      </c>
      <c r="AD315" s="27">
        <f>IF(AQ315="7",BH315,0)</f>
        <v>0</v>
      </c>
      <c r="AE315" s="27">
        <f>IF(AQ315="7",BI315,0)</f>
        <v>0</v>
      </c>
      <c r="AF315" s="27">
        <f>IF(AQ315="2",BH315,0)</f>
        <v>0</v>
      </c>
      <c r="AG315" s="27">
        <f>IF(AQ315="2",BI315,0)</f>
        <v>0</v>
      </c>
      <c r="AH315" s="27">
        <f>IF(AQ315="0",BJ315,0)</f>
        <v>0</v>
      </c>
      <c r="AI315" s="9" t="s">
        <v>530</v>
      </c>
      <c r="AJ315" s="27">
        <f>IF(AN315=0,K315,0)</f>
        <v>0</v>
      </c>
      <c r="AK315" s="27">
        <f>IF(AN315=12,K315,0)</f>
        <v>0</v>
      </c>
      <c r="AL315" s="27">
        <f>IF(AN315=21,K315,0)</f>
        <v>0</v>
      </c>
      <c r="AN315" s="27">
        <v>21</v>
      </c>
      <c r="AO315" s="27">
        <f>H315*0</f>
        <v>0</v>
      </c>
      <c r="AP315" s="27">
        <f>H315*(1-0)</f>
        <v>0</v>
      </c>
      <c r="AQ315" s="29" t="s">
        <v>57</v>
      </c>
      <c r="AV315" s="27">
        <f>AW315+AX315</f>
        <v>0</v>
      </c>
      <c r="AW315" s="27">
        <f>G315*AO315</f>
        <v>0</v>
      </c>
      <c r="AX315" s="27">
        <f>G315*AP315</f>
        <v>0</v>
      </c>
      <c r="AY315" s="29" t="s">
        <v>636</v>
      </c>
      <c r="AZ315" s="29" t="s">
        <v>637</v>
      </c>
      <c r="BA315" s="9" t="s">
        <v>539</v>
      </c>
      <c r="BC315" s="27">
        <f>AW315+AX315</f>
        <v>0</v>
      </c>
      <c r="BD315" s="27">
        <f>H315/(100-BE315)*100</f>
        <v>0</v>
      </c>
      <c r="BE315" s="27">
        <v>0</v>
      </c>
      <c r="BF315" s="27">
        <f>315</f>
        <v>315</v>
      </c>
      <c r="BH315" s="27">
        <f>G315*AO315</f>
        <v>0</v>
      </c>
      <c r="BI315" s="27">
        <f>G315*AP315</f>
        <v>0</v>
      </c>
      <c r="BJ315" s="27">
        <f>G315*H315</f>
        <v>0</v>
      </c>
      <c r="BK315" s="27"/>
      <c r="BL315" s="27"/>
      <c r="BW315" s="27">
        <v>21</v>
      </c>
    </row>
    <row r="316" spans="1:75" ht="13.5" customHeight="1">
      <c r="A316" s="2" t="s">
        <v>641</v>
      </c>
      <c r="B316" s="3" t="s">
        <v>530</v>
      </c>
      <c r="C316" s="3" t="s">
        <v>642</v>
      </c>
      <c r="D316" s="148" t="s">
        <v>643</v>
      </c>
      <c r="E316" s="143"/>
      <c r="F316" s="3" t="s">
        <v>635</v>
      </c>
      <c r="G316" s="27">
        <v>8</v>
      </c>
      <c r="H316" s="27">
        <v>0</v>
      </c>
      <c r="I316" s="27">
        <f>G316*AO316</f>
        <v>0</v>
      </c>
      <c r="J316" s="27">
        <f>G316*AP316</f>
        <v>0</v>
      </c>
      <c r="K316" s="27">
        <f>G316*H316</f>
        <v>0</v>
      </c>
      <c r="L316" s="28" t="s">
        <v>52</v>
      </c>
      <c r="Z316" s="27">
        <f>IF(AQ316="5",BJ316,0)</f>
        <v>0</v>
      </c>
      <c r="AB316" s="27">
        <f>IF(AQ316="1",BH316,0)</f>
        <v>0</v>
      </c>
      <c r="AC316" s="27">
        <f>IF(AQ316="1",BI316,0)</f>
        <v>0</v>
      </c>
      <c r="AD316" s="27">
        <f>IF(AQ316="7",BH316,0)</f>
        <v>0</v>
      </c>
      <c r="AE316" s="27">
        <f>IF(AQ316="7",BI316,0)</f>
        <v>0</v>
      </c>
      <c r="AF316" s="27">
        <f>IF(AQ316="2",BH316,0)</f>
        <v>0</v>
      </c>
      <c r="AG316" s="27">
        <f>IF(AQ316="2",BI316,0)</f>
        <v>0</v>
      </c>
      <c r="AH316" s="27">
        <f>IF(AQ316="0",BJ316,0)</f>
        <v>0</v>
      </c>
      <c r="AI316" s="9" t="s">
        <v>530</v>
      </c>
      <c r="AJ316" s="27">
        <f>IF(AN316=0,K316,0)</f>
        <v>0</v>
      </c>
      <c r="AK316" s="27">
        <f>IF(AN316=12,K316,0)</f>
        <v>0</v>
      </c>
      <c r="AL316" s="27">
        <f>IF(AN316=21,K316,0)</f>
        <v>0</v>
      </c>
      <c r="AN316" s="27">
        <v>21</v>
      </c>
      <c r="AO316" s="27">
        <f>H316*0</f>
        <v>0</v>
      </c>
      <c r="AP316" s="27">
        <f>H316*(1-0)</f>
        <v>0</v>
      </c>
      <c r="AQ316" s="29" t="s">
        <v>57</v>
      </c>
      <c r="AV316" s="27">
        <f>AW316+AX316</f>
        <v>0</v>
      </c>
      <c r="AW316" s="27">
        <f>G316*AO316</f>
        <v>0</v>
      </c>
      <c r="AX316" s="27">
        <f>G316*AP316</f>
        <v>0</v>
      </c>
      <c r="AY316" s="29" t="s">
        <v>636</v>
      </c>
      <c r="AZ316" s="29" t="s">
        <v>637</v>
      </c>
      <c r="BA316" s="9" t="s">
        <v>539</v>
      </c>
      <c r="BC316" s="27">
        <f>AW316+AX316</f>
        <v>0</v>
      </c>
      <c r="BD316" s="27">
        <f>H316/(100-BE316)*100</f>
        <v>0</v>
      </c>
      <c r="BE316" s="27">
        <v>0</v>
      </c>
      <c r="BF316" s="27">
        <f>316</f>
        <v>316</v>
      </c>
      <c r="BH316" s="27">
        <f>G316*AO316</f>
        <v>0</v>
      </c>
      <c r="BI316" s="27">
        <f>G316*AP316</f>
        <v>0</v>
      </c>
      <c r="BJ316" s="27">
        <f>G316*H316</f>
        <v>0</v>
      </c>
      <c r="BK316" s="27"/>
      <c r="BL316" s="27"/>
      <c r="BW316" s="27">
        <v>21</v>
      </c>
    </row>
    <row r="317" spans="1:75" ht="13.5" customHeight="1">
      <c r="A317" s="2" t="s">
        <v>644</v>
      </c>
      <c r="B317" s="3" t="s">
        <v>530</v>
      </c>
      <c r="C317" s="3" t="s">
        <v>645</v>
      </c>
      <c r="D317" s="148" t="s">
        <v>646</v>
      </c>
      <c r="E317" s="143"/>
      <c r="F317" s="3" t="s">
        <v>635</v>
      </c>
      <c r="G317" s="27">
        <v>8</v>
      </c>
      <c r="H317" s="27">
        <v>0</v>
      </c>
      <c r="I317" s="27">
        <f>G317*AO317</f>
        <v>0</v>
      </c>
      <c r="J317" s="27">
        <f>G317*AP317</f>
        <v>0</v>
      </c>
      <c r="K317" s="27">
        <f>G317*H317</f>
        <v>0</v>
      </c>
      <c r="L317" s="28" t="s">
        <v>52</v>
      </c>
      <c r="Z317" s="27">
        <f>IF(AQ317="5",BJ317,0)</f>
        <v>0</v>
      </c>
      <c r="AB317" s="27">
        <f>IF(AQ317="1",BH317,0)</f>
        <v>0</v>
      </c>
      <c r="AC317" s="27">
        <f>IF(AQ317="1",BI317,0)</f>
        <v>0</v>
      </c>
      <c r="AD317" s="27">
        <f>IF(AQ317="7",BH317,0)</f>
        <v>0</v>
      </c>
      <c r="AE317" s="27">
        <f>IF(AQ317="7",BI317,0)</f>
        <v>0</v>
      </c>
      <c r="AF317" s="27">
        <f>IF(AQ317="2",BH317,0)</f>
        <v>0</v>
      </c>
      <c r="AG317" s="27">
        <f>IF(AQ317="2",BI317,0)</f>
        <v>0</v>
      </c>
      <c r="AH317" s="27">
        <f>IF(AQ317="0",BJ317,0)</f>
        <v>0</v>
      </c>
      <c r="AI317" s="9" t="s">
        <v>530</v>
      </c>
      <c r="AJ317" s="27">
        <f>IF(AN317=0,K317,0)</f>
        <v>0</v>
      </c>
      <c r="AK317" s="27">
        <f>IF(AN317=12,K317,0)</f>
        <v>0</v>
      </c>
      <c r="AL317" s="27">
        <f>IF(AN317=21,K317,0)</f>
        <v>0</v>
      </c>
      <c r="AN317" s="27">
        <v>21</v>
      </c>
      <c r="AO317" s="27">
        <f>H317*0</f>
        <v>0</v>
      </c>
      <c r="AP317" s="27">
        <f>H317*(1-0)</f>
        <v>0</v>
      </c>
      <c r="AQ317" s="29" t="s">
        <v>57</v>
      </c>
      <c r="AV317" s="27">
        <f>AW317+AX317</f>
        <v>0</v>
      </c>
      <c r="AW317" s="27">
        <f>G317*AO317</f>
        <v>0</v>
      </c>
      <c r="AX317" s="27">
        <f>G317*AP317</f>
        <v>0</v>
      </c>
      <c r="AY317" s="29" t="s">
        <v>636</v>
      </c>
      <c r="AZ317" s="29" t="s">
        <v>637</v>
      </c>
      <c r="BA317" s="9" t="s">
        <v>539</v>
      </c>
      <c r="BC317" s="27">
        <f>AW317+AX317</f>
        <v>0</v>
      </c>
      <c r="BD317" s="27">
        <f>H317/(100-BE317)*100</f>
        <v>0</v>
      </c>
      <c r="BE317" s="27">
        <v>0</v>
      </c>
      <c r="BF317" s="27">
        <f>317</f>
        <v>317</v>
      </c>
      <c r="BH317" s="27">
        <f>G317*AO317</f>
        <v>0</v>
      </c>
      <c r="BI317" s="27">
        <f>G317*AP317</f>
        <v>0</v>
      </c>
      <c r="BJ317" s="27">
        <f>G317*H317</f>
        <v>0</v>
      </c>
      <c r="BK317" s="27"/>
      <c r="BL317" s="27"/>
      <c r="BW317" s="27">
        <v>21</v>
      </c>
    </row>
    <row r="318" spans="1:75" ht="13.5" customHeight="1">
      <c r="A318" s="2" t="s">
        <v>647</v>
      </c>
      <c r="B318" s="3" t="s">
        <v>530</v>
      </c>
      <c r="C318" s="3" t="s">
        <v>648</v>
      </c>
      <c r="D318" s="148" t="s">
        <v>649</v>
      </c>
      <c r="E318" s="143"/>
      <c r="F318" s="3" t="s">
        <v>635</v>
      </c>
      <c r="G318" s="27">
        <v>24</v>
      </c>
      <c r="H318" s="27">
        <v>0</v>
      </c>
      <c r="I318" s="27">
        <f>G318*AO318</f>
        <v>0</v>
      </c>
      <c r="J318" s="27">
        <f>G318*AP318</f>
        <v>0</v>
      </c>
      <c r="K318" s="27">
        <f>G318*H318</f>
        <v>0</v>
      </c>
      <c r="L318" s="28" t="s">
        <v>52</v>
      </c>
      <c r="Z318" s="27">
        <f>IF(AQ318="5",BJ318,0)</f>
        <v>0</v>
      </c>
      <c r="AB318" s="27">
        <f>IF(AQ318="1",BH318,0)</f>
        <v>0</v>
      </c>
      <c r="AC318" s="27">
        <f>IF(AQ318="1",BI318,0)</f>
        <v>0</v>
      </c>
      <c r="AD318" s="27">
        <f>IF(AQ318="7",BH318,0)</f>
        <v>0</v>
      </c>
      <c r="AE318" s="27">
        <f>IF(AQ318="7",BI318,0)</f>
        <v>0</v>
      </c>
      <c r="AF318" s="27">
        <f>IF(AQ318="2",BH318,0)</f>
        <v>0</v>
      </c>
      <c r="AG318" s="27">
        <f>IF(AQ318="2",BI318,0)</f>
        <v>0</v>
      </c>
      <c r="AH318" s="27">
        <f>IF(AQ318="0",BJ318,0)</f>
        <v>0</v>
      </c>
      <c r="AI318" s="9" t="s">
        <v>530</v>
      </c>
      <c r="AJ318" s="27">
        <f>IF(AN318=0,K318,0)</f>
        <v>0</v>
      </c>
      <c r="AK318" s="27">
        <f>IF(AN318=12,K318,0)</f>
        <v>0</v>
      </c>
      <c r="AL318" s="27">
        <f>IF(AN318=21,K318,0)</f>
        <v>0</v>
      </c>
      <c r="AN318" s="27">
        <v>21</v>
      </c>
      <c r="AO318" s="27">
        <f>H318*0</f>
        <v>0</v>
      </c>
      <c r="AP318" s="27">
        <f>H318*(1-0)</f>
        <v>0</v>
      </c>
      <c r="AQ318" s="29" t="s">
        <v>57</v>
      </c>
      <c r="AV318" s="27">
        <f>AW318+AX318</f>
        <v>0</v>
      </c>
      <c r="AW318" s="27">
        <f>G318*AO318</f>
        <v>0</v>
      </c>
      <c r="AX318" s="27">
        <f>G318*AP318</f>
        <v>0</v>
      </c>
      <c r="AY318" s="29" t="s">
        <v>636</v>
      </c>
      <c r="AZ318" s="29" t="s">
        <v>637</v>
      </c>
      <c r="BA318" s="9" t="s">
        <v>539</v>
      </c>
      <c r="BC318" s="27">
        <f>AW318+AX318</f>
        <v>0</v>
      </c>
      <c r="BD318" s="27">
        <f>H318/(100-BE318)*100</f>
        <v>0</v>
      </c>
      <c r="BE318" s="27">
        <v>0</v>
      </c>
      <c r="BF318" s="27">
        <f>318</f>
        <v>318</v>
      </c>
      <c r="BH318" s="27">
        <f>G318*AO318</f>
        <v>0</v>
      </c>
      <c r="BI318" s="27">
        <f>G318*AP318</f>
        <v>0</v>
      </c>
      <c r="BJ318" s="27">
        <f>G318*H318</f>
        <v>0</v>
      </c>
      <c r="BK318" s="27"/>
      <c r="BL318" s="27"/>
      <c r="BW318" s="27">
        <v>21</v>
      </c>
    </row>
    <row r="319" spans="1:12" ht="15">
      <c r="A319" s="23" t="s">
        <v>52</v>
      </c>
      <c r="B319" s="24" t="s">
        <v>650</v>
      </c>
      <c r="C319" s="24" t="s">
        <v>52</v>
      </c>
      <c r="D319" s="164" t="s">
        <v>651</v>
      </c>
      <c r="E319" s="165"/>
      <c r="F319" s="25" t="s">
        <v>4</v>
      </c>
      <c r="G319" s="25" t="s">
        <v>4</v>
      </c>
      <c r="H319" s="25" t="s">
        <v>4</v>
      </c>
      <c r="I319" s="1">
        <f>I320+I336+I362+I390+I392+I395+I397+I399+I401+I403+I405</f>
        <v>0</v>
      </c>
      <c r="J319" s="1">
        <f>J320+J336+J362+J390+J392+J395+J397+J399+J401+J403+J405</f>
        <v>0</v>
      </c>
      <c r="K319" s="1">
        <f>K320+K336+K362+K390+K392+K395+K397+K399+K401+K403+K405</f>
        <v>0</v>
      </c>
      <c r="L319" s="26" t="s">
        <v>52</v>
      </c>
    </row>
    <row r="320" spans="1:47" ht="15">
      <c r="A320" s="23" t="s">
        <v>52</v>
      </c>
      <c r="B320" s="24" t="s">
        <v>650</v>
      </c>
      <c r="C320" s="24" t="s">
        <v>200</v>
      </c>
      <c r="D320" s="164" t="s">
        <v>201</v>
      </c>
      <c r="E320" s="165"/>
      <c r="F320" s="25" t="s">
        <v>4</v>
      </c>
      <c r="G320" s="25" t="s">
        <v>4</v>
      </c>
      <c r="H320" s="25" t="s">
        <v>4</v>
      </c>
      <c r="I320" s="1">
        <f>SUM(I321:I335)</f>
        <v>0</v>
      </c>
      <c r="J320" s="1">
        <f>SUM(J321:J335)</f>
        <v>0</v>
      </c>
      <c r="K320" s="1">
        <f>SUM(K321:K335)</f>
        <v>0</v>
      </c>
      <c r="L320" s="26" t="s">
        <v>52</v>
      </c>
      <c r="AI320" s="9" t="s">
        <v>650</v>
      </c>
      <c r="AS320" s="1">
        <f>SUM(AJ321:AJ335)</f>
        <v>0</v>
      </c>
      <c r="AT320" s="1">
        <f>SUM(AK321:AK335)</f>
        <v>0</v>
      </c>
      <c r="AU320" s="1">
        <f>SUM(AL321:AL335)</f>
        <v>0</v>
      </c>
    </row>
    <row r="321" spans="1:75" ht="13.5" customHeight="1">
      <c r="A321" s="2" t="s">
        <v>652</v>
      </c>
      <c r="B321" s="3" t="s">
        <v>650</v>
      </c>
      <c r="C321" s="3" t="s">
        <v>653</v>
      </c>
      <c r="D321" s="148" t="s">
        <v>654</v>
      </c>
      <c r="E321" s="143"/>
      <c r="F321" s="3" t="s">
        <v>126</v>
      </c>
      <c r="G321" s="27">
        <v>4</v>
      </c>
      <c r="H321" s="27">
        <v>0</v>
      </c>
      <c r="I321" s="27">
        <f aca="true" t="shared" si="48" ref="I321:I335">G321*AO321</f>
        <v>0</v>
      </c>
      <c r="J321" s="27">
        <f aca="true" t="shared" si="49" ref="J321:J335">G321*AP321</f>
        <v>0</v>
      </c>
      <c r="K321" s="27">
        <f aca="true" t="shared" si="50" ref="K321:K335">G321*H321</f>
        <v>0</v>
      </c>
      <c r="L321" s="28" t="s">
        <v>52</v>
      </c>
      <c r="Z321" s="27">
        <f aca="true" t="shared" si="51" ref="Z321:Z335">IF(AQ321="5",BJ321,0)</f>
        <v>0</v>
      </c>
      <c r="AB321" s="27">
        <f aca="true" t="shared" si="52" ref="AB321:AB335">IF(AQ321="1",BH321,0)</f>
        <v>0</v>
      </c>
      <c r="AC321" s="27">
        <f aca="true" t="shared" si="53" ref="AC321:AC335">IF(AQ321="1",BI321,0)</f>
        <v>0</v>
      </c>
      <c r="AD321" s="27">
        <f aca="true" t="shared" si="54" ref="AD321:AD335">IF(AQ321="7",BH321,0)</f>
        <v>0</v>
      </c>
      <c r="AE321" s="27">
        <f aca="true" t="shared" si="55" ref="AE321:AE335">IF(AQ321="7",BI321,0)</f>
        <v>0</v>
      </c>
      <c r="AF321" s="27">
        <f aca="true" t="shared" si="56" ref="AF321:AF335">IF(AQ321="2",BH321,0)</f>
        <v>0</v>
      </c>
      <c r="AG321" s="27">
        <f aca="true" t="shared" si="57" ref="AG321:AG335">IF(AQ321="2",BI321,0)</f>
        <v>0</v>
      </c>
      <c r="AH321" s="27">
        <f aca="true" t="shared" si="58" ref="AH321:AH335">IF(AQ321="0",BJ321,0)</f>
        <v>0</v>
      </c>
      <c r="AI321" s="9" t="s">
        <v>650</v>
      </c>
      <c r="AJ321" s="27">
        <f aca="true" t="shared" si="59" ref="AJ321:AJ335">IF(AN321=0,K321,0)</f>
        <v>0</v>
      </c>
      <c r="AK321" s="27">
        <f aca="true" t="shared" si="60" ref="AK321:AK335">IF(AN321=12,K321,0)</f>
        <v>0</v>
      </c>
      <c r="AL321" s="27">
        <f aca="true" t="shared" si="61" ref="AL321:AL335">IF(AN321=21,K321,0)</f>
        <v>0</v>
      </c>
      <c r="AN321" s="27">
        <v>21</v>
      </c>
      <c r="AO321" s="27">
        <f aca="true" t="shared" si="62" ref="AO321:AO335">H321*0</f>
        <v>0</v>
      </c>
      <c r="AP321" s="27">
        <f aca="true" t="shared" si="63" ref="AP321:AP335">H321*(1-0)</f>
        <v>0</v>
      </c>
      <c r="AQ321" s="29" t="s">
        <v>84</v>
      </c>
      <c r="AV321" s="27">
        <f aca="true" t="shared" si="64" ref="AV321:AV335">AW321+AX321</f>
        <v>0</v>
      </c>
      <c r="AW321" s="27">
        <f aca="true" t="shared" si="65" ref="AW321:AW335">G321*AO321</f>
        <v>0</v>
      </c>
      <c r="AX321" s="27">
        <f aca="true" t="shared" si="66" ref="AX321:AX335">G321*AP321</f>
        <v>0</v>
      </c>
      <c r="AY321" s="29" t="s">
        <v>205</v>
      </c>
      <c r="AZ321" s="29" t="s">
        <v>655</v>
      </c>
      <c r="BA321" s="9" t="s">
        <v>656</v>
      </c>
      <c r="BC321" s="27">
        <f aca="true" t="shared" si="67" ref="BC321:BC335">AW321+AX321</f>
        <v>0</v>
      </c>
      <c r="BD321" s="27">
        <f aca="true" t="shared" si="68" ref="BD321:BD335">H321/(100-BE321)*100</f>
        <v>0</v>
      </c>
      <c r="BE321" s="27">
        <v>0</v>
      </c>
      <c r="BF321" s="27">
        <f>321</f>
        <v>321</v>
      </c>
      <c r="BH321" s="27">
        <f aca="true" t="shared" si="69" ref="BH321:BH335">G321*AO321</f>
        <v>0</v>
      </c>
      <c r="BI321" s="27">
        <f aca="true" t="shared" si="70" ref="BI321:BI335">G321*AP321</f>
        <v>0</v>
      </c>
      <c r="BJ321" s="27">
        <f aca="true" t="shared" si="71" ref="BJ321:BJ335">G321*H321</f>
        <v>0</v>
      </c>
      <c r="BK321" s="27"/>
      <c r="BL321" s="27">
        <v>721</v>
      </c>
      <c r="BW321" s="27">
        <v>21</v>
      </c>
    </row>
    <row r="322" spans="1:75" ht="13.5" customHeight="1">
      <c r="A322" s="2" t="s">
        <v>657</v>
      </c>
      <c r="B322" s="3" t="s">
        <v>650</v>
      </c>
      <c r="C322" s="3" t="s">
        <v>658</v>
      </c>
      <c r="D322" s="148" t="s">
        <v>659</v>
      </c>
      <c r="E322" s="143"/>
      <c r="F322" s="3" t="s">
        <v>126</v>
      </c>
      <c r="G322" s="27">
        <v>14</v>
      </c>
      <c r="H322" s="27">
        <v>0</v>
      </c>
      <c r="I322" s="27">
        <f t="shared" si="48"/>
        <v>0</v>
      </c>
      <c r="J322" s="27">
        <f t="shared" si="49"/>
        <v>0</v>
      </c>
      <c r="K322" s="27">
        <f t="shared" si="50"/>
        <v>0</v>
      </c>
      <c r="L322" s="28" t="s">
        <v>52</v>
      </c>
      <c r="Z322" s="27">
        <f t="shared" si="51"/>
        <v>0</v>
      </c>
      <c r="AB322" s="27">
        <f t="shared" si="52"/>
        <v>0</v>
      </c>
      <c r="AC322" s="27">
        <f t="shared" si="53"/>
        <v>0</v>
      </c>
      <c r="AD322" s="27">
        <f t="shared" si="54"/>
        <v>0</v>
      </c>
      <c r="AE322" s="27">
        <f t="shared" si="55"/>
        <v>0</v>
      </c>
      <c r="AF322" s="27">
        <f t="shared" si="56"/>
        <v>0</v>
      </c>
      <c r="AG322" s="27">
        <f t="shared" si="57"/>
        <v>0</v>
      </c>
      <c r="AH322" s="27">
        <f t="shared" si="58"/>
        <v>0</v>
      </c>
      <c r="AI322" s="9" t="s">
        <v>650</v>
      </c>
      <c r="AJ322" s="27">
        <f t="shared" si="59"/>
        <v>0</v>
      </c>
      <c r="AK322" s="27">
        <f t="shared" si="60"/>
        <v>0</v>
      </c>
      <c r="AL322" s="27">
        <f t="shared" si="61"/>
        <v>0</v>
      </c>
      <c r="AN322" s="27">
        <v>21</v>
      </c>
      <c r="AO322" s="27">
        <f t="shared" si="62"/>
        <v>0</v>
      </c>
      <c r="AP322" s="27">
        <f t="shared" si="63"/>
        <v>0</v>
      </c>
      <c r="AQ322" s="29" t="s">
        <v>84</v>
      </c>
      <c r="AV322" s="27">
        <f t="shared" si="64"/>
        <v>0</v>
      </c>
      <c r="AW322" s="27">
        <f t="shared" si="65"/>
        <v>0</v>
      </c>
      <c r="AX322" s="27">
        <f t="shared" si="66"/>
        <v>0</v>
      </c>
      <c r="AY322" s="29" t="s">
        <v>205</v>
      </c>
      <c r="AZ322" s="29" t="s">
        <v>655</v>
      </c>
      <c r="BA322" s="9" t="s">
        <v>656</v>
      </c>
      <c r="BC322" s="27">
        <f t="shared" si="67"/>
        <v>0</v>
      </c>
      <c r="BD322" s="27">
        <f t="shared" si="68"/>
        <v>0</v>
      </c>
      <c r="BE322" s="27">
        <v>0</v>
      </c>
      <c r="BF322" s="27">
        <f>322</f>
        <v>322</v>
      </c>
      <c r="BH322" s="27">
        <f t="shared" si="69"/>
        <v>0</v>
      </c>
      <c r="BI322" s="27">
        <f t="shared" si="70"/>
        <v>0</v>
      </c>
      <c r="BJ322" s="27">
        <f t="shared" si="71"/>
        <v>0</v>
      </c>
      <c r="BK322" s="27"/>
      <c r="BL322" s="27">
        <v>721</v>
      </c>
      <c r="BW322" s="27">
        <v>21</v>
      </c>
    </row>
    <row r="323" spans="1:75" ht="13.5" customHeight="1">
      <c r="A323" s="2" t="s">
        <v>660</v>
      </c>
      <c r="B323" s="3" t="s">
        <v>650</v>
      </c>
      <c r="C323" s="3" t="s">
        <v>661</v>
      </c>
      <c r="D323" s="148" t="s">
        <v>662</v>
      </c>
      <c r="E323" s="143"/>
      <c r="F323" s="3" t="s">
        <v>126</v>
      </c>
      <c r="G323" s="27">
        <v>12</v>
      </c>
      <c r="H323" s="27">
        <v>0</v>
      </c>
      <c r="I323" s="27">
        <f t="shared" si="48"/>
        <v>0</v>
      </c>
      <c r="J323" s="27">
        <f t="shared" si="49"/>
        <v>0</v>
      </c>
      <c r="K323" s="27">
        <f t="shared" si="50"/>
        <v>0</v>
      </c>
      <c r="L323" s="28" t="s">
        <v>52</v>
      </c>
      <c r="Z323" s="27">
        <f t="shared" si="51"/>
        <v>0</v>
      </c>
      <c r="AB323" s="27">
        <f t="shared" si="52"/>
        <v>0</v>
      </c>
      <c r="AC323" s="27">
        <f t="shared" si="53"/>
        <v>0</v>
      </c>
      <c r="AD323" s="27">
        <f t="shared" si="54"/>
        <v>0</v>
      </c>
      <c r="AE323" s="27">
        <f t="shared" si="55"/>
        <v>0</v>
      </c>
      <c r="AF323" s="27">
        <f t="shared" si="56"/>
        <v>0</v>
      </c>
      <c r="AG323" s="27">
        <f t="shared" si="57"/>
        <v>0</v>
      </c>
      <c r="AH323" s="27">
        <f t="shared" si="58"/>
        <v>0</v>
      </c>
      <c r="AI323" s="9" t="s">
        <v>650</v>
      </c>
      <c r="AJ323" s="27">
        <f t="shared" si="59"/>
        <v>0</v>
      </c>
      <c r="AK323" s="27">
        <f t="shared" si="60"/>
        <v>0</v>
      </c>
      <c r="AL323" s="27">
        <f t="shared" si="61"/>
        <v>0</v>
      </c>
      <c r="AN323" s="27">
        <v>21</v>
      </c>
      <c r="AO323" s="27">
        <f t="shared" si="62"/>
        <v>0</v>
      </c>
      <c r="AP323" s="27">
        <f t="shared" si="63"/>
        <v>0</v>
      </c>
      <c r="AQ323" s="29" t="s">
        <v>84</v>
      </c>
      <c r="AV323" s="27">
        <f t="shared" si="64"/>
        <v>0</v>
      </c>
      <c r="AW323" s="27">
        <f t="shared" si="65"/>
        <v>0</v>
      </c>
      <c r="AX323" s="27">
        <f t="shared" si="66"/>
        <v>0</v>
      </c>
      <c r="AY323" s="29" t="s">
        <v>205</v>
      </c>
      <c r="AZ323" s="29" t="s">
        <v>655</v>
      </c>
      <c r="BA323" s="9" t="s">
        <v>656</v>
      </c>
      <c r="BC323" s="27">
        <f t="shared" si="67"/>
        <v>0</v>
      </c>
      <c r="BD323" s="27">
        <f t="shared" si="68"/>
        <v>0</v>
      </c>
      <c r="BE323" s="27">
        <v>0</v>
      </c>
      <c r="BF323" s="27">
        <f>323</f>
        <v>323</v>
      </c>
      <c r="BH323" s="27">
        <f t="shared" si="69"/>
        <v>0</v>
      </c>
      <c r="BI323" s="27">
        <f t="shared" si="70"/>
        <v>0</v>
      </c>
      <c r="BJ323" s="27">
        <f t="shared" si="71"/>
        <v>0</v>
      </c>
      <c r="BK323" s="27"/>
      <c r="BL323" s="27">
        <v>721</v>
      </c>
      <c r="BW323" s="27">
        <v>21</v>
      </c>
    </row>
    <row r="324" spans="1:75" ht="13.5" customHeight="1">
      <c r="A324" s="2" t="s">
        <v>663</v>
      </c>
      <c r="B324" s="3" t="s">
        <v>650</v>
      </c>
      <c r="C324" s="3" t="s">
        <v>664</v>
      </c>
      <c r="D324" s="148" t="s">
        <v>665</v>
      </c>
      <c r="E324" s="143"/>
      <c r="F324" s="3" t="s">
        <v>126</v>
      </c>
      <c r="G324" s="27">
        <v>2</v>
      </c>
      <c r="H324" s="27">
        <v>0</v>
      </c>
      <c r="I324" s="27">
        <f t="shared" si="48"/>
        <v>0</v>
      </c>
      <c r="J324" s="27">
        <f t="shared" si="49"/>
        <v>0</v>
      </c>
      <c r="K324" s="27">
        <f t="shared" si="50"/>
        <v>0</v>
      </c>
      <c r="L324" s="28" t="s">
        <v>52</v>
      </c>
      <c r="Z324" s="27">
        <f t="shared" si="51"/>
        <v>0</v>
      </c>
      <c r="AB324" s="27">
        <f t="shared" si="52"/>
        <v>0</v>
      </c>
      <c r="AC324" s="27">
        <f t="shared" si="53"/>
        <v>0</v>
      </c>
      <c r="AD324" s="27">
        <f t="shared" si="54"/>
        <v>0</v>
      </c>
      <c r="AE324" s="27">
        <f t="shared" si="55"/>
        <v>0</v>
      </c>
      <c r="AF324" s="27">
        <f t="shared" si="56"/>
        <v>0</v>
      </c>
      <c r="AG324" s="27">
        <f t="shared" si="57"/>
        <v>0</v>
      </c>
      <c r="AH324" s="27">
        <f t="shared" si="58"/>
        <v>0</v>
      </c>
      <c r="AI324" s="9" t="s">
        <v>650</v>
      </c>
      <c r="AJ324" s="27">
        <f t="shared" si="59"/>
        <v>0</v>
      </c>
      <c r="AK324" s="27">
        <f t="shared" si="60"/>
        <v>0</v>
      </c>
      <c r="AL324" s="27">
        <f t="shared" si="61"/>
        <v>0</v>
      </c>
      <c r="AN324" s="27">
        <v>21</v>
      </c>
      <c r="AO324" s="27">
        <f t="shared" si="62"/>
        <v>0</v>
      </c>
      <c r="AP324" s="27">
        <f t="shared" si="63"/>
        <v>0</v>
      </c>
      <c r="AQ324" s="29" t="s">
        <v>84</v>
      </c>
      <c r="AV324" s="27">
        <f t="shared" si="64"/>
        <v>0</v>
      </c>
      <c r="AW324" s="27">
        <f t="shared" si="65"/>
        <v>0</v>
      </c>
      <c r="AX324" s="27">
        <f t="shared" si="66"/>
        <v>0</v>
      </c>
      <c r="AY324" s="29" t="s">
        <v>205</v>
      </c>
      <c r="AZ324" s="29" t="s">
        <v>655</v>
      </c>
      <c r="BA324" s="9" t="s">
        <v>656</v>
      </c>
      <c r="BC324" s="27">
        <f t="shared" si="67"/>
        <v>0</v>
      </c>
      <c r="BD324" s="27">
        <f t="shared" si="68"/>
        <v>0</v>
      </c>
      <c r="BE324" s="27">
        <v>0</v>
      </c>
      <c r="BF324" s="27">
        <f>324</f>
        <v>324</v>
      </c>
      <c r="BH324" s="27">
        <f t="shared" si="69"/>
        <v>0</v>
      </c>
      <c r="BI324" s="27">
        <f t="shared" si="70"/>
        <v>0</v>
      </c>
      <c r="BJ324" s="27">
        <f t="shared" si="71"/>
        <v>0</v>
      </c>
      <c r="BK324" s="27"/>
      <c r="BL324" s="27">
        <v>721</v>
      </c>
      <c r="BW324" s="27">
        <v>21</v>
      </c>
    </row>
    <row r="325" spans="1:75" ht="13.5" customHeight="1">
      <c r="A325" s="2" t="s">
        <v>666</v>
      </c>
      <c r="B325" s="3" t="s">
        <v>650</v>
      </c>
      <c r="C325" s="3" t="s">
        <v>667</v>
      </c>
      <c r="D325" s="148" t="s">
        <v>668</v>
      </c>
      <c r="E325" s="143"/>
      <c r="F325" s="3" t="s">
        <v>154</v>
      </c>
      <c r="G325" s="27">
        <v>5</v>
      </c>
      <c r="H325" s="27">
        <v>0</v>
      </c>
      <c r="I325" s="27">
        <f t="shared" si="48"/>
        <v>0</v>
      </c>
      <c r="J325" s="27">
        <f t="shared" si="49"/>
        <v>0</v>
      </c>
      <c r="K325" s="27">
        <f t="shared" si="50"/>
        <v>0</v>
      </c>
      <c r="L325" s="28" t="s">
        <v>52</v>
      </c>
      <c r="Z325" s="27">
        <f t="shared" si="51"/>
        <v>0</v>
      </c>
      <c r="AB325" s="27">
        <f t="shared" si="52"/>
        <v>0</v>
      </c>
      <c r="AC325" s="27">
        <f t="shared" si="53"/>
        <v>0</v>
      </c>
      <c r="AD325" s="27">
        <f t="shared" si="54"/>
        <v>0</v>
      </c>
      <c r="AE325" s="27">
        <f t="shared" si="55"/>
        <v>0</v>
      </c>
      <c r="AF325" s="27">
        <f t="shared" si="56"/>
        <v>0</v>
      </c>
      <c r="AG325" s="27">
        <f t="shared" si="57"/>
        <v>0</v>
      </c>
      <c r="AH325" s="27">
        <f t="shared" si="58"/>
        <v>0</v>
      </c>
      <c r="AI325" s="9" t="s">
        <v>650</v>
      </c>
      <c r="AJ325" s="27">
        <f t="shared" si="59"/>
        <v>0</v>
      </c>
      <c r="AK325" s="27">
        <f t="shared" si="60"/>
        <v>0</v>
      </c>
      <c r="AL325" s="27">
        <f t="shared" si="61"/>
        <v>0</v>
      </c>
      <c r="AN325" s="27">
        <v>21</v>
      </c>
      <c r="AO325" s="27">
        <f t="shared" si="62"/>
        <v>0</v>
      </c>
      <c r="AP325" s="27">
        <f t="shared" si="63"/>
        <v>0</v>
      </c>
      <c r="AQ325" s="29" t="s">
        <v>84</v>
      </c>
      <c r="AV325" s="27">
        <f t="shared" si="64"/>
        <v>0</v>
      </c>
      <c r="AW325" s="27">
        <f t="shared" si="65"/>
        <v>0</v>
      </c>
      <c r="AX325" s="27">
        <f t="shared" si="66"/>
        <v>0</v>
      </c>
      <c r="AY325" s="29" t="s">
        <v>205</v>
      </c>
      <c r="AZ325" s="29" t="s">
        <v>655</v>
      </c>
      <c r="BA325" s="9" t="s">
        <v>656</v>
      </c>
      <c r="BC325" s="27">
        <f t="shared" si="67"/>
        <v>0</v>
      </c>
      <c r="BD325" s="27">
        <f t="shared" si="68"/>
        <v>0</v>
      </c>
      <c r="BE325" s="27">
        <v>0</v>
      </c>
      <c r="BF325" s="27">
        <f>325</f>
        <v>325</v>
      </c>
      <c r="BH325" s="27">
        <f t="shared" si="69"/>
        <v>0</v>
      </c>
      <c r="BI325" s="27">
        <f t="shared" si="70"/>
        <v>0</v>
      </c>
      <c r="BJ325" s="27">
        <f t="shared" si="71"/>
        <v>0</v>
      </c>
      <c r="BK325" s="27"/>
      <c r="BL325" s="27">
        <v>721</v>
      </c>
      <c r="BW325" s="27">
        <v>21</v>
      </c>
    </row>
    <row r="326" spans="1:75" ht="13.5" customHeight="1">
      <c r="A326" s="2" t="s">
        <v>669</v>
      </c>
      <c r="B326" s="3" t="s">
        <v>650</v>
      </c>
      <c r="C326" s="3" t="s">
        <v>670</v>
      </c>
      <c r="D326" s="148" t="s">
        <v>671</v>
      </c>
      <c r="E326" s="143"/>
      <c r="F326" s="3" t="s">
        <v>154</v>
      </c>
      <c r="G326" s="27">
        <v>2</v>
      </c>
      <c r="H326" s="27">
        <v>0</v>
      </c>
      <c r="I326" s="27">
        <f t="shared" si="48"/>
        <v>0</v>
      </c>
      <c r="J326" s="27">
        <f t="shared" si="49"/>
        <v>0</v>
      </c>
      <c r="K326" s="27">
        <f t="shared" si="50"/>
        <v>0</v>
      </c>
      <c r="L326" s="28" t="s">
        <v>52</v>
      </c>
      <c r="Z326" s="27">
        <f t="shared" si="51"/>
        <v>0</v>
      </c>
      <c r="AB326" s="27">
        <f t="shared" si="52"/>
        <v>0</v>
      </c>
      <c r="AC326" s="27">
        <f t="shared" si="53"/>
        <v>0</v>
      </c>
      <c r="AD326" s="27">
        <f t="shared" si="54"/>
        <v>0</v>
      </c>
      <c r="AE326" s="27">
        <f t="shared" si="55"/>
        <v>0</v>
      </c>
      <c r="AF326" s="27">
        <f t="shared" si="56"/>
        <v>0</v>
      </c>
      <c r="AG326" s="27">
        <f t="shared" si="57"/>
        <v>0</v>
      </c>
      <c r="AH326" s="27">
        <f t="shared" si="58"/>
        <v>0</v>
      </c>
      <c r="AI326" s="9" t="s">
        <v>650</v>
      </c>
      <c r="AJ326" s="27">
        <f t="shared" si="59"/>
        <v>0</v>
      </c>
      <c r="AK326" s="27">
        <f t="shared" si="60"/>
        <v>0</v>
      </c>
      <c r="AL326" s="27">
        <f t="shared" si="61"/>
        <v>0</v>
      </c>
      <c r="AN326" s="27">
        <v>21</v>
      </c>
      <c r="AO326" s="27">
        <f t="shared" si="62"/>
        <v>0</v>
      </c>
      <c r="AP326" s="27">
        <f t="shared" si="63"/>
        <v>0</v>
      </c>
      <c r="AQ326" s="29" t="s">
        <v>84</v>
      </c>
      <c r="AV326" s="27">
        <f t="shared" si="64"/>
        <v>0</v>
      </c>
      <c r="AW326" s="27">
        <f t="shared" si="65"/>
        <v>0</v>
      </c>
      <c r="AX326" s="27">
        <f t="shared" si="66"/>
        <v>0</v>
      </c>
      <c r="AY326" s="29" t="s">
        <v>205</v>
      </c>
      <c r="AZ326" s="29" t="s">
        <v>655</v>
      </c>
      <c r="BA326" s="9" t="s">
        <v>656</v>
      </c>
      <c r="BC326" s="27">
        <f t="shared" si="67"/>
        <v>0</v>
      </c>
      <c r="BD326" s="27">
        <f t="shared" si="68"/>
        <v>0</v>
      </c>
      <c r="BE326" s="27">
        <v>0</v>
      </c>
      <c r="BF326" s="27">
        <f>326</f>
        <v>326</v>
      </c>
      <c r="BH326" s="27">
        <f t="shared" si="69"/>
        <v>0</v>
      </c>
      <c r="BI326" s="27">
        <f t="shared" si="70"/>
        <v>0</v>
      </c>
      <c r="BJ326" s="27">
        <f t="shared" si="71"/>
        <v>0</v>
      </c>
      <c r="BK326" s="27"/>
      <c r="BL326" s="27">
        <v>721</v>
      </c>
      <c r="BW326" s="27">
        <v>21</v>
      </c>
    </row>
    <row r="327" spans="1:75" ht="13.5" customHeight="1">
      <c r="A327" s="2" t="s">
        <v>672</v>
      </c>
      <c r="B327" s="3" t="s">
        <v>650</v>
      </c>
      <c r="C327" s="3" t="s">
        <v>673</v>
      </c>
      <c r="D327" s="148" t="s">
        <v>674</v>
      </c>
      <c r="E327" s="143"/>
      <c r="F327" s="3" t="s">
        <v>154</v>
      </c>
      <c r="G327" s="27">
        <v>3</v>
      </c>
      <c r="H327" s="27">
        <v>0</v>
      </c>
      <c r="I327" s="27">
        <f t="shared" si="48"/>
        <v>0</v>
      </c>
      <c r="J327" s="27">
        <f t="shared" si="49"/>
        <v>0</v>
      </c>
      <c r="K327" s="27">
        <f t="shared" si="50"/>
        <v>0</v>
      </c>
      <c r="L327" s="28" t="s">
        <v>52</v>
      </c>
      <c r="Z327" s="27">
        <f t="shared" si="51"/>
        <v>0</v>
      </c>
      <c r="AB327" s="27">
        <f t="shared" si="52"/>
        <v>0</v>
      </c>
      <c r="AC327" s="27">
        <f t="shared" si="53"/>
        <v>0</v>
      </c>
      <c r="AD327" s="27">
        <f t="shared" si="54"/>
        <v>0</v>
      </c>
      <c r="AE327" s="27">
        <f t="shared" si="55"/>
        <v>0</v>
      </c>
      <c r="AF327" s="27">
        <f t="shared" si="56"/>
        <v>0</v>
      </c>
      <c r="AG327" s="27">
        <f t="shared" si="57"/>
        <v>0</v>
      </c>
      <c r="AH327" s="27">
        <f t="shared" si="58"/>
        <v>0</v>
      </c>
      <c r="AI327" s="9" t="s">
        <v>650</v>
      </c>
      <c r="AJ327" s="27">
        <f t="shared" si="59"/>
        <v>0</v>
      </c>
      <c r="AK327" s="27">
        <f t="shared" si="60"/>
        <v>0</v>
      </c>
      <c r="AL327" s="27">
        <f t="shared" si="61"/>
        <v>0</v>
      </c>
      <c r="AN327" s="27">
        <v>21</v>
      </c>
      <c r="AO327" s="27">
        <f t="shared" si="62"/>
        <v>0</v>
      </c>
      <c r="AP327" s="27">
        <f t="shared" si="63"/>
        <v>0</v>
      </c>
      <c r="AQ327" s="29" t="s">
        <v>84</v>
      </c>
      <c r="AV327" s="27">
        <f t="shared" si="64"/>
        <v>0</v>
      </c>
      <c r="AW327" s="27">
        <f t="shared" si="65"/>
        <v>0</v>
      </c>
      <c r="AX327" s="27">
        <f t="shared" si="66"/>
        <v>0</v>
      </c>
      <c r="AY327" s="29" t="s">
        <v>205</v>
      </c>
      <c r="AZ327" s="29" t="s">
        <v>655</v>
      </c>
      <c r="BA327" s="9" t="s">
        <v>656</v>
      </c>
      <c r="BC327" s="27">
        <f t="shared" si="67"/>
        <v>0</v>
      </c>
      <c r="BD327" s="27">
        <f t="shared" si="68"/>
        <v>0</v>
      </c>
      <c r="BE327" s="27">
        <v>0</v>
      </c>
      <c r="BF327" s="27">
        <f>327</f>
        <v>327</v>
      </c>
      <c r="BH327" s="27">
        <f t="shared" si="69"/>
        <v>0</v>
      </c>
      <c r="BI327" s="27">
        <f t="shared" si="70"/>
        <v>0</v>
      </c>
      <c r="BJ327" s="27">
        <f t="shared" si="71"/>
        <v>0</v>
      </c>
      <c r="BK327" s="27"/>
      <c r="BL327" s="27">
        <v>721</v>
      </c>
      <c r="BW327" s="27">
        <v>21</v>
      </c>
    </row>
    <row r="328" spans="1:75" ht="13.5" customHeight="1">
      <c r="A328" s="2" t="s">
        <v>675</v>
      </c>
      <c r="B328" s="3" t="s">
        <v>650</v>
      </c>
      <c r="C328" s="3" t="s">
        <v>676</v>
      </c>
      <c r="D328" s="148" t="s">
        <v>677</v>
      </c>
      <c r="E328" s="143"/>
      <c r="F328" s="3" t="s">
        <v>154</v>
      </c>
      <c r="G328" s="27">
        <v>3</v>
      </c>
      <c r="H328" s="27">
        <v>0</v>
      </c>
      <c r="I328" s="27">
        <f t="shared" si="48"/>
        <v>0</v>
      </c>
      <c r="J328" s="27">
        <f t="shared" si="49"/>
        <v>0</v>
      </c>
      <c r="K328" s="27">
        <f t="shared" si="50"/>
        <v>0</v>
      </c>
      <c r="L328" s="28" t="s">
        <v>52</v>
      </c>
      <c r="Z328" s="27">
        <f t="shared" si="51"/>
        <v>0</v>
      </c>
      <c r="AB328" s="27">
        <f t="shared" si="52"/>
        <v>0</v>
      </c>
      <c r="AC328" s="27">
        <f t="shared" si="53"/>
        <v>0</v>
      </c>
      <c r="AD328" s="27">
        <f t="shared" si="54"/>
        <v>0</v>
      </c>
      <c r="AE328" s="27">
        <f t="shared" si="55"/>
        <v>0</v>
      </c>
      <c r="AF328" s="27">
        <f t="shared" si="56"/>
        <v>0</v>
      </c>
      <c r="AG328" s="27">
        <f t="shared" si="57"/>
        <v>0</v>
      </c>
      <c r="AH328" s="27">
        <f t="shared" si="58"/>
        <v>0</v>
      </c>
      <c r="AI328" s="9" t="s">
        <v>650</v>
      </c>
      <c r="AJ328" s="27">
        <f t="shared" si="59"/>
        <v>0</v>
      </c>
      <c r="AK328" s="27">
        <f t="shared" si="60"/>
        <v>0</v>
      </c>
      <c r="AL328" s="27">
        <f t="shared" si="61"/>
        <v>0</v>
      </c>
      <c r="AN328" s="27">
        <v>21</v>
      </c>
      <c r="AO328" s="27">
        <f t="shared" si="62"/>
        <v>0</v>
      </c>
      <c r="AP328" s="27">
        <f t="shared" si="63"/>
        <v>0</v>
      </c>
      <c r="AQ328" s="29" t="s">
        <v>84</v>
      </c>
      <c r="AV328" s="27">
        <f t="shared" si="64"/>
        <v>0</v>
      </c>
      <c r="AW328" s="27">
        <f t="shared" si="65"/>
        <v>0</v>
      </c>
      <c r="AX328" s="27">
        <f t="shared" si="66"/>
        <v>0</v>
      </c>
      <c r="AY328" s="29" t="s">
        <v>205</v>
      </c>
      <c r="AZ328" s="29" t="s">
        <v>655</v>
      </c>
      <c r="BA328" s="9" t="s">
        <v>656</v>
      </c>
      <c r="BC328" s="27">
        <f t="shared" si="67"/>
        <v>0</v>
      </c>
      <c r="BD328" s="27">
        <f t="shared" si="68"/>
        <v>0</v>
      </c>
      <c r="BE328" s="27">
        <v>0</v>
      </c>
      <c r="BF328" s="27">
        <f>328</f>
        <v>328</v>
      </c>
      <c r="BH328" s="27">
        <f t="shared" si="69"/>
        <v>0</v>
      </c>
      <c r="BI328" s="27">
        <f t="shared" si="70"/>
        <v>0</v>
      </c>
      <c r="BJ328" s="27">
        <f t="shared" si="71"/>
        <v>0</v>
      </c>
      <c r="BK328" s="27"/>
      <c r="BL328" s="27">
        <v>721</v>
      </c>
      <c r="BW328" s="27">
        <v>21</v>
      </c>
    </row>
    <row r="329" spans="1:75" ht="13.5" customHeight="1">
      <c r="A329" s="2" t="s">
        <v>678</v>
      </c>
      <c r="B329" s="3" t="s">
        <v>650</v>
      </c>
      <c r="C329" s="3" t="s">
        <v>679</v>
      </c>
      <c r="D329" s="148" t="s">
        <v>680</v>
      </c>
      <c r="E329" s="143"/>
      <c r="F329" s="3" t="s">
        <v>126</v>
      </c>
      <c r="G329" s="27">
        <v>7</v>
      </c>
      <c r="H329" s="27">
        <v>0</v>
      </c>
      <c r="I329" s="27">
        <f t="shared" si="48"/>
        <v>0</v>
      </c>
      <c r="J329" s="27">
        <f t="shared" si="49"/>
        <v>0</v>
      </c>
      <c r="K329" s="27">
        <f t="shared" si="50"/>
        <v>0</v>
      </c>
      <c r="L329" s="28" t="s">
        <v>52</v>
      </c>
      <c r="Z329" s="27">
        <f t="shared" si="51"/>
        <v>0</v>
      </c>
      <c r="AB329" s="27">
        <f t="shared" si="52"/>
        <v>0</v>
      </c>
      <c r="AC329" s="27">
        <f t="shared" si="53"/>
        <v>0</v>
      </c>
      <c r="AD329" s="27">
        <f t="shared" si="54"/>
        <v>0</v>
      </c>
      <c r="AE329" s="27">
        <f t="shared" si="55"/>
        <v>0</v>
      </c>
      <c r="AF329" s="27">
        <f t="shared" si="56"/>
        <v>0</v>
      </c>
      <c r="AG329" s="27">
        <f t="shared" si="57"/>
        <v>0</v>
      </c>
      <c r="AH329" s="27">
        <f t="shared" si="58"/>
        <v>0</v>
      </c>
      <c r="AI329" s="9" t="s">
        <v>650</v>
      </c>
      <c r="AJ329" s="27">
        <f t="shared" si="59"/>
        <v>0</v>
      </c>
      <c r="AK329" s="27">
        <f t="shared" si="60"/>
        <v>0</v>
      </c>
      <c r="AL329" s="27">
        <f t="shared" si="61"/>
        <v>0</v>
      </c>
      <c r="AN329" s="27">
        <v>21</v>
      </c>
      <c r="AO329" s="27">
        <f t="shared" si="62"/>
        <v>0</v>
      </c>
      <c r="AP329" s="27">
        <f t="shared" si="63"/>
        <v>0</v>
      </c>
      <c r="AQ329" s="29" t="s">
        <v>84</v>
      </c>
      <c r="AV329" s="27">
        <f t="shared" si="64"/>
        <v>0</v>
      </c>
      <c r="AW329" s="27">
        <f t="shared" si="65"/>
        <v>0</v>
      </c>
      <c r="AX329" s="27">
        <f t="shared" si="66"/>
        <v>0</v>
      </c>
      <c r="AY329" s="29" t="s">
        <v>205</v>
      </c>
      <c r="AZ329" s="29" t="s">
        <v>655</v>
      </c>
      <c r="BA329" s="9" t="s">
        <v>656</v>
      </c>
      <c r="BC329" s="27">
        <f t="shared" si="67"/>
        <v>0</v>
      </c>
      <c r="BD329" s="27">
        <f t="shared" si="68"/>
        <v>0</v>
      </c>
      <c r="BE329" s="27">
        <v>0</v>
      </c>
      <c r="BF329" s="27">
        <f>329</f>
        <v>329</v>
      </c>
      <c r="BH329" s="27">
        <f t="shared" si="69"/>
        <v>0</v>
      </c>
      <c r="BI329" s="27">
        <f t="shared" si="70"/>
        <v>0</v>
      </c>
      <c r="BJ329" s="27">
        <f t="shared" si="71"/>
        <v>0</v>
      </c>
      <c r="BK329" s="27"/>
      <c r="BL329" s="27">
        <v>721</v>
      </c>
      <c r="BW329" s="27">
        <v>21</v>
      </c>
    </row>
    <row r="330" spans="1:75" ht="13.5" customHeight="1">
      <c r="A330" s="2" t="s">
        <v>681</v>
      </c>
      <c r="B330" s="3" t="s">
        <v>650</v>
      </c>
      <c r="C330" s="3" t="s">
        <v>682</v>
      </c>
      <c r="D330" s="148" t="s">
        <v>683</v>
      </c>
      <c r="E330" s="143"/>
      <c r="F330" s="3" t="s">
        <v>126</v>
      </c>
      <c r="G330" s="27">
        <v>8</v>
      </c>
      <c r="H330" s="27">
        <v>0</v>
      </c>
      <c r="I330" s="27">
        <f t="shared" si="48"/>
        <v>0</v>
      </c>
      <c r="J330" s="27">
        <f t="shared" si="49"/>
        <v>0</v>
      </c>
      <c r="K330" s="27">
        <f t="shared" si="50"/>
        <v>0</v>
      </c>
      <c r="L330" s="28" t="s">
        <v>52</v>
      </c>
      <c r="Z330" s="27">
        <f t="shared" si="51"/>
        <v>0</v>
      </c>
      <c r="AB330" s="27">
        <f t="shared" si="52"/>
        <v>0</v>
      </c>
      <c r="AC330" s="27">
        <f t="shared" si="53"/>
        <v>0</v>
      </c>
      <c r="AD330" s="27">
        <f t="shared" si="54"/>
        <v>0</v>
      </c>
      <c r="AE330" s="27">
        <f t="shared" si="55"/>
        <v>0</v>
      </c>
      <c r="AF330" s="27">
        <f t="shared" si="56"/>
        <v>0</v>
      </c>
      <c r="AG330" s="27">
        <f t="shared" si="57"/>
        <v>0</v>
      </c>
      <c r="AH330" s="27">
        <f t="shared" si="58"/>
        <v>0</v>
      </c>
      <c r="AI330" s="9" t="s">
        <v>650</v>
      </c>
      <c r="AJ330" s="27">
        <f t="shared" si="59"/>
        <v>0</v>
      </c>
      <c r="AK330" s="27">
        <f t="shared" si="60"/>
        <v>0</v>
      </c>
      <c r="AL330" s="27">
        <f t="shared" si="61"/>
        <v>0</v>
      </c>
      <c r="AN330" s="27">
        <v>21</v>
      </c>
      <c r="AO330" s="27">
        <f t="shared" si="62"/>
        <v>0</v>
      </c>
      <c r="AP330" s="27">
        <f t="shared" si="63"/>
        <v>0</v>
      </c>
      <c r="AQ330" s="29" t="s">
        <v>84</v>
      </c>
      <c r="AV330" s="27">
        <f t="shared" si="64"/>
        <v>0</v>
      </c>
      <c r="AW330" s="27">
        <f t="shared" si="65"/>
        <v>0</v>
      </c>
      <c r="AX330" s="27">
        <f t="shared" si="66"/>
        <v>0</v>
      </c>
      <c r="AY330" s="29" t="s">
        <v>205</v>
      </c>
      <c r="AZ330" s="29" t="s">
        <v>655</v>
      </c>
      <c r="BA330" s="9" t="s">
        <v>656</v>
      </c>
      <c r="BC330" s="27">
        <f t="shared" si="67"/>
        <v>0</v>
      </c>
      <c r="BD330" s="27">
        <f t="shared" si="68"/>
        <v>0</v>
      </c>
      <c r="BE330" s="27">
        <v>0</v>
      </c>
      <c r="BF330" s="27">
        <f>330</f>
        <v>330</v>
      </c>
      <c r="BH330" s="27">
        <f t="shared" si="69"/>
        <v>0</v>
      </c>
      <c r="BI330" s="27">
        <f t="shared" si="70"/>
        <v>0</v>
      </c>
      <c r="BJ330" s="27">
        <f t="shared" si="71"/>
        <v>0</v>
      </c>
      <c r="BK330" s="27"/>
      <c r="BL330" s="27">
        <v>721</v>
      </c>
      <c r="BW330" s="27">
        <v>21</v>
      </c>
    </row>
    <row r="331" spans="1:75" ht="13.5" customHeight="1">
      <c r="A331" s="2" t="s">
        <v>684</v>
      </c>
      <c r="B331" s="3" t="s">
        <v>650</v>
      </c>
      <c r="C331" s="3" t="s">
        <v>685</v>
      </c>
      <c r="D331" s="148" t="s">
        <v>686</v>
      </c>
      <c r="E331" s="143"/>
      <c r="F331" s="3" t="s">
        <v>126</v>
      </c>
      <c r="G331" s="27">
        <v>2</v>
      </c>
      <c r="H331" s="27">
        <v>0</v>
      </c>
      <c r="I331" s="27">
        <f t="shared" si="48"/>
        <v>0</v>
      </c>
      <c r="J331" s="27">
        <f t="shared" si="49"/>
        <v>0</v>
      </c>
      <c r="K331" s="27">
        <f t="shared" si="50"/>
        <v>0</v>
      </c>
      <c r="L331" s="28" t="s">
        <v>52</v>
      </c>
      <c r="Z331" s="27">
        <f t="shared" si="51"/>
        <v>0</v>
      </c>
      <c r="AB331" s="27">
        <f t="shared" si="52"/>
        <v>0</v>
      </c>
      <c r="AC331" s="27">
        <f t="shared" si="53"/>
        <v>0</v>
      </c>
      <c r="AD331" s="27">
        <f t="shared" si="54"/>
        <v>0</v>
      </c>
      <c r="AE331" s="27">
        <f t="shared" si="55"/>
        <v>0</v>
      </c>
      <c r="AF331" s="27">
        <f t="shared" si="56"/>
        <v>0</v>
      </c>
      <c r="AG331" s="27">
        <f t="shared" si="57"/>
        <v>0</v>
      </c>
      <c r="AH331" s="27">
        <f t="shared" si="58"/>
        <v>0</v>
      </c>
      <c r="AI331" s="9" t="s">
        <v>650</v>
      </c>
      <c r="AJ331" s="27">
        <f t="shared" si="59"/>
        <v>0</v>
      </c>
      <c r="AK331" s="27">
        <f t="shared" si="60"/>
        <v>0</v>
      </c>
      <c r="AL331" s="27">
        <f t="shared" si="61"/>
        <v>0</v>
      </c>
      <c r="AN331" s="27">
        <v>21</v>
      </c>
      <c r="AO331" s="27">
        <f t="shared" si="62"/>
        <v>0</v>
      </c>
      <c r="AP331" s="27">
        <f t="shared" si="63"/>
        <v>0</v>
      </c>
      <c r="AQ331" s="29" t="s">
        <v>84</v>
      </c>
      <c r="AV331" s="27">
        <f t="shared" si="64"/>
        <v>0</v>
      </c>
      <c r="AW331" s="27">
        <f t="shared" si="65"/>
        <v>0</v>
      </c>
      <c r="AX331" s="27">
        <f t="shared" si="66"/>
        <v>0</v>
      </c>
      <c r="AY331" s="29" t="s">
        <v>205</v>
      </c>
      <c r="AZ331" s="29" t="s">
        <v>655</v>
      </c>
      <c r="BA331" s="9" t="s">
        <v>656</v>
      </c>
      <c r="BC331" s="27">
        <f t="shared" si="67"/>
        <v>0</v>
      </c>
      <c r="BD331" s="27">
        <f t="shared" si="68"/>
        <v>0</v>
      </c>
      <c r="BE331" s="27">
        <v>0</v>
      </c>
      <c r="BF331" s="27">
        <f>331</f>
        <v>331</v>
      </c>
      <c r="BH331" s="27">
        <f t="shared" si="69"/>
        <v>0</v>
      </c>
      <c r="BI331" s="27">
        <f t="shared" si="70"/>
        <v>0</v>
      </c>
      <c r="BJ331" s="27">
        <f t="shared" si="71"/>
        <v>0</v>
      </c>
      <c r="BK331" s="27"/>
      <c r="BL331" s="27">
        <v>721</v>
      </c>
      <c r="BW331" s="27">
        <v>21</v>
      </c>
    </row>
    <row r="332" spans="1:75" ht="13.5" customHeight="1">
      <c r="A332" s="2" t="s">
        <v>687</v>
      </c>
      <c r="B332" s="3" t="s">
        <v>650</v>
      </c>
      <c r="C332" s="3" t="s">
        <v>688</v>
      </c>
      <c r="D332" s="148" t="s">
        <v>689</v>
      </c>
      <c r="E332" s="143"/>
      <c r="F332" s="3" t="s">
        <v>126</v>
      </c>
      <c r="G332" s="27">
        <v>14</v>
      </c>
      <c r="H332" s="27">
        <v>0</v>
      </c>
      <c r="I332" s="27">
        <f t="shared" si="48"/>
        <v>0</v>
      </c>
      <c r="J332" s="27">
        <f t="shared" si="49"/>
        <v>0</v>
      </c>
      <c r="K332" s="27">
        <f t="shared" si="50"/>
        <v>0</v>
      </c>
      <c r="L332" s="28" t="s">
        <v>52</v>
      </c>
      <c r="Z332" s="27">
        <f t="shared" si="51"/>
        <v>0</v>
      </c>
      <c r="AB332" s="27">
        <f t="shared" si="52"/>
        <v>0</v>
      </c>
      <c r="AC332" s="27">
        <f t="shared" si="53"/>
        <v>0</v>
      </c>
      <c r="AD332" s="27">
        <f t="shared" si="54"/>
        <v>0</v>
      </c>
      <c r="AE332" s="27">
        <f t="shared" si="55"/>
        <v>0</v>
      </c>
      <c r="AF332" s="27">
        <f t="shared" si="56"/>
        <v>0</v>
      </c>
      <c r="AG332" s="27">
        <f t="shared" si="57"/>
        <v>0</v>
      </c>
      <c r="AH332" s="27">
        <f t="shared" si="58"/>
        <v>0</v>
      </c>
      <c r="AI332" s="9" t="s">
        <v>650</v>
      </c>
      <c r="AJ332" s="27">
        <f t="shared" si="59"/>
        <v>0</v>
      </c>
      <c r="AK332" s="27">
        <f t="shared" si="60"/>
        <v>0</v>
      </c>
      <c r="AL332" s="27">
        <f t="shared" si="61"/>
        <v>0</v>
      </c>
      <c r="AN332" s="27">
        <v>21</v>
      </c>
      <c r="AO332" s="27">
        <f t="shared" si="62"/>
        <v>0</v>
      </c>
      <c r="AP332" s="27">
        <f t="shared" si="63"/>
        <v>0</v>
      </c>
      <c r="AQ332" s="29" t="s">
        <v>84</v>
      </c>
      <c r="AV332" s="27">
        <f t="shared" si="64"/>
        <v>0</v>
      </c>
      <c r="AW332" s="27">
        <f t="shared" si="65"/>
        <v>0</v>
      </c>
      <c r="AX332" s="27">
        <f t="shared" si="66"/>
        <v>0</v>
      </c>
      <c r="AY332" s="29" t="s">
        <v>205</v>
      </c>
      <c r="AZ332" s="29" t="s">
        <v>655</v>
      </c>
      <c r="BA332" s="9" t="s">
        <v>656</v>
      </c>
      <c r="BC332" s="27">
        <f t="shared" si="67"/>
        <v>0</v>
      </c>
      <c r="BD332" s="27">
        <f t="shared" si="68"/>
        <v>0</v>
      </c>
      <c r="BE332" s="27">
        <v>0</v>
      </c>
      <c r="BF332" s="27">
        <f>332</f>
        <v>332</v>
      </c>
      <c r="BH332" s="27">
        <f t="shared" si="69"/>
        <v>0</v>
      </c>
      <c r="BI332" s="27">
        <f t="shared" si="70"/>
        <v>0</v>
      </c>
      <c r="BJ332" s="27">
        <f t="shared" si="71"/>
        <v>0</v>
      </c>
      <c r="BK332" s="27"/>
      <c r="BL332" s="27">
        <v>721</v>
      </c>
      <c r="BW332" s="27">
        <v>21</v>
      </c>
    </row>
    <row r="333" spans="1:75" ht="13.5" customHeight="1">
      <c r="A333" s="2" t="s">
        <v>690</v>
      </c>
      <c r="B333" s="3" t="s">
        <v>650</v>
      </c>
      <c r="C333" s="3" t="s">
        <v>691</v>
      </c>
      <c r="D333" s="148" t="s">
        <v>692</v>
      </c>
      <c r="E333" s="143"/>
      <c r="F333" s="3" t="s">
        <v>154</v>
      </c>
      <c r="G333" s="27">
        <v>3</v>
      </c>
      <c r="H333" s="27">
        <v>0</v>
      </c>
      <c r="I333" s="27">
        <f t="shared" si="48"/>
        <v>0</v>
      </c>
      <c r="J333" s="27">
        <f t="shared" si="49"/>
        <v>0</v>
      </c>
      <c r="K333" s="27">
        <f t="shared" si="50"/>
        <v>0</v>
      </c>
      <c r="L333" s="28" t="s">
        <v>52</v>
      </c>
      <c r="Z333" s="27">
        <f t="shared" si="51"/>
        <v>0</v>
      </c>
      <c r="AB333" s="27">
        <f t="shared" si="52"/>
        <v>0</v>
      </c>
      <c r="AC333" s="27">
        <f t="shared" si="53"/>
        <v>0</v>
      </c>
      <c r="AD333" s="27">
        <f t="shared" si="54"/>
        <v>0</v>
      </c>
      <c r="AE333" s="27">
        <f t="shared" si="55"/>
        <v>0</v>
      </c>
      <c r="AF333" s="27">
        <f t="shared" si="56"/>
        <v>0</v>
      </c>
      <c r="AG333" s="27">
        <f t="shared" si="57"/>
        <v>0</v>
      </c>
      <c r="AH333" s="27">
        <f t="shared" si="58"/>
        <v>0</v>
      </c>
      <c r="AI333" s="9" t="s">
        <v>650</v>
      </c>
      <c r="AJ333" s="27">
        <f t="shared" si="59"/>
        <v>0</v>
      </c>
      <c r="AK333" s="27">
        <f t="shared" si="60"/>
        <v>0</v>
      </c>
      <c r="AL333" s="27">
        <f t="shared" si="61"/>
        <v>0</v>
      </c>
      <c r="AN333" s="27">
        <v>21</v>
      </c>
      <c r="AO333" s="27">
        <f t="shared" si="62"/>
        <v>0</v>
      </c>
      <c r="AP333" s="27">
        <f t="shared" si="63"/>
        <v>0</v>
      </c>
      <c r="AQ333" s="29" t="s">
        <v>84</v>
      </c>
      <c r="AV333" s="27">
        <f t="shared" si="64"/>
        <v>0</v>
      </c>
      <c r="AW333" s="27">
        <f t="shared" si="65"/>
        <v>0</v>
      </c>
      <c r="AX333" s="27">
        <f t="shared" si="66"/>
        <v>0</v>
      </c>
      <c r="AY333" s="29" t="s">
        <v>205</v>
      </c>
      <c r="AZ333" s="29" t="s">
        <v>655</v>
      </c>
      <c r="BA333" s="9" t="s">
        <v>656</v>
      </c>
      <c r="BC333" s="27">
        <f t="shared" si="67"/>
        <v>0</v>
      </c>
      <c r="BD333" s="27">
        <f t="shared" si="68"/>
        <v>0</v>
      </c>
      <c r="BE333" s="27">
        <v>0</v>
      </c>
      <c r="BF333" s="27">
        <f>333</f>
        <v>333</v>
      </c>
      <c r="BH333" s="27">
        <f t="shared" si="69"/>
        <v>0</v>
      </c>
      <c r="BI333" s="27">
        <f t="shared" si="70"/>
        <v>0</v>
      </c>
      <c r="BJ333" s="27">
        <f t="shared" si="71"/>
        <v>0</v>
      </c>
      <c r="BK333" s="27"/>
      <c r="BL333" s="27">
        <v>721</v>
      </c>
      <c r="BW333" s="27">
        <v>21</v>
      </c>
    </row>
    <row r="334" spans="1:75" ht="13.5" customHeight="1">
      <c r="A334" s="2" t="s">
        <v>693</v>
      </c>
      <c r="B334" s="3" t="s">
        <v>650</v>
      </c>
      <c r="C334" s="3" t="s">
        <v>694</v>
      </c>
      <c r="D334" s="148" t="s">
        <v>695</v>
      </c>
      <c r="E334" s="143"/>
      <c r="F334" s="3" t="s">
        <v>154</v>
      </c>
      <c r="G334" s="27">
        <v>3</v>
      </c>
      <c r="H334" s="27">
        <v>0</v>
      </c>
      <c r="I334" s="27">
        <f t="shared" si="48"/>
        <v>0</v>
      </c>
      <c r="J334" s="27">
        <f t="shared" si="49"/>
        <v>0</v>
      </c>
      <c r="K334" s="27">
        <f t="shared" si="50"/>
        <v>0</v>
      </c>
      <c r="L334" s="28" t="s">
        <v>52</v>
      </c>
      <c r="Z334" s="27">
        <f t="shared" si="51"/>
        <v>0</v>
      </c>
      <c r="AB334" s="27">
        <f t="shared" si="52"/>
        <v>0</v>
      </c>
      <c r="AC334" s="27">
        <f t="shared" si="53"/>
        <v>0</v>
      </c>
      <c r="AD334" s="27">
        <f t="shared" si="54"/>
        <v>0</v>
      </c>
      <c r="AE334" s="27">
        <f t="shared" si="55"/>
        <v>0</v>
      </c>
      <c r="AF334" s="27">
        <f t="shared" si="56"/>
        <v>0</v>
      </c>
      <c r="AG334" s="27">
        <f t="shared" si="57"/>
        <v>0</v>
      </c>
      <c r="AH334" s="27">
        <f t="shared" si="58"/>
        <v>0</v>
      </c>
      <c r="AI334" s="9" t="s">
        <v>650</v>
      </c>
      <c r="AJ334" s="27">
        <f t="shared" si="59"/>
        <v>0</v>
      </c>
      <c r="AK334" s="27">
        <f t="shared" si="60"/>
        <v>0</v>
      </c>
      <c r="AL334" s="27">
        <f t="shared" si="61"/>
        <v>0</v>
      </c>
      <c r="AN334" s="27">
        <v>21</v>
      </c>
      <c r="AO334" s="27">
        <f t="shared" si="62"/>
        <v>0</v>
      </c>
      <c r="AP334" s="27">
        <f t="shared" si="63"/>
        <v>0</v>
      </c>
      <c r="AQ334" s="29" t="s">
        <v>84</v>
      </c>
      <c r="AV334" s="27">
        <f t="shared" si="64"/>
        <v>0</v>
      </c>
      <c r="AW334" s="27">
        <f t="shared" si="65"/>
        <v>0</v>
      </c>
      <c r="AX334" s="27">
        <f t="shared" si="66"/>
        <v>0</v>
      </c>
      <c r="AY334" s="29" t="s">
        <v>205</v>
      </c>
      <c r="AZ334" s="29" t="s">
        <v>655</v>
      </c>
      <c r="BA334" s="9" t="s">
        <v>656</v>
      </c>
      <c r="BC334" s="27">
        <f t="shared" si="67"/>
        <v>0</v>
      </c>
      <c r="BD334" s="27">
        <f t="shared" si="68"/>
        <v>0</v>
      </c>
      <c r="BE334" s="27">
        <v>0</v>
      </c>
      <c r="BF334" s="27">
        <f>334</f>
        <v>334</v>
      </c>
      <c r="BH334" s="27">
        <f t="shared" si="69"/>
        <v>0</v>
      </c>
      <c r="BI334" s="27">
        <f t="shared" si="70"/>
        <v>0</v>
      </c>
      <c r="BJ334" s="27">
        <f t="shared" si="71"/>
        <v>0</v>
      </c>
      <c r="BK334" s="27"/>
      <c r="BL334" s="27">
        <v>721</v>
      </c>
      <c r="BW334" s="27">
        <v>21</v>
      </c>
    </row>
    <row r="335" spans="1:75" ht="13.5" customHeight="1">
      <c r="A335" s="2" t="s">
        <v>696</v>
      </c>
      <c r="B335" s="3" t="s">
        <v>650</v>
      </c>
      <c r="C335" s="3" t="s">
        <v>697</v>
      </c>
      <c r="D335" s="148" t="s">
        <v>698</v>
      </c>
      <c r="E335" s="143"/>
      <c r="F335" s="3" t="s">
        <v>126</v>
      </c>
      <c r="G335" s="27">
        <v>31</v>
      </c>
      <c r="H335" s="27">
        <v>0</v>
      </c>
      <c r="I335" s="27">
        <f t="shared" si="48"/>
        <v>0</v>
      </c>
      <c r="J335" s="27">
        <f t="shared" si="49"/>
        <v>0</v>
      </c>
      <c r="K335" s="27">
        <f t="shared" si="50"/>
        <v>0</v>
      </c>
      <c r="L335" s="28" t="s">
        <v>52</v>
      </c>
      <c r="Z335" s="27">
        <f t="shared" si="51"/>
        <v>0</v>
      </c>
      <c r="AB335" s="27">
        <f t="shared" si="52"/>
        <v>0</v>
      </c>
      <c r="AC335" s="27">
        <f t="shared" si="53"/>
        <v>0</v>
      </c>
      <c r="AD335" s="27">
        <f t="shared" si="54"/>
        <v>0</v>
      </c>
      <c r="AE335" s="27">
        <f t="shared" si="55"/>
        <v>0</v>
      </c>
      <c r="AF335" s="27">
        <f t="shared" si="56"/>
        <v>0</v>
      </c>
      <c r="AG335" s="27">
        <f t="shared" si="57"/>
        <v>0</v>
      </c>
      <c r="AH335" s="27">
        <f t="shared" si="58"/>
        <v>0</v>
      </c>
      <c r="AI335" s="9" t="s">
        <v>650</v>
      </c>
      <c r="AJ335" s="27">
        <f t="shared" si="59"/>
        <v>0</v>
      </c>
      <c r="AK335" s="27">
        <f t="shared" si="60"/>
        <v>0</v>
      </c>
      <c r="AL335" s="27">
        <f t="shared" si="61"/>
        <v>0</v>
      </c>
      <c r="AN335" s="27">
        <v>21</v>
      </c>
      <c r="AO335" s="27">
        <f t="shared" si="62"/>
        <v>0</v>
      </c>
      <c r="AP335" s="27">
        <f t="shared" si="63"/>
        <v>0</v>
      </c>
      <c r="AQ335" s="29" t="s">
        <v>84</v>
      </c>
      <c r="AV335" s="27">
        <f t="shared" si="64"/>
        <v>0</v>
      </c>
      <c r="AW335" s="27">
        <f t="shared" si="65"/>
        <v>0</v>
      </c>
      <c r="AX335" s="27">
        <f t="shared" si="66"/>
        <v>0</v>
      </c>
      <c r="AY335" s="29" t="s">
        <v>205</v>
      </c>
      <c r="AZ335" s="29" t="s">
        <v>655</v>
      </c>
      <c r="BA335" s="9" t="s">
        <v>656</v>
      </c>
      <c r="BC335" s="27">
        <f t="shared" si="67"/>
        <v>0</v>
      </c>
      <c r="BD335" s="27">
        <f t="shared" si="68"/>
        <v>0</v>
      </c>
      <c r="BE335" s="27">
        <v>0</v>
      </c>
      <c r="BF335" s="27">
        <f>335</f>
        <v>335</v>
      </c>
      <c r="BH335" s="27">
        <f t="shared" si="69"/>
        <v>0</v>
      </c>
      <c r="BI335" s="27">
        <f t="shared" si="70"/>
        <v>0</v>
      </c>
      <c r="BJ335" s="27">
        <f t="shared" si="71"/>
        <v>0</v>
      </c>
      <c r="BK335" s="27"/>
      <c r="BL335" s="27">
        <v>721</v>
      </c>
      <c r="BW335" s="27">
        <v>21</v>
      </c>
    </row>
    <row r="336" spans="1:47" ht="15">
      <c r="A336" s="23" t="s">
        <v>52</v>
      </c>
      <c r="B336" s="24" t="s">
        <v>650</v>
      </c>
      <c r="C336" s="24" t="s">
        <v>699</v>
      </c>
      <c r="D336" s="164" t="s">
        <v>700</v>
      </c>
      <c r="E336" s="165"/>
      <c r="F336" s="25" t="s">
        <v>4</v>
      </c>
      <c r="G336" s="25" t="s">
        <v>4</v>
      </c>
      <c r="H336" s="25" t="s">
        <v>4</v>
      </c>
      <c r="I336" s="1">
        <f>SUM(I337:I361)</f>
        <v>0</v>
      </c>
      <c r="J336" s="1">
        <f>SUM(J337:J361)</f>
        <v>0</v>
      </c>
      <c r="K336" s="1">
        <f>SUM(K337:K361)</f>
        <v>0</v>
      </c>
      <c r="L336" s="26" t="s">
        <v>52</v>
      </c>
      <c r="AI336" s="9" t="s">
        <v>650</v>
      </c>
      <c r="AS336" s="1">
        <f>SUM(AJ337:AJ361)</f>
        <v>0</v>
      </c>
      <c r="AT336" s="1">
        <f>SUM(AK337:AK361)</f>
        <v>0</v>
      </c>
      <c r="AU336" s="1">
        <f>SUM(AL337:AL361)</f>
        <v>0</v>
      </c>
    </row>
    <row r="337" spans="1:75" ht="13.5" customHeight="1">
      <c r="A337" s="2" t="s">
        <v>701</v>
      </c>
      <c r="B337" s="3" t="s">
        <v>650</v>
      </c>
      <c r="C337" s="3" t="s">
        <v>702</v>
      </c>
      <c r="D337" s="148" t="s">
        <v>703</v>
      </c>
      <c r="E337" s="143"/>
      <c r="F337" s="3" t="s">
        <v>126</v>
      </c>
      <c r="G337" s="27">
        <v>14</v>
      </c>
      <c r="H337" s="27">
        <v>0</v>
      </c>
      <c r="I337" s="27">
        <f aca="true" t="shared" si="72" ref="I337:I361">G337*AO337</f>
        <v>0</v>
      </c>
      <c r="J337" s="27">
        <f aca="true" t="shared" si="73" ref="J337:J361">G337*AP337</f>
        <v>0</v>
      </c>
      <c r="K337" s="27">
        <f aca="true" t="shared" si="74" ref="K337:K361">G337*H337</f>
        <v>0</v>
      </c>
      <c r="L337" s="28" t="s">
        <v>52</v>
      </c>
      <c r="Z337" s="27">
        <f aca="true" t="shared" si="75" ref="Z337:Z361">IF(AQ337="5",BJ337,0)</f>
        <v>0</v>
      </c>
      <c r="AB337" s="27">
        <f aca="true" t="shared" si="76" ref="AB337:AB361">IF(AQ337="1",BH337,0)</f>
        <v>0</v>
      </c>
      <c r="AC337" s="27">
        <f aca="true" t="shared" si="77" ref="AC337:AC361">IF(AQ337="1",BI337,0)</f>
        <v>0</v>
      </c>
      <c r="AD337" s="27">
        <f aca="true" t="shared" si="78" ref="AD337:AD361">IF(AQ337="7",BH337,0)</f>
        <v>0</v>
      </c>
      <c r="AE337" s="27">
        <f aca="true" t="shared" si="79" ref="AE337:AE361">IF(AQ337="7",BI337,0)</f>
        <v>0</v>
      </c>
      <c r="AF337" s="27">
        <f aca="true" t="shared" si="80" ref="AF337:AF361">IF(AQ337="2",BH337,0)</f>
        <v>0</v>
      </c>
      <c r="AG337" s="27">
        <f aca="true" t="shared" si="81" ref="AG337:AG361">IF(AQ337="2",BI337,0)</f>
        <v>0</v>
      </c>
      <c r="AH337" s="27">
        <f aca="true" t="shared" si="82" ref="AH337:AH361">IF(AQ337="0",BJ337,0)</f>
        <v>0</v>
      </c>
      <c r="AI337" s="9" t="s">
        <v>650</v>
      </c>
      <c r="AJ337" s="27">
        <f aca="true" t="shared" si="83" ref="AJ337:AJ361">IF(AN337=0,K337,0)</f>
        <v>0</v>
      </c>
      <c r="AK337" s="27">
        <f aca="true" t="shared" si="84" ref="AK337:AK361">IF(AN337=12,K337,0)</f>
        <v>0</v>
      </c>
      <c r="AL337" s="27">
        <f aca="true" t="shared" si="85" ref="AL337:AL361">IF(AN337=21,K337,0)</f>
        <v>0</v>
      </c>
      <c r="AN337" s="27">
        <v>21</v>
      </c>
      <c r="AO337" s="27">
        <f aca="true" t="shared" si="86" ref="AO337:AO361">H337*0</f>
        <v>0</v>
      </c>
      <c r="AP337" s="27">
        <f aca="true" t="shared" si="87" ref="AP337:AP361">H337*(1-0)</f>
        <v>0</v>
      </c>
      <c r="AQ337" s="29" t="s">
        <v>84</v>
      </c>
      <c r="AV337" s="27">
        <f aca="true" t="shared" si="88" ref="AV337:AV361">AW337+AX337</f>
        <v>0</v>
      </c>
      <c r="AW337" s="27">
        <f aca="true" t="shared" si="89" ref="AW337:AW361">G337*AO337</f>
        <v>0</v>
      </c>
      <c r="AX337" s="27">
        <f aca="true" t="shared" si="90" ref="AX337:AX361">G337*AP337</f>
        <v>0</v>
      </c>
      <c r="AY337" s="29" t="s">
        <v>704</v>
      </c>
      <c r="AZ337" s="29" t="s">
        <v>655</v>
      </c>
      <c r="BA337" s="9" t="s">
        <v>656</v>
      </c>
      <c r="BC337" s="27">
        <f aca="true" t="shared" si="91" ref="BC337:BC361">AW337+AX337</f>
        <v>0</v>
      </c>
      <c r="BD337" s="27">
        <f aca="true" t="shared" si="92" ref="BD337:BD361">H337/(100-BE337)*100</f>
        <v>0</v>
      </c>
      <c r="BE337" s="27">
        <v>0</v>
      </c>
      <c r="BF337" s="27">
        <f>337</f>
        <v>337</v>
      </c>
      <c r="BH337" s="27">
        <f aca="true" t="shared" si="93" ref="BH337:BH361">G337*AO337</f>
        <v>0</v>
      </c>
      <c r="BI337" s="27">
        <f aca="true" t="shared" si="94" ref="BI337:BI361">G337*AP337</f>
        <v>0</v>
      </c>
      <c r="BJ337" s="27">
        <f aca="true" t="shared" si="95" ref="BJ337:BJ361">G337*H337</f>
        <v>0</v>
      </c>
      <c r="BK337" s="27"/>
      <c r="BL337" s="27">
        <v>722</v>
      </c>
      <c r="BW337" s="27">
        <v>21</v>
      </c>
    </row>
    <row r="338" spans="1:75" ht="13.5" customHeight="1">
      <c r="A338" s="2" t="s">
        <v>705</v>
      </c>
      <c r="B338" s="3" t="s">
        <v>650</v>
      </c>
      <c r="C338" s="3" t="s">
        <v>706</v>
      </c>
      <c r="D338" s="148" t="s">
        <v>707</v>
      </c>
      <c r="E338" s="143"/>
      <c r="F338" s="3" t="s">
        <v>154</v>
      </c>
      <c r="G338" s="27">
        <v>10</v>
      </c>
      <c r="H338" s="27">
        <v>0</v>
      </c>
      <c r="I338" s="27">
        <f t="shared" si="72"/>
        <v>0</v>
      </c>
      <c r="J338" s="27">
        <f t="shared" si="73"/>
        <v>0</v>
      </c>
      <c r="K338" s="27">
        <f t="shared" si="74"/>
        <v>0</v>
      </c>
      <c r="L338" s="28" t="s">
        <v>52</v>
      </c>
      <c r="Z338" s="27">
        <f t="shared" si="75"/>
        <v>0</v>
      </c>
      <c r="AB338" s="27">
        <f t="shared" si="76"/>
        <v>0</v>
      </c>
      <c r="AC338" s="27">
        <f t="shared" si="77"/>
        <v>0</v>
      </c>
      <c r="AD338" s="27">
        <f t="shared" si="78"/>
        <v>0</v>
      </c>
      <c r="AE338" s="27">
        <f t="shared" si="79"/>
        <v>0</v>
      </c>
      <c r="AF338" s="27">
        <f t="shared" si="80"/>
        <v>0</v>
      </c>
      <c r="AG338" s="27">
        <f t="shared" si="81"/>
        <v>0</v>
      </c>
      <c r="AH338" s="27">
        <f t="shared" si="82"/>
        <v>0</v>
      </c>
      <c r="AI338" s="9" t="s">
        <v>650</v>
      </c>
      <c r="AJ338" s="27">
        <f t="shared" si="83"/>
        <v>0</v>
      </c>
      <c r="AK338" s="27">
        <f t="shared" si="84"/>
        <v>0</v>
      </c>
      <c r="AL338" s="27">
        <f t="shared" si="85"/>
        <v>0</v>
      </c>
      <c r="AN338" s="27">
        <v>21</v>
      </c>
      <c r="AO338" s="27">
        <f t="shared" si="86"/>
        <v>0</v>
      </c>
      <c r="AP338" s="27">
        <f t="shared" si="87"/>
        <v>0</v>
      </c>
      <c r="AQ338" s="29" t="s">
        <v>84</v>
      </c>
      <c r="AV338" s="27">
        <f t="shared" si="88"/>
        <v>0</v>
      </c>
      <c r="AW338" s="27">
        <f t="shared" si="89"/>
        <v>0</v>
      </c>
      <c r="AX338" s="27">
        <f t="shared" si="90"/>
        <v>0</v>
      </c>
      <c r="AY338" s="29" t="s">
        <v>704</v>
      </c>
      <c r="AZ338" s="29" t="s">
        <v>655</v>
      </c>
      <c r="BA338" s="9" t="s">
        <v>656</v>
      </c>
      <c r="BC338" s="27">
        <f t="shared" si="91"/>
        <v>0</v>
      </c>
      <c r="BD338" s="27">
        <f t="shared" si="92"/>
        <v>0</v>
      </c>
      <c r="BE338" s="27">
        <v>0</v>
      </c>
      <c r="BF338" s="27">
        <f>338</f>
        <v>338</v>
      </c>
      <c r="BH338" s="27">
        <f t="shared" si="93"/>
        <v>0</v>
      </c>
      <c r="BI338" s="27">
        <f t="shared" si="94"/>
        <v>0</v>
      </c>
      <c r="BJ338" s="27">
        <f t="shared" si="95"/>
        <v>0</v>
      </c>
      <c r="BK338" s="27"/>
      <c r="BL338" s="27">
        <v>722</v>
      </c>
      <c r="BW338" s="27">
        <v>21</v>
      </c>
    </row>
    <row r="339" spans="1:75" ht="13.5" customHeight="1">
      <c r="A339" s="2" t="s">
        <v>708</v>
      </c>
      <c r="B339" s="3" t="s">
        <v>650</v>
      </c>
      <c r="C339" s="3" t="s">
        <v>709</v>
      </c>
      <c r="D339" s="148" t="s">
        <v>710</v>
      </c>
      <c r="E339" s="143"/>
      <c r="F339" s="3" t="s">
        <v>154</v>
      </c>
      <c r="G339" s="27">
        <v>10</v>
      </c>
      <c r="H339" s="27">
        <v>0</v>
      </c>
      <c r="I339" s="27">
        <f t="shared" si="72"/>
        <v>0</v>
      </c>
      <c r="J339" s="27">
        <f t="shared" si="73"/>
        <v>0</v>
      </c>
      <c r="K339" s="27">
        <f t="shared" si="74"/>
        <v>0</v>
      </c>
      <c r="L339" s="28" t="s">
        <v>52</v>
      </c>
      <c r="Z339" s="27">
        <f t="shared" si="75"/>
        <v>0</v>
      </c>
      <c r="AB339" s="27">
        <f t="shared" si="76"/>
        <v>0</v>
      </c>
      <c r="AC339" s="27">
        <f t="shared" si="77"/>
        <v>0</v>
      </c>
      <c r="AD339" s="27">
        <f t="shared" si="78"/>
        <v>0</v>
      </c>
      <c r="AE339" s="27">
        <f t="shared" si="79"/>
        <v>0</v>
      </c>
      <c r="AF339" s="27">
        <f t="shared" si="80"/>
        <v>0</v>
      </c>
      <c r="AG339" s="27">
        <f t="shared" si="81"/>
        <v>0</v>
      </c>
      <c r="AH339" s="27">
        <f t="shared" si="82"/>
        <v>0</v>
      </c>
      <c r="AI339" s="9" t="s">
        <v>650</v>
      </c>
      <c r="AJ339" s="27">
        <f t="shared" si="83"/>
        <v>0</v>
      </c>
      <c r="AK339" s="27">
        <f t="shared" si="84"/>
        <v>0</v>
      </c>
      <c r="AL339" s="27">
        <f t="shared" si="85"/>
        <v>0</v>
      </c>
      <c r="AN339" s="27">
        <v>21</v>
      </c>
      <c r="AO339" s="27">
        <f t="shared" si="86"/>
        <v>0</v>
      </c>
      <c r="AP339" s="27">
        <f t="shared" si="87"/>
        <v>0</v>
      </c>
      <c r="AQ339" s="29" t="s">
        <v>84</v>
      </c>
      <c r="AV339" s="27">
        <f t="shared" si="88"/>
        <v>0</v>
      </c>
      <c r="AW339" s="27">
        <f t="shared" si="89"/>
        <v>0</v>
      </c>
      <c r="AX339" s="27">
        <f t="shared" si="90"/>
        <v>0</v>
      </c>
      <c r="AY339" s="29" t="s">
        <v>704</v>
      </c>
      <c r="AZ339" s="29" t="s">
        <v>655</v>
      </c>
      <c r="BA339" s="9" t="s">
        <v>656</v>
      </c>
      <c r="BC339" s="27">
        <f t="shared" si="91"/>
        <v>0</v>
      </c>
      <c r="BD339" s="27">
        <f t="shared" si="92"/>
        <v>0</v>
      </c>
      <c r="BE339" s="27">
        <v>0</v>
      </c>
      <c r="BF339" s="27">
        <f>339</f>
        <v>339</v>
      </c>
      <c r="BH339" s="27">
        <f t="shared" si="93"/>
        <v>0</v>
      </c>
      <c r="BI339" s="27">
        <f t="shared" si="94"/>
        <v>0</v>
      </c>
      <c r="BJ339" s="27">
        <f t="shared" si="95"/>
        <v>0</v>
      </c>
      <c r="BK339" s="27"/>
      <c r="BL339" s="27">
        <v>722</v>
      </c>
      <c r="BW339" s="27">
        <v>21</v>
      </c>
    </row>
    <row r="340" spans="1:75" ht="13.5" customHeight="1">
      <c r="A340" s="2" t="s">
        <v>711</v>
      </c>
      <c r="B340" s="3" t="s">
        <v>650</v>
      </c>
      <c r="C340" s="3" t="s">
        <v>712</v>
      </c>
      <c r="D340" s="148" t="s">
        <v>713</v>
      </c>
      <c r="E340" s="143"/>
      <c r="F340" s="3" t="s">
        <v>126</v>
      </c>
      <c r="G340" s="27">
        <v>15</v>
      </c>
      <c r="H340" s="27">
        <v>0</v>
      </c>
      <c r="I340" s="27">
        <f t="shared" si="72"/>
        <v>0</v>
      </c>
      <c r="J340" s="27">
        <f t="shared" si="73"/>
        <v>0</v>
      </c>
      <c r="K340" s="27">
        <f t="shared" si="74"/>
        <v>0</v>
      </c>
      <c r="L340" s="28" t="s">
        <v>52</v>
      </c>
      <c r="Z340" s="27">
        <f t="shared" si="75"/>
        <v>0</v>
      </c>
      <c r="AB340" s="27">
        <f t="shared" si="76"/>
        <v>0</v>
      </c>
      <c r="AC340" s="27">
        <f t="shared" si="77"/>
        <v>0</v>
      </c>
      <c r="AD340" s="27">
        <f t="shared" si="78"/>
        <v>0</v>
      </c>
      <c r="AE340" s="27">
        <f t="shared" si="79"/>
        <v>0</v>
      </c>
      <c r="AF340" s="27">
        <f t="shared" si="80"/>
        <v>0</v>
      </c>
      <c r="AG340" s="27">
        <f t="shared" si="81"/>
        <v>0</v>
      </c>
      <c r="AH340" s="27">
        <f t="shared" si="82"/>
        <v>0</v>
      </c>
      <c r="AI340" s="9" t="s">
        <v>650</v>
      </c>
      <c r="AJ340" s="27">
        <f t="shared" si="83"/>
        <v>0</v>
      </c>
      <c r="AK340" s="27">
        <f t="shared" si="84"/>
        <v>0</v>
      </c>
      <c r="AL340" s="27">
        <f t="shared" si="85"/>
        <v>0</v>
      </c>
      <c r="AN340" s="27">
        <v>21</v>
      </c>
      <c r="AO340" s="27">
        <f t="shared" si="86"/>
        <v>0</v>
      </c>
      <c r="AP340" s="27">
        <f t="shared" si="87"/>
        <v>0</v>
      </c>
      <c r="AQ340" s="29" t="s">
        <v>84</v>
      </c>
      <c r="AV340" s="27">
        <f t="shared" si="88"/>
        <v>0</v>
      </c>
      <c r="AW340" s="27">
        <f t="shared" si="89"/>
        <v>0</v>
      </c>
      <c r="AX340" s="27">
        <f t="shared" si="90"/>
        <v>0</v>
      </c>
      <c r="AY340" s="29" t="s">
        <v>704</v>
      </c>
      <c r="AZ340" s="29" t="s">
        <v>655</v>
      </c>
      <c r="BA340" s="9" t="s">
        <v>656</v>
      </c>
      <c r="BC340" s="27">
        <f t="shared" si="91"/>
        <v>0</v>
      </c>
      <c r="BD340" s="27">
        <f t="shared" si="92"/>
        <v>0</v>
      </c>
      <c r="BE340" s="27">
        <v>0</v>
      </c>
      <c r="BF340" s="27">
        <f>340</f>
        <v>340</v>
      </c>
      <c r="BH340" s="27">
        <f t="shared" si="93"/>
        <v>0</v>
      </c>
      <c r="BI340" s="27">
        <f t="shared" si="94"/>
        <v>0</v>
      </c>
      <c r="BJ340" s="27">
        <f t="shared" si="95"/>
        <v>0</v>
      </c>
      <c r="BK340" s="27"/>
      <c r="BL340" s="27">
        <v>722</v>
      </c>
      <c r="BW340" s="27">
        <v>21</v>
      </c>
    </row>
    <row r="341" spans="1:75" ht="13.5" customHeight="1">
      <c r="A341" s="2" t="s">
        <v>714</v>
      </c>
      <c r="B341" s="3" t="s">
        <v>650</v>
      </c>
      <c r="C341" s="3" t="s">
        <v>715</v>
      </c>
      <c r="D341" s="148" t="s">
        <v>716</v>
      </c>
      <c r="E341" s="143"/>
      <c r="F341" s="3" t="s">
        <v>154</v>
      </c>
      <c r="G341" s="27">
        <v>2</v>
      </c>
      <c r="H341" s="27">
        <v>0</v>
      </c>
      <c r="I341" s="27">
        <f t="shared" si="72"/>
        <v>0</v>
      </c>
      <c r="J341" s="27">
        <f t="shared" si="73"/>
        <v>0</v>
      </c>
      <c r="K341" s="27">
        <f t="shared" si="74"/>
        <v>0</v>
      </c>
      <c r="L341" s="28" t="s">
        <v>52</v>
      </c>
      <c r="Z341" s="27">
        <f t="shared" si="75"/>
        <v>0</v>
      </c>
      <c r="AB341" s="27">
        <f t="shared" si="76"/>
        <v>0</v>
      </c>
      <c r="AC341" s="27">
        <f t="shared" si="77"/>
        <v>0</v>
      </c>
      <c r="AD341" s="27">
        <f t="shared" si="78"/>
        <v>0</v>
      </c>
      <c r="AE341" s="27">
        <f t="shared" si="79"/>
        <v>0</v>
      </c>
      <c r="AF341" s="27">
        <f t="shared" si="80"/>
        <v>0</v>
      </c>
      <c r="AG341" s="27">
        <f t="shared" si="81"/>
        <v>0</v>
      </c>
      <c r="AH341" s="27">
        <f t="shared" si="82"/>
        <v>0</v>
      </c>
      <c r="AI341" s="9" t="s">
        <v>650</v>
      </c>
      <c r="AJ341" s="27">
        <f t="shared" si="83"/>
        <v>0</v>
      </c>
      <c r="AK341" s="27">
        <f t="shared" si="84"/>
        <v>0</v>
      </c>
      <c r="AL341" s="27">
        <f t="shared" si="85"/>
        <v>0</v>
      </c>
      <c r="AN341" s="27">
        <v>21</v>
      </c>
      <c r="AO341" s="27">
        <f t="shared" si="86"/>
        <v>0</v>
      </c>
      <c r="AP341" s="27">
        <f t="shared" si="87"/>
        <v>0</v>
      </c>
      <c r="AQ341" s="29" t="s">
        <v>84</v>
      </c>
      <c r="AV341" s="27">
        <f t="shared" si="88"/>
        <v>0</v>
      </c>
      <c r="AW341" s="27">
        <f t="shared" si="89"/>
        <v>0</v>
      </c>
      <c r="AX341" s="27">
        <f t="shared" si="90"/>
        <v>0</v>
      </c>
      <c r="AY341" s="29" t="s">
        <v>704</v>
      </c>
      <c r="AZ341" s="29" t="s">
        <v>655</v>
      </c>
      <c r="BA341" s="9" t="s">
        <v>656</v>
      </c>
      <c r="BC341" s="27">
        <f t="shared" si="91"/>
        <v>0</v>
      </c>
      <c r="BD341" s="27">
        <f t="shared" si="92"/>
        <v>0</v>
      </c>
      <c r="BE341" s="27">
        <v>0</v>
      </c>
      <c r="BF341" s="27">
        <f>341</f>
        <v>341</v>
      </c>
      <c r="BH341" s="27">
        <f t="shared" si="93"/>
        <v>0</v>
      </c>
      <c r="BI341" s="27">
        <f t="shared" si="94"/>
        <v>0</v>
      </c>
      <c r="BJ341" s="27">
        <f t="shared" si="95"/>
        <v>0</v>
      </c>
      <c r="BK341" s="27"/>
      <c r="BL341" s="27">
        <v>722</v>
      </c>
      <c r="BW341" s="27">
        <v>21</v>
      </c>
    </row>
    <row r="342" spans="1:75" ht="13.5" customHeight="1">
      <c r="A342" s="2" t="s">
        <v>717</v>
      </c>
      <c r="B342" s="3" t="s">
        <v>650</v>
      </c>
      <c r="C342" s="3" t="s">
        <v>718</v>
      </c>
      <c r="D342" s="148" t="s">
        <v>719</v>
      </c>
      <c r="E342" s="143"/>
      <c r="F342" s="3" t="s">
        <v>126</v>
      </c>
      <c r="G342" s="27">
        <v>14</v>
      </c>
      <c r="H342" s="27">
        <v>0</v>
      </c>
      <c r="I342" s="27">
        <f t="shared" si="72"/>
        <v>0</v>
      </c>
      <c r="J342" s="27">
        <f t="shared" si="73"/>
        <v>0</v>
      </c>
      <c r="K342" s="27">
        <f t="shared" si="74"/>
        <v>0</v>
      </c>
      <c r="L342" s="28" t="s">
        <v>52</v>
      </c>
      <c r="Z342" s="27">
        <f t="shared" si="75"/>
        <v>0</v>
      </c>
      <c r="AB342" s="27">
        <f t="shared" si="76"/>
        <v>0</v>
      </c>
      <c r="AC342" s="27">
        <f t="shared" si="77"/>
        <v>0</v>
      </c>
      <c r="AD342" s="27">
        <f t="shared" si="78"/>
        <v>0</v>
      </c>
      <c r="AE342" s="27">
        <f t="shared" si="79"/>
        <v>0</v>
      </c>
      <c r="AF342" s="27">
        <f t="shared" si="80"/>
        <v>0</v>
      </c>
      <c r="AG342" s="27">
        <f t="shared" si="81"/>
        <v>0</v>
      </c>
      <c r="AH342" s="27">
        <f t="shared" si="82"/>
        <v>0</v>
      </c>
      <c r="AI342" s="9" t="s">
        <v>650</v>
      </c>
      <c r="AJ342" s="27">
        <f t="shared" si="83"/>
        <v>0</v>
      </c>
      <c r="AK342" s="27">
        <f t="shared" si="84"/>
        <v>0</v>
      </c>
      <c r="AL342" s="27">
        <f t="shared" si="85"/>
        <v>0</v>
      </c>
      <c r="AN342" s="27">
        <v>21</v>
      </c>
      <c r="AO342" s="27">
        <f t="shared" si="86"/>
        <v>0</v>
      </c>
      <c r="AP342" s="27">
        <f t="shared" si="87"/>
        <v>0</v>
      </c>
      <c r="AQ342" s="29" t="s">
        <v>84</v>
      </c>
      <c r="AV342" s="27">
        <f t="shared" si="88"/>
        <v>0</v>
      </c>
      <c r="AW342" s="27">
        <f t="shared" si="89"/>
        <v>0</v>
      </c>
      <c r="AX342" s="27">
        <f t="shared" si="90"/>
        <v>0</v>
      </c>
      <c r="AY342" s="29" t="s">
        <v>704</v>
      </c>
      <c r="AZ342" s="29" t="s">
        <v>655</v>
      </c>
      <c r="BA342" s="9" t="s">
        <v>656</v>
      </c>
      <c r="BC342" s="27">
        <f t="shared" si="91"/>
        <v>0</v>
      </c>
      <c r="BD342" s="27">
        <f t="shared" si="92"/>
        <v>0</v>
      </c>
      <c r="BE342" s="27">
        <v>0</v>
      </c>
      <c r="BF342" s="27">
        <f>342</f>
        <v>342</v>
      </c>
      <c r="BH342" s="27">
        <f t="shared" si="93"/>
        <v>0</v>
      </c>
      <c r="BI342" s="27">
        <f t="shared" si="94"/>
        <v>0</v>
      </c>
      <c r="BJ342" s="27">
        <f t="shared" si="95"/>
        <v>0</v>
      </c>
      <c r="BK342" s="27"/>
      <c r="BL342" s="27">
        <v>722</v>
      </c>
      <c r="BW342" s="27">
        <v>21</v>
      </c>
    </row>
    <row r="343" spans="1:75" ht="13.5" customHeight="1">
      <c r="A343" s="2" t="s">
        <v>720</v>
      </c>
      <c r="B343" s="3" t="s">
        <v>650</v>
      </c>
      <c r="C343" s="3" t="s">
        <v>721</v>
      </c>
      <c r="D343" s="148" t="s">
        <v>722</v>
      </c>
      <c r="E343" s="143"/>
      <c r="F343" s="3" t="s">
        <v>126</v>
      </c>
      <c r="G343" s="27">
        <v>4</v>
      </c>
      <c r="H343" s="27">
        <v>0</v>
      </c>
      <c r="I343" s="27">
        <f t="shared" si="72"/>
        <v>0</v>
      </c>
      <c r="J343" s="27">
        <f t="shared" si="73"/>
        <v>0</v>
      </c>
      <c r="K343" s="27">
        <f t="shared" si="74"/>
        <v>0</v>
      </c>
      <c r="L343" s="28" t="s">
        <v>52</v>
      </c>
      <c r="Z343" s="27">
        <f t="shared" si="75"/>
        <v>0</v>
      </c>
      <c r="AB343" s="27">
        <f t="shared" si="76"/>
        <v>0</v>
      </c>
      <c r="AC343" s="27">
        <f t="shared" si="77"/>
        <v>0</v>
      </c>
      <c r="AD343" s="27">
        <f t="shared" si="78"/>
        <v>0</v>
      </c>
      <c r="AE343" s="27">
        <f t="shared" si="79"/>
        <v>0</v>
      </c>
      <c r="AF343" s="27">
        <f t="shared" si="80"/>
        <v>0</v>
      </c>
      <c r="AG343" s="27">
        <f t="shared" si="81"/>
        <v>0</v>
      </c>
      <c r="AH343" s="27">
        <f t="shared" si="82"/>
        <v>0</v>
      </c>
      <c r="AI343" s="9" t="s">
        <v>650</v>
      </c>
      <c r="AJ343" s="27">
        <f t="shared" si="83"/>
        <v>0</v>
      </c>
      <c r="AK343" s="27">
        <f t="shared" si="84"/>
        <v>0</v>
      </c>
      <c r="AL343" s="27">
        <f t="shared" si="85"/>
        <v>0</v>
      </c>
      <c r="AN343" s="27">
        <v>21</v>
      </c>
      <c r="AO343" s="27">
        <f t="shared" si="86"/>
        <v>0</v>
      </c>
      <c r="AP343" s="27">
        <f t="shared" si="87"/>
        <v>0</v>
      </c>
      <c r="AQ343" s="29" t="s">
        <v>84</v>
      </c>
      <c r="AV343" s="27">
        <f t="shared" si="88"/>
        <v>0</v>
      </c>
      <c r="AW343" s="27">
        <f t="shared" si="89"/>
        <v>0</v>
      </c>
      <c r="AX343" s="27">
        <f t="shared" si="90"/>
        <v>0</v>
      </c>
      <c r="AY343" s="29" t="s">
        <v>704</v>
      </c>
      <c r="AZ343" s="29" t="s">
        <v>655</v>
      </c>
      <c r="BA343" s="9" t="s">
        <v>656</v>
      </c>
      <c r="BC343" s="27">
        <f t="shared" si="91"/>
        <v>0</v>
      </c>
      <c r="BD343" s="27">
        <f t="shared" si="92"/>
        <v>0</v>
      </c>
      <c r="BE343" s="27">
        <v>0</v>
      </c>
      <c r="BF343" s="27">
        <f>343</f>
        <v>343</v>
      </c>
      <c r="BH343" s="27">
        <f t="shared" si="93"/>
        <v>0</v>
      </c>
      <c r="BI343" s="27">
        <f t="shared" si="94"/>
        <v>0</v>
      </c>
      <c r="BJ343" s="27">
        <f t="shared" si="95"/>
        <v>0</v>
      </c>
      <c r="BK343" s="27"/>
      <c r="BL343" s="27">
        <v>722</v>
      </c>
      <c r="BW343" s="27">
        <v>21</v>
      </c>
    </row>
    <row r="344" spans="1:75" ht="13.5" customHeight="1">
      <c r="A344" s="2" t="s">
        <v>723</v>
      </c>
      <c r="B344" s="3" t="s">
        <v>650</v>
      </c>
      <c r="C344" s="3" t="s">
        <v>724</v>
      </c>
      <c r="D344" s="148" t="s">
        <v>725</v>
      </c>
      <c r="E344" s="143"/>
      <c r="F344" s="3" t="s">
        <v>126</v>
      </c>
      <c r="G344" s="27">
        <v>14</v>
      </c>
      <c r="H344" s="27">
        <v>0</v>
      </c>
      <c r="I344" s="27">
        <f t="shared" si="72"/>
        <v>0</v>
      </c>
      <c r="J344" s="27">
        <f t="shared" si="73"/>
        <v>0</v>
      </c>
      <c r="K344" s="27">
        <f t="shared" si="74"/>
        <v>0</v>
      </c>
      <c r="L344" s="28" t="s">
        <v>52</v>
      </c>
      <c r="Z344" s="27">
        <f t="shared" si="75"/>
        <v>0</v>
      </c>
      <c r="AB344" s="27">
        <f t="shared" si="76"/>
        <v>0</v>
      </c>
      <c r="AC344" s="27">
        <f t="shared" si="77"/>
        <v>0</v>
      </c>
      <c r="AD344" s="27">
        <f t="shared" si="78"/>
        <v>0</v>
      </c>
      <c r="AE344" s="27">
        <f t="shared" si="79"/>
        <v>0</v>
      </c>
      <c r="AF344" s="27">
        <f t="shared" si="80"/>
        <v>0</v>
      </c>
      <c r="AG344" s="27">
        <f t="shared" si="81"/>
        <v>0</v>
      </c>
      <c r="AH344" s="27">
        <f t="shared" si="82"/>
        <v>0</v>
      </c>
      <c r="AI344" s="9" t="s">
        <v>650</v>
      </c>
      <c r="AJ344" s="27">
        <f t="shared" si="83"/>
        <v>0</v>
      </c>
      <c r="AK344" s="27">
        <f t="shared" si="84"/>
        <v>0</v>
      </c>
      <c r="AL344" s="27">
        <f t="shared" si="85"/>
        <v>0</v>
      </c>
      <c r="AN344" s="27">
        <v>21</v>
      </c>
      <c r="AO344" s="27">
        <f t="shared" si="86"/>
        <v>0</v>
      </c>
      <c r="AP344" s="27">
        <f t="shared" si="87"/>
        <v>0</v>
      </c>
      <c r="AQ344" s="29" t="s">
        <v>84</v>
      </c>
      <c r="AV344" s="27">
        <f t="shared" si="88"/>
        <v>0</v>
      </c>
      <c r="AW344" s="27">
        <f t="shared" si="89"/>
        <v>0</v>
      </c>
      <c r="AX344" s="27">
        <f t="shared" si="90"/>
        <v>0</v>
      </c>
      <c r="AY344" s="29" t="s">
        <v>704</v>
      </c>
      <c r="AZ344" s="29" t="s">
        <v>655</v>
      </c>
      <c r="BA344" s="9" t="s">
        <v>656</v>
      </c>
      <c r="BC344" s="27">
        <f t="shared" si="91"/>
        <v>0</v>
      </c>
      <c r="BD344" s="27">
        <f t="shared" si="92"/>
        <v>0</v>
      </c>
      <c r="BE344" s="27">
        <v>0</v>
      </c>
      <c r="BF344" s="27">
        <f>344</f>
        <v>344</v>
      </c>
      <c r="BH344" s="27">
        <f t="shared" si="93"/>
        <v>0</v>
      </c>
      <c r="BI344" s="27">
        <f t="shared" si="94"/>
        <v>0</v>
      </c>
      <c r="BJ344" s="27">
        <f t="shared" si="95"/>
        <v>0</v>
      </c>
      <c r="BK344" s="27"/>
      <c r="BL344" s="27">
        <v>722</v>
      </c>
      <c r="BW344" s="27">
        <v>21</v>
      </c>
    </row>
    <row r="345" spans="1:75" ht="13.5" customHeight="1">
      <c r="A345" s="2" t="s">
        <v>726</v>
      </c>
      <c r="B345" s="3" t="s">
        <v>650</v>
      </c>
      <c r="C345" s="3" t="s">
        <v>727</v>
      </c>
      <c r="D345" s="148" t="s">
        <v>728</v>
      </c>
      <c r="E345" s="143"/>
      <c r="F345" s="3" t="s">
        <v>126</v>
      </c>
      <c r="G345" s="27">
        <v>4</v>
      </c>
      <c r="H345" s="27">
        <v>0</v>
      </c>
      <c r="I345" s="27">
        <f t="shared" si="72"/>
        <v>0</v>
      </c>
      <c r="J345" s="27">
        <f t="shared" si="73"/>
        <v>0</v>
      </c>
      <c r="K345" s="27">
        <f t="shared" si="74"/>
        <v>0</v>
      </c>
      <c r="L345" s="28" t="s">
        <v>52</v>
      </c>
      <c r="Z345" s="27">
        <f t="shared" si="75"/>
        <v>0</v>
      </c>
      <c r="AB345" s="27">
        <f t="shared" si="76"/>
        <v>0</v>
      </c>
      <c r="AC345" s="27">
        <f t="shared" si="77"/>
        <v>0</v>
      </c>
      <c r="AD345" s="27">
        <f t="shared" si="78"/>
        <v>0</v>
      </c>
      <c r="AE345" s="27">
        <f t="shared" si="79"/>
        <v>0</v>
      </c>
      <c r="AF345" s="27">
        <f t="shared" si="80"/>
        <v>0</v>
      </c>
      <c r="AG345" s="27">
        <f t="shared" si="81"/>
        <v>0</v>
      </c>
      <c r="AH345" s="27">
        <f t="shared" si="82"/>
        <v>0</v>
      </c>
      <c r="AI345" s="9" t="s">
        <v>650</v>
      </c>
      <c r="AJ345" s="27">
        <f t="shared" si="83"/>
        <v>0</v>
      </c>
      <c r="AK345" s="27">
        <f t="shared" si="84"/>
        <v>0</v>
      </c>
      <c r="AL345" s="27">
        <f t="shared" si="85"/>
        <v>0</v>
      </c>
      <c r="AN345" s="27">
        <v>21</v>
      </c>
      <c r="AO345" s="27">
        <f t="shared" si="86"/>
        <v>0</v>
      </c>
      <c r="AP345" s="27">
        <f t="shared" si="87"/>
        <v>0</v>
      </c>
      <c r="AQ345" s="29" t="s">
        <v>84</v>
      </c>
      <c r="AV345" s="27">
        <f t="shared" si="88"/>
        <v>0</v>
      </c>
      <c r="AW345" s="27">
        <f t="shared" si="89"/>
        <v>0</v>
      </c>
      <c r="AX345" s="27">
        <f t="shared" si="90"/>
        <v>0</v>
      </c>
      <c r="AY345" s="29" t="s">
        <v>704</v>
      </c>
      <c r="AZ345" s="29" t="s">
        <v>655</v>
      </c>
      <c r="BA345" s="9" t="s">
        <v>656</v>
      </c>
      <c r="BC345" s="27">
        <f t="shared" si="91"/>
        <v>0</v>
      </c>
      <c r="BD345" s="27">
        <f t="shared" si="92"/>
        <v>0</v>
      </c>
      <c r="BE345" s="27">
        <v>0</v>
      </c>
      <c r="BF345" s="27">
        <f>345</f>
        <v>345</v>
      </c>
      <c r="BH345" s="27">
        <f t="shared" si="93"/>
        <v>0</v>
      </c>
      <c r="BI345" s="27">
        <f t="shared" si="94"/>
        <v>0</v>
      </c>
      <c r="BJ345" s="27">
        <f t="shared" si="95"/>
        <v>0</v>
      </c>
      <c r="BK345" s="27"/>
      <c r="BL345" s="27">
        <v>722</v>
      </c>
      <c r="BW345" s="27">
        <v>21</v>
      </c>
    </row>
    <row r="346" spans="1:75" ht="13.5" customHeight="1">
      <c r="A346" s="2" t="s">
        <v>729</v>
      </c>
      <c r="B346" s="3" t="s">
        <v>650</v>
      </c>
      <c r="C346" s="3" t="s">
        <v>730</v>
      </c>
      <c r="D346" s="148" t="s">
        <v>731</v>
      </c>
      <c r="E346" s="143"/>
      <c r="F346" s="3" t="s">
        <v>126</v>
      </c>
      <c r="G346" s="27">
        <v>14</v>
      </c>
      <c r="H346" s="27">
        <v>0</v>
      </c>
      <c r="I346" s="27">
        <f t="shared" si="72"/>
        <v>0</v>
      </c>
      <c r="J346" s="27">
        <f t="shared" si="73"/>
        <v>0</v>
      </c>
      <c r="K346" s="27">
        <f t="shared" si="74"/>
        <v>0</v>
      </c>
      <c r="L346" s="28" t="s">
        <v>52</v>
      </c>
      <c r="Z346" s="27">
        <f t="shared" si="75"/>
        <v>0</v>
      </c>
      <c r="AB346" s="27">
        <f t="shared" si="76"/>
        <v>0</v>
      </c>
      <c r="AC346" s="27">
        <f t="shared" si="77"/>
        <v>0</v>
      </c>
      <c r="AD346" s="27">
        <f t="shared" si="78"/>
        <v>0</v>
      </c>
      <c r="AE346" s="27">
        <f t="shared" si="79"/>
        <v>0</v>
      </c>
      <c r="AF346" s="27">
        <f t="shared" si="80"/>
        <v>0</v>
      </c>
      <c r="AG346" s="27">
        <f t="shared" si="81"/>
        <v>0</v>
      </c>
      <c r="AH346" s="27">
        <f t="shared" si="82"/>
        <v>0</v>
      </c>
      <c r="AI346" s="9" t="s">
        <v>650</v>
      </c>
      <c r="AJ346" s="27">
        <f t="shared" si="83"/>
        <v>0</v>
      </c>
      <c r="AK346" s="27">
        <f t="shared" si="84"/>
        <v>0</v>
      </c>
      <c r="AL346" s="27">
        <f t="shared" si="85"/>
        <v>0</v>
      </c>
      <c r="AN346" s="27">
        <v>21</v>
      </c>
      <c r="AO346" s="27">
        <f t="shared" si="86"/>
        <v>0</v>
      </c>
      <c r="AP346" s="27">
        <f t="shared" si="87"/>
        <v>0</v>
      </c>
      <c r="AQ346" s="29" t="s">
        <v>84</v>
      </c>
      <c r="AV346" s="27">
        <f t="shared" si="88"/>
        <v>0</v>
      </c>
      <c r="AW346" s="27">
        <f t="shared" si="89"/>
        <v>0</v>
      </c>
      <c r="AX346" s="27">
        <f t="shared" si="90"/>
        <v>0</v>
      </c>
      <c r="AY346" s="29" t="s">
        <v>704</v>
      </c>
      <c r="AZ346" s="29" t="s">
        <v>655</v>
      </c>
      <c r="BA346" s="9" t="s">
        <v>656</v>
      </c>
      <c r="BC346" s="27">
        <f t="shared" si="91"/>
        <v>0</v>
      </c>
      <c r="BD346" s="27">
        <f t="shared" si="92"/>
        <v>0</v>
      </c>
      <c r="BE346" s="27">
        <v>0</v>
      </c>
      <c r="BF346" s="27">
        <f>346</f>
        <v>346</v>
      </c>
      <c r="BH346" s="27">
        <f t="shared" si="93"/>
        <v>0</v>
      </c>
      <c r="BI346" s="27">
        <f t="shared" si="94"/>
        <v>0</v>
      </c>
      <c r="BJ346" s="27">
        <f t="shared" si="95"/>
        <v>0</v>
      </c>
      <c r="BK346" s="27"/>
      <c r="BL346" s="27">
        <v>722</v>
      </c>
      <c r="BW346" s="27">
        <v>21</v>
      </c>
    </row>
    <row r="347" spans="1:75" ht="13.5" customHeight="1">
      <c r="A347" s="2" t="s">
        <v>732</v>
      </c>
      <c r="B347" s="3" t="s">
        <v>650</v>
      </c>
      <c r="C347" s="3" t="s">
        <v>733</v>
      </c>
      <c r="D347" s="148" t="s">
        <v>734</v>
      </c>
      <c r="E347" s="143"/>
      <c r="F347" s="3" t="s">
        <v>126</v>
      </c>
      <c r="G347" s="27">
        <v>4</v>
      </c>
      <c r="H347" s="27">
        <v>0</v>
      </c>
      <c r="I347" s="27">
        <f t="shared" si="72"/>
        <v>0</v>
      </c>
      <c r="J347" s="27">
        <f t="shared" si="73"/>
        <v>0</v>
      </c>
      <c r="K347" s="27">
        <f t="shared" si="74"/>
        <v>0</v>
      </c>
      <c r="L347" s="28" t="s">
        <v>52</v>
      </c>
      <c r="Z347" s="27">
        <f t="shared" si="75"/>
        <v>0</v>
      </c>
      <c r="AB347" s="27">
        <f t="shared" si="76"/>
        <v>0</v>
      </c>
      <c r="AC347" s="27">
        <f t="shared" si="77"/>
        <v>0</v>
      </c>
      <c r="AD347" s="27">
        <f t="shared" si="78"/>
        <v>0</v>
      </c>
      <c r="AE347" s="27">
        <f t="shared" si="79"/>
        <v>0</v>
      </c>
      <c r="AF347" s="27">
        <f t="shared" si="80"/>
        <v>0</v>
      </c>
      <c r="AG347" s="27">
        <f t="shared" si="81"/>
        <v>0</v>
      </c>
      <c r="AH347" s="27">
        <f t="shared" si="82"/>
        <v>0</v>
      </c>
      <c r="AI347" s="9" t="s">
        <v>650</v>
      </c>
      <c r="AJ347" s="27">
        <f t="shared" si="83"/>
        <v>0</v>
      </c>
      <c r="AK347" s="27">
        <f t="shared" si="84"/>
        <v>0</v>
      </c>
      <c r="AL347" s="27">
        <f t="shared" si="85"/>
        <v>0</v>
      </c>
      <c r="AN347" s="27">
        <v>21</v>
      </c>
      <c r="AO347" s="27">
        <f t="shared" si="86"/>
        <v>0</v>
      </c>
      <c r="AP347" s="27">
        <f t="shared" si="87"/>
        <v>0</v>
      </c>
      <c r="AQ347" s="29" t="s">
        <v>84</v>
      </c>
      <c r="AV347" s="27">
        <f t="shared" si="88"/>
        <v>0</v>
      </c>
      <c r="AW347" s="27">
        <f t="shared" si="89"/>
        <v>0</v>
      </c>
      <c r="AX347" s="27">
        <f t="shared" si="90"/>
        <v>0</v>
      </c>
      <c r="AY347" s="29" t="s">
        <v>704</v>
      </c>
      <c r="AZ347" s="29" t="s">
        <v>655</v>
      </c>
      <c r="BA347" s="9" t="s">
        <v>656</v>
      </c>
      <c r="BC347" s="27">
        <f t="shared" si="91"/>
        <v>0</v>
      </c>
      <c r="BD347" s="27">
        <f t="shared" si="92"/>
        <v>0</v>
      </c>
      <c r="BE347" s="27">
        <v>0</v>
      </c>
      <c r="BF347" s="27">
        <f>347</f>
        <v>347</v>
      </c>
      <c r="BH347" s="27">
        <f t="shared" si="93"/>
        <v>0</v>
      </c>
      <c r="BI347" s="27">
        <f t="shared" si="94"/>
        <v>0</v>
      </c>
      <c r="BJ347" s="27">
        <f t="shared" si="95"/>
        <v>0</v>
      </c>
      <c r="BK347" s="27"/>
      <c r="BL347" s="27">
        <v>722</v>
      </c>
      <c r="BW347" s="27">
        <v>21</v>
      </c>
    </row>
    <row r="348" spans="1:75" ht="13.5" customHeight="1">
      <c r="A348" s="2" t="s">
        <v>735</v>
      </c>
      <c r="B348" s="3" t="s">
        <v>650</v>
      </c>
      <c r="C348" s="3" t="s">
        <v>736</v>
      </c>
      <c r="D348" s="148" t="s">
        <v>737</v>
      </c>
      <c r="E348" s="143"/>
      <c r="F348" s="3" t="s">
        <v>126</v>
      </c>
      <c r="G348" s="27">
        <v>4</v>
      </c>
      <c r="H348" s="27">
        <v>0</v>
      </c>
      <c r="I348" s="27">
        <f t="shared" si="72"/>
        <v>0</v>
      </c>
      <c r="J348" s="27">
        <f t="shared" si="73"/>
        <v>0</v>
      </c>
      <c r="K348" s="27">
        <f t="shared" si="74"/>
        <v>0</v>
      </c>
      <c r="L348" s="28" t="s">
        <v>52</v>
      </c>
      <c r="Z348" s="27">
        <f t="shared" si="75"/>
        <v>0</v>
      </c>
      <c r="AB348" s="27">
        <f t="shared" si="76"/>
        <v>0</v>
      </c>
      <c r="AC348" s="27">
        <f t="shared" si="77"/>
        <v>0</v>
      </c>
      <c r="AD348" s="27">
        <f t="shared" si="78"/>
        <v>0</v>
      </c>
      <c r="AE348" s="27">
        <f t="shared" si="79"/>
        <v>0</v>
      </c>
      <c r="AF348" s="27">
        <f t="shared" si="80"/>
        <v>0</v>
      </c>
      <c r="AG348" s="27">
        <f t="shared" si="81"/>
        <v>0</v>
      </c>
      <c r="AH348" s="27">
        <f t="shared" si="82"/>
        <v>0</v>
      </c>
      <c r="AI348" s="9" t="s">
        <v>650</v>
      </c>
      <c r="AJ348" s="27">
        <f t="shared" si="83"/>
        <v>0</v>
      </c>
      <c r="AK348" s="27">
        <f t="shared" si="84"/>
        <v>0</v>
      </c>
      <c r="AL348" s="27">
        <f t="shared" si="85"/>
        <v>0</v>
      </c>
      <c r="AN348" s="27">
        <v>21</v>
      </c>
      <c r="AO348" s="27">
        <f t="shared" si="86"/>
        <v>0</v>
      </c>
      <c r="AP348" s="27">
        <f t="shared" si="87"/>
        <v>0</v>
      </c>
      <c r="AQ348" s="29" t="s">
        <v>84</v>
      </c>
      <c r="AV348" s="27">
        <f t="shared" si="88"/>
        <v>0</v>
      </c>
      <c r="AW348" s="27">
        <f t="shared" si="89"/>
        <v>0</v>
      </c>
      <c r="AX348" s="27">
        <f t="shared" si="90"/>
        <v>0</v>
      </c>
      <c r="AY348" s="29" t="s">
        <v>704</v>
      </c>
      <c r="AZ348" s="29" t="s">
        <v>655</v>
      </c>
      <c r="BA348" s="9" t="s">
        <v>656</v>
      </c>
      <c r="BC348" s="27">
        <f t="shared" si="91"/>
        <v>0</v>
      </c>
      <c r="BD348" s="27">
        <f t="shared" si="92"/>
        <v>0</v>
      </c>
      <c r="BE348" s="27">
        <v>0</v>
      </c>
      <c r="BF348" s="27">
        <f>348</f>
        <v>348</v>
      </c>
      <c r="BH348" s="27">
        <f t="shared" si="93"/>
        <v>0</v>
      </c>
      <c r="BI348" s="27">
        <f t="shared" si="94"/>
        <v>0</v>
      </c>
      <c r="BJ348" s="27">
        <f t="shared" si="95"/>
        <v>0</v>
      </c>
      <c r="BK348" s="27"/>
      <c r="BL348" s="27">
        <v>722</v>
      </c>
      <c r="BW348" s="27">
        <v>21</v>
      </c>
    </row>
    <row r="349" spans="1:75" ht="13.5" customHeight="1">
      <c r="A349" s="2" t="s">
        <v>738</v>
      </c>
      <c r="B349" s="3" t="s">
        <v>650</v>
      </c>
      <c r="C349" s="3" t="s">
        <v>739</v>
      </c>
      <c r="D349" s="148" t="s">
        <v>740</v>
      </c>
      <c r="E349" s="143"/>
      <c r="F349" s="3" t="s">
        <v>126</v>
      </c>
      <c r="G349" s="27">
        <v>22</v>
      </c>
      <c r="H349" s="27">
        <v>0</v>
      </c>
      <c r="I349" s="27">
        <f t="shared" si="72"/>
        <v>0</v>
      </c>
      <c r="J349" s="27">
        <f t="shared" si="73"/>
        <v>0</v>
      </c>
      <c r="K349" s="27">
        <f t="shared" si="74"/>
        <v>0</v>
      </c>
      <c r="L349" s="28" t="s">
        <v>52</v>
      </c>
      <c r="Z349" s="27">
        <f t="shared" si="75"/>
        <v>0</v>
      </c>
      <c r="AB349" s="27">
        <f t="shared" si="76"/>
        <v>0</v>
      </c>
      <c r="AC349" s="27">
        <f t="shared" si="77"/>
        <v>0</v>
      </c>
      <c r="AD349" s="27">
        <f t="shared" si="78"/>
        <v>0</v>
      </c>
      <c r="AE349" s="27">
        <f t="shared" si="79"/>
        <v>0</v>
      </c>
      <c r="AF349" s="27">
        <f t="shared" si="80"/>
        <v>0</v>
      </c>
      <c r="AG349" s="27">
        <f t="shared" si="81"/>
        <v>0</v>
      </c>
      <c r="AH349" s="27">
        <f t="shared" si="82"/>
        <v>0</v>
      </c>
      <c r="AI349" s="9" t="s">
        <v>650</v>
      </c>
      <c r="AJ349" s="27">
        <f t="shared" si="83"/>
        <v>0</v>
      </c>
      <c r="AK349" s="27">
        <f t="shared" si="84"/>
        <v>0</v>
      </c>
      <c r="AL349" s="27">
        <f t="shared" si="85"/>
        <v>0</v>
      </c>
      <c r="AN349" s="27">
        <v>21</v>
      </c>
      <c r="AO349" s="27">
        <f t="shared" si="86"/>
        <v>0</v>
      </c>
      <c r="AP349" s="27">
        <f t="shared" si="87"/>
        <v>0</v>
      </c>
      <c r="AQ349" s="29" t="s">
        <v>84</v>
      </c>
      <c r="AV349" s="27">
        <f t="shared" si="88"/>
        <v>0</v>
      </c>
      <c r="AW349" s="27">
        <f t="shared" si="89"/>
        <v>0</v>
      </c>
      <c r="AX349" s="27">
        <f t="shared" si="90"/>
        <v>0</v>
      </c>
      <c r="AY349" s="29" t="s">
        <v>704</v>
      </c>
      <c r="AZ349" s="29" t="s">
        <v>655</v>
      </c>
      <c r="BA349" s="9" t="s">
        <v>656</v>
      </c>
      <c r="BC349" s="27">
        <f t="shared" si="91"/>
        <v>0</v>
      </c>
      <c r="BD349" s="27">
        <f t="shared" si="92"/>
        <v>0</v>
      </c>
      <c r="BE349" s="27">
        <v>0</v>
      </c>
      <c r="BF349" s="27">
        <f>349</f>
        <v>349</v>
      </c>
      <c r="BH349" s="27">
        <f t="shared" si="93"/>
        <v>0</v>
      </c>
      <c r="BI349" s="27">
        <f t="shared" si="94"/>
        <v>0</v>
      </c>
      <c r="BJ349" s="27">
        <f t="shared" si="95"/>
        <v>0</v>
      </c>
      <c r="BK349" s="27"/>
      <c r="BL349" s="27">
        <v>722</v>
      </c>
      <c r="BW349" s="27">
        <v>21</v>
      </c>
    </row>
    <row r="350" spans="1:75" ht="13.5" customHeight="1">
      <c r="A350" s="2" t="s">
        <v>741</v>
      </c>
      <c r="B350" s="3" t="s">
        <v>650</v>
      </c>
      <c r="C350" s="3" t="s">
        <v>742</v>
      </c>
      <c r="D350" s="148" t="s">
        <v>743</v>
      </c>
      <c r="E350" s="143"/>
      <c r="F350" s="3" t="s">
        <v>154</v>
      </c>
      <c r="G350" s="27">
        <v>12</v>
      </c>
      <c r="H350" s="27">
        <v>0</v>
      </c>
      <c r="I350" s="27">
        <f t="shared" si="72"/>
        <v>0</v>
      </c>
      <c r="J350" s="27">
        <f t="shared" si="73"/>
        <v>0</v>
      </c>
      <c r="K350" s="27">
        <f t="shared" si="74"/>
        <v>0</v>
      </c>
      <c r="L350" s="28" t="s">
        <v>52</v>
      </c>
      <c r="Z350" s="27">
        <f t="shared" si="75"/>
        <v>0</v>
      </c>
      <c r="AB350" s="27">
        <f t="shared" si="76"/>
        <v>0</v>
      </c>
      <c r="AC350" s="27">
        <f t="shared" si="77"/>
        <v>0</v>
      </c>
      <c r="AD350" s="27">
        <f t="shared" si="78"/>
        <v>0</v>
      </c>
      <c r="AE350" s="27">
        <f t="shared" si="79"/>
        <v>0</v>
      </c>
      <c r="AF350" s="27">
        <f t="shared" si="80"/>
        <v>0</v>
      </c>
      <c r="AG350" s="27">
        <f t="shared" si="81"/>
        <v>0</v>
      </c>
      <c r="AH350" s="27">
        <f t="shared" si="82"/>
        <v>0</v>
      </c>
      <c r="AI350" s="9" t="s">
        <v>650</v>
      </c>
      <c r="AJ350" s="27">
        <f t="shared" si="83"/>
        <v>0</v>
      </c>
      <c r="AK350" s="27">
        <f t="shared" si="84"/>
        <v>0</v>
      </c>
      <c r="AL350" s="27">
        <f t="shared" si="85"/>
        <v>0</v>
      </c>
      <c r="AN350" s="27">
        <v>21</v>
      </c>
      <c r="AO350" s="27">
        <f t="shared" si="86"/>
        <v>0</v>
      </c>
      <c r="AP350" s="27">
        <f t="shared" si="87"/>
        <v>0</v>
      </c>
      <c r="AQ350" s="29" t="s">
        <v>84</v>
      </c>
      <c r="AV350" s="27">
        <f t="shared" si="88"/>
        <v>0</v>
      </c>
      <c r="AW350" s="27">
        <f t="shared" si="89"/>
        <v>0</v>
      </c>
      <c r="AX350" s="27">
        <f t="shared" si="90"/>
        <v>0</v>
      </c>
      <c r="AY350" s="29" t="s">
        <v>704</v>
      </c>
      <c r="AZ350" s="29" t="s">
        <v>655</v>
      </c>
      <c r="BA350" s="9" t="s">
        <v>656</v>
      </c>
      <c r="BC350" s="27">
        <f t="shared" si="91"/>
        <v>0</v>
      </c>
      <c r="BD350" s="27">
        <f t="shared" si="92"/>
        <v>0</v>
      </c>
      <c r="BE350" s="27">
        <v>0</v>
      </c>
      <c r="BF350" s="27">
        <f>350</f>
        <v>350</v>
      </c>
      <c r="BH350" s="27">
        <f t="shared" si="93"/>
        <v>0</v>
      </c>
      <c r="BI350" s="27">
        <f t="shared" si="94"/>
        <v>0</v>
      </c>
      <c r="BJ350" s="27">
        <f t="shared" si="95"/>
        <v>0</v>
      </c>
      <c r="BK350" s="27"/>
      <c r="BL350" s="27">
        <v>722</v>
      </c>
      <c r="BW350" s="27">
        <v>21</v>
      </c>
    </row>
    <row r="351" spans="1:75" ht="13.5" customHeight="1">
      <c r="A351" s="2" t="s">
        <v>744</v>
      </c>
      <c r="B351" s="3" t="s">
        <v>650</v>
      </c>
      <c r="C351" s="3" t="s">
        <v>745</v>
      </c>
      <c r="D351" s="148" t="s">
        <v>746</v>
      </c>
      <c r="E351" s="143"/>
      <c r="F351" s="3" t="s">
        <v>154</v>
      </c>
      <c r="G351" s="27">
        <v>12</v>
      </c>
      <c r="H351" s="27">
        <v>0</v>
      </c>
      <c r="I351" s="27">
        <f t="shared" si="72"/>
        <v>0</v>
      </c>
      <c r="J351" s="27">
        <f t="shared" si="73"/>
        <v>0</v>
      </c>
      <c r="K351" s="27">
        <f t="shared" si="74"/>
        <v>0</v>
      </c>
      <c r="L351" s="28" t="s">
        <v>52</v>
      </c>
      <c r="Z351" s="27">
        <f t="shared" si="75"/>
        <v>0</v>
      </c>
      <c r="AB351" s="27">
        <f t="shared" si="76"/>
        <v>0</v>
      </c>
      <c r="AC351" s="27">
        <f t="shared" si="77"/>
        <v>0</v>
      </c>
      <c r="AD351" s="27">
        <f t="shared" si="78"/>
        <v>0</v>
      </c>
      <c r="AE351" s="27">
        <f t="shared" si="79"/>
        <v>0</v>
      </c>
      <c r="AF351" s="27">
        <f t="shared" si="80"/>
        <v>0</v>
      </c>
      <c r="AG351" s="27">
        <f t="shared" si="81"/>
        <v>0</v>
      </c>
      <c r="AH351" s="27">
        <f t="shared" si="82"/>
        <v>0</v>
      </c>
      <c r="AI351" s="9" t="s">
        <v>650</v>
      </c>
      <c r="AJ351" s="27">
        <f t="shared" si="83"/>
        <v>0</v>
      </c>
      <c r="AK351" s="27">
        <f t="shared" si="84"/>
        <v>0</v>
      </c>
      <c r="AL351" s="27">
        <f t="shared" si="85"/>
        <v>0</v>
      </c>
      <c r="AN351" s="27">
        <v>21</v>
      </c>
      <c r="AO351" s="27">
        <f t="shared" si="86"/>
        <v>0</v>
      </c>
      <c r="AP351" s="27">
        <f t="shared" si="87"/>
        <v>0</v>
      </c>
      <c r="AQ351" s="29" t="s">
        <v>84</v>
      </c>
      <c r="AV351" s="27">
        <f t="shared" si="88"/>
        <v>0</v>
      </c>
      <c r="AW351" s="27">
        <f t="shared" si="89"/>
        <v>0</v>
      </c>
      <c r="AX351" s="27">
        <f t="shared" si="90"/>
        <v>0</v>
      </c>
      <c r="AY351" s="29" t="s">
        <v>704</v>
      </c>
      <c r="AZ351" s="29" t="s">
        <v>655</v>
      </c>
      <c r="BA351" s="9" t="s">
        <v>656</v>
      </c>
      <c r="BC351" s="27">
        <f t="shared" si="91"/>
        <v>0</v>
      </c>
      <c r="BD351" s="27">
        <f t="shared" si="92"/>
        <v>0</v>
      </c>
      <c r="BE351" s="27">
        <v>0</v>
      </c>
      <c r="BF351" s="27">
        <f>351</f>
        <v>351</v>
      </c>
      <c r="BH351" s="27">
        <f t="shared" si="93"/>
        <v>0</v>
      </c>
      <c r="BI351" s="27">
        <f t="shared" si="94"/>
        <v>0</v>
      </c>
      <c r="BJ351" s="27">
        <f t="shared" si="95"/>
        <v>0</v>
      </c>
      <c r="BK351" s="27"/>
      <c r="BL351" s="27">
        <v>722</v>
      </c>
      <c r="BW351" s="27">
        <v>21</v>
      </c>
    </row>
    <row r="352" spans="1:75" ht="13.5" customHeight="1">
      <c r="A352" s="2" t="s">
        <v>747</v>
      </c>
      <c r="B352" s="3" t="s">
        <v>650</v>
      </c>
      <c r="C352" s="3" t="s">
        <v>748</v>
      </c>
      <c r="D352" s="148" t="s">
        <v>749</v>
      </c>
      <c r="E352" s="143"/>
      <c r="F352" s="3" t="s">
        <v>154</v>
      </c>
      <c r="G352" s="27">
        <v>9</v>
      </c>
      <c r="H352" s="27">
        <v>0</v>
      </c>
      <c r="I352" s="27">
        <f t="shared" si="72"/>
        <v>0</v>
      </c>
      <c r="J352" s="27">
        <f t="shared" si="73"/>
        <v>0</v>
      </c>
      <c r="K352" s="27">
        <f t="shared" si="74"/>
        <v>0</v>
      </c>
      <c r="L352" s="28" t="s">
        <v>52</v>
      </c>
      <c r="Z352" s="27">
        <f t="shared" si="75"/>
        <v>0</v>
      </c>
      <c r="AB352" s="27">
        <f t="shared" si="76"/>
        <v>0</v>
      </c>
      <c r="AC352" s="27">
        <f t="shared" si="77"/>
        <v>0</v>
      </c>
      <c r="AD352" s="27">
        <f t="shared" si="78"/>
        <v>0</v>
      </c>
      <c r="AE352" s="27">
        <f t="shared" si="79"/>
        <v>0</v>
      </c>
      <c r="AF352" s="27">
        <f t="shared" si="80"/>
        <v>0</v>
      </c>
      <c r="AG352" s="27">
        <f t="shared" si="81"/>
        <v>0</v>
      </c>
      <c r="AH352" s="27">
        <f t="shared" si="82"/>
        <v>0</v>
      </c>
      <c r="AI352" s="9" t="s">
        <v>650</v>
      </c>
      <c r="AJ352" s="27">
        <f t="shared" si="83"/>
        <v>0</v>
      </c>
      <c r="AK352" s="27">
        <f t="shared" si="84"/>
        <v>0</v>
      </c>
      <c r="AL352" s="27">
        <f t="shared" si="85"/>
        <v>0</v>
      </c>
      <c r="AN352" s="27">
        <v>21</v>
      </c>
      <c r="AO352" s="27">
        <f t="shared" si="86"/>
        <v>0</v>
      </c>
      <c r="AP352" s="27">
        <f t="shared" si="87"/>
        <v>0</v>
      </c>
      <c r="AQ352" s="29" t="s">
        <v>84</v>
      </c>
      <c r="AV352" s="27">
        <f t="shared" si="88"/>
        <v>0</v>
      </c>
      <c r="AW352" s="27">
        <f t="shared" si="89"/>
        <v>0</v>
      </c>
      <c r="AX352" s="27">
        <f t="shared" si="90"/>
        <v>0</v>
      </c>
      <c r="AY352" s="29" t="s">
        <v>704</v>
      </c>
      <c r="AZ352" s="29" t="s">
        <v>655</v>
      </c>
      <c r="BA352" s="9" t="s">
        <v>656</v>
      </c>
      <c r="BC352" s="27">
        <f t="shared" si="91"/>
        <v>0</v>
      </c>
      <c r="BD352" s="27">
        <f t="shared" si="92"/>
        <v>0</v>
      </c>
      <c r="BE352" s="27">
        <v>0</v>
      </c>
      <c r="BF352" s="27">
        <f>352</f>
        <v>352</v>
      </c>
      <c r="BH352" s="27">
        <f t="shared" si="93"/>
        <v>0</v>
      </c>
      <c r="BI352" s="27">
        <f t="shared" si="94"/>
        <v>0</v>
      </c>
      <c r="BJ352" s="27">
        <f t="shared" si="95"/>
        <v>0</v>
      </c>
      <c r="BK352" s="27"/>
      <c r="BL352" s="27">
        <v>722</v>
      </c>
      <c r="BW352" s="27">
        <v>21</v>
      </c>
    </row>
    <row r="353" spans="1:75" ht="13.5" customHeight="1">
      <c r="A353" s="2" t="s">
        <v>750</v>
      </c>
      <c r="B353" s="3" t="s">
        <v>650</v>
      </c>
      <c r="C353" s="3" t="s">
        <v>751</v>
      </c>
      <c r="D353" s="148" t="s">
        <v>752</v>
      </c>
      <c r="E353" s="143"/>
      <c r="F353" s="3" t="s">
        <v>224</v>
      </c>
      <c r="G353" s="27">
        <v>6</v>
      </c>
      <c r="H353" s="27">
        <v>0</v>
      </c>
      <c r="I353" s="27">
        <f t="shared" si="72"/>
        <v>0</v>
      </c>
      <c r="J353" s="27">
        <f t="shared" si="73"/>
        <v>0</v>
      </c>
      <c r="K353" s="27">
        <f t="shared" si="74"/>
        <v>0</v>
      </c>
      <c r="L353" s="28" t="s">
        <v>52</v>
      </c>
      <c r="Z353" s="27">
        <f t="shared" si="75"/>
        <v>0</v>
      </c>
      <c r="AB353" s="27">
        <f t="shared" si="76"/>
        <v>0</v>
      </c>
      <c r="AC353" s="27">
        <f t="shared" si="77"/>
        <v>0</v>
      </c>
      <c r="AD353" s="27">
        <f t="shared" si="78"/>
        <v>0</v>
      </c>
      <c r="AE353" s="27">
        <f t="shared" si="79"/>
        <v>0</v>
      </c>
      <c r="AF353" s="27">
        <f t="shared" si="80"/>
        <v>0</v>
      </c>
      <c r="AG353" s="27">
        <f t="shared" si="81"/>
        <v>0</v>
      </c>
      <c r="AH353" s="27">
        <f t="shared" si="82"/>
        <v>0</v>
      </c>
      <c r="AI353" s="9" t="s">
        <v>650</v>
      </c>
      <c r="AJ353" s="27">
        <f t="shared" si="83"/>
        <v>0</v>
      </c>
      <c r="AK353" s="27">
        <f t="shared" si="84"/>
        <v>0</v>
      </c>
      <c r="AL353" s="27">
        <f t="shared" si="85"/>
        <v>0</v>
      </c>
      <c r="AN353" s="27">
        <v>21</v>
      </c>
      <c r="AO353" s="27">
        <f t="shared" si="86"/>
        <v>0</v>
      </c>
      <c r="AP353" s="27">
        <f t="shared" si="87"/>
        <v>0</v>
      </c>
      <c r="AQ353" s="29" t="s">
        <v>84</v>
      </c>
      <c r="AV353" s="27">
        <f t="shared" si="88"/>
        <v>0</v>
      </c>
      <c r="AW353" s="27">
        <f t="shared" si="89"/>
        <v>0</v>
      </c>
      <c r="AX353" s="27">
        <f t="shared" si="90"/>
        <v>0</v>
      </c>
      <c r="AY353" s="29" t="s">
        <v>704</v>
      </c>
      <c r="AZ353" s="29" t="s">
        <v>655</v>
      </c>
      <c r="BA353" s="9" t="s">
        <v>656</v>
      </c>
      <c r="BC353" s="27">
        <f t="shared" si="91"/>
        <v>0</v>
      </c>
      <c r="BD353" s="27">
        <f t="shared" si="92"/>
        <v>0</v>
      </c>
      <c r="BE353" s="27">
        <v>0</v>
      </c>
      <c r="BF353" s="27">
        <f>353</f>
        <v>353</v>
      </c>
      <c r="BH353" s="27">
        <f t="shared" si="93"/>
        <v>0</v>
      </c>
      <c r="BI353" s="27">
        <f t="shared" si="94"/>
        <v>0</v>
      </c>
      <c r="BJ353" s="27">
        <f t="shared" si="95"/>
        <v>0</v>
      </c>
      <c r="BK353" s="27"/>
      <c r="BL353" s="27">
        <v>722</v>
      </c>
      <c r="BW353" s="27">
        <v>21</v>
      </c>
    </row>
    <row r="354" spans="1:75" ht="13.5" customHeight="1">
      <c r="A354" s="2" t="s">
        <v>753</v>
      </c>
      <c r="B354" s="3" t="s">
        <v>650</v>
      </c>
      <c r="C354" s="3" t="s">
        <v>754</v>
      </c>
      <c r="D354" s="148" t="s">
        <v>755</v>
      </c>
      <c r="E354" s="143"/>
      <c r="F354" s="3" t="s">
        <v>224</v>
      </c>
      <c r="G354" s="27">
        <v>6</v>
      </c>
      <c r="H354" s="27">
        <v>0</v>
      </c>
      <c r="I354" s="27">
        <f t="shared" si="72"/>
        <v>0</v>
      </c>
      <c r="J354" s="27">
        <f t="shared" si="73"/>
        <v>0</v>
      </c>
      <c r="K354" s="27">
        <f t="shared" si="74"/>
        <v>0</v>
      </c>
      <c r="L354" s="28" t="s">
        <v>52</v>
      </c>
      <c r="Z354" s="27">
        <f t="shared" si="75"/>
        <v>0</v>
      </c>
      <c r="AB354" s="27">
        <f t="shared" si="76"/>
        <v>0</v>
      </c>
      <c r="AC354" s="27">
        <f t="shared" si="77"/>
        <v>0</v>
      </c>
      <c r="AD354" s="27">
        <f t="shared" si="78"/>
        <v>0</v>
      </c>
      <c r="AE354" s="27">
        <f t="shared" si="79"/>
        <v>0</v>
      </c>
      <c r="AF354" s="27">
        <f t="shared" si="80"/>
        <v>0</v>
      </c>
      <c r="AG354" s="27">
        <f t="shared" si="81"/>
        <v>0</v>
      </c>
      <c r="AH354" s="27">
        <f t="shared" si="82"/>
        <v>0</v>
      </c>
      <c r="AI354" s="9" t="s">
        <v>650</v>
      </c>
      <c r="AJ354" s="27">
        <f t="shared" si="83"/>
        <v>0</v>
      </c>
      <c r="AK354" s="27">
        <f t="shared" si="84"/>
        <v>0</v>
      </c>
      <c r="AL354" s="27">
        <f t="shared" si="85"/>
        <v>0</v>
      </c>
      <c r="AN354" s="27">
        <v>21</v>
      </c>
      <c r="AO354" s="27">
        <f t="shared" si="86"/>
        <v>0</v>
      </c>
      <c r="AP354" s="27">
        <f t="shared" si="87"/>
        <v>0</v>
      </c>
      <c r="AQ354" s="29" t="s">
        <v>84</v>
      </c>
      <c r="AV354" s="27">
        <f t="shared" si="88"/>
        <v>0</v>
      </c>
      <c r="AW354" s="27">
        <f t="shared" si="89"/>
        <v>0</v>
      </c>
      <c r="AX354" s="27">
        <f t="shared" si="90"/>
        <v>0</v>
      </c>
      <c r="AY354" s="29" t="s">
        <v>704</v>
      </c>
      <c r="AZ354" s="29" t="s">
        <v>655</v>
      </c>
      <c r="BA354" s="9" t="s">
        <v>656</v>
      </c>
      <c r="BC354" s="27">
        <f t="shared" si="91"/>
        <v>0</v>
      </c>
      <c r="BD354" s="27">
        <f t="shared" si="92"/>
        <v>0</v>
      </c>
      <c r="BE354" s="27">
        <v>0</v>
      </c>
      <c r="BF354" s="27">
        <f>354</f>
        <v>354</v>
      </c>
      <c r="BH354" s="27">
        <f t="shared" si="93"/>
        <v>0</v>
      </c>
      <c r="BI354" s="27">
        <f t="shared" si="94"/>
        <v>0</v>
      </c>
      <c r="BJ354" s="27">
        <f t="shared" si="95"/>
        <v>0</v>
      </c>
      <c r="BK354" s="27"/>
      <c r="BL354" s="27">
        <v>722</v>
      </c>
      <c r="BW354" s="27">
        <v>21</v>
      </c>
    </row>
    <row r="355" spans="1:75" ht="13.5" customHeight="1">
      <c r="A355" s="2" t="s">
        <v>756</v>
      </c>
      <c r="B355" s="3" t="s">
        <v>650</v>
      </c>
      <c r="C355" s="3" t="s">
        <v>757</v>
      </c>
      <c r="D355" s="148" t="s">
        <v>758</v>
      </c>
      <c r="E355" s="143"/>
      <c r="F355" s="3" t="s">
        <v>154</v>
      </c>
      <c r="G355" s="27">
        <v>3</v>
      </c>
      <c r="H355" s="27">
        <v>0</v>
      </c>
      <c r="I355" s="27">
        <f t="shared" si="72"/>
        <v>0</v>
      </c>
      <c r="J355" s="27">
        <f t="shared" si="73"/>
        <v>0</v>
      </c>
      <c r="K355" s="27">
        <f t="shared" si="74"/>
        <v>0</v>
      </c>
      <c r="L355" s="28" t="s">
        <v>52</v>
      </c>
      <c r="Z355" s="27">
        <f t="shared" si="75"/>
        <v>0</v>
      </c>
      <c r="AB355" s="27">
        <f t="shared" si="76"/>
        <v>0</v>
      </c>
      <c r="AC355" s="27">
        <f t="shared" si="77"/>
        <v>0</v>
      </c>
      <c r="AD355" s="27">
        <f t="shared" si="78"/>
        <v>0</v>
      </c>
      <c r="AE355" s="27">
        <f t="shared" si="79"/>
        <v>0</v>
      </c>
      <c r="AF355" s="27">
        <f t="shared" si="80"/>
        <v>0</v>
      </c>
      <c r="AG355" s="27">
        <f t="shared" si="81"/>
        <v>0</v>
      </c>
      <c r="AH355" s="27">
        <f t="shared" si="82"/>
        <v>0</v>
      </c>
      <c r="AI355" s="9" t="s">
        <v>650</v>
      </c>
      <c r="AJ355" s="27">
        <f t="shared" si="83"/>
        <v>0</v>
      </c>
      <c r="AK355" s="27">
        <f t="shared" si="84"/>
        <v>0</v>
      </c>
      <c r="AL355" s="27">
        <f t="shared" si="85"/>
        <v>0</v>
      </c>
      <c r="AN355" s="27">
        <v>21</v>
      </c>
      <c r="AO355" s="27">
        <f t="shared" si="86"/>
        <v>0</v>
      </c>
      <c r="AP355" s="27">
        <f t="shared" si="87"/>
        <v>0</v>
      </c>
      <c r="AQ355" s="29" t="s">
        <v>84</v>
      </c>
      <c r="AV355" s="27">
        <f t="shared" si="88"/>
        <v>0</v>
      </c>
      <c r="AW355" s="27">
        <f t="shared" si="89"/>
        <v>0</v>
      </c>
      <c r="AX355" s="27">
        <f t="shared" si="90"/>
        <v>0</v>
      </c>
      <c r="AY355" s="29" t="s">
        <v>704</v>
      </c>
      <c r="AZ355" s="29" t="s">
        <v>655</v>
      </c>
      <c r="BA355" s="9" t="s">
        <v>656</v>
      </c>
      <c r="BC355" s="27">
        <f t="shared" si="91"/>
        <v>0</v>
      </c>
      <c r="BD355" s="27">
        <f t="shared" si="92"/>
        <v>0</v>
      </c>
      <c r="BE355" s="27">
        <v>0</v>
      </c>
      <c r="BF355" s="27">
        <f>355</f>
        <v>355</v>
      </c>
      <c r="BH355" s="27">
        <f t="shared" si="93"/>
        <v>0</v>
      </c>
      <c r="BI355" s="27">
        <f t="shared" si="94"/>
        <v>0</v>
      </c>
      <c r="BJ355" s="27">
        <f t="shared" si="95"/>
        <v>0</v>
      </c>
      <c r="BK355" s="27"/>
      <c r="BL355" s="27">
        <v>722</v>
      </c>
      <c r="BW355" s="27">
        <v>21</v>
      </c>
    </row>
    <row r="356" spans="1:75" ht="13.5" customHeight="1">
      <c r="A356" s="2" t="s">
        <v>759</v>
      </c>
      <c r="B356" s="3" t="s">
        <v>650</v>
      </c>
      <c r="C356" s="3" t="s">
        <v>760</v>
      </c>
      <c r="D356" s="148" t="s">
        <v>761</v>
      </c>
      <c r="E356" s="143"/>
      <c r="F356" s="3" t="s">
        <v>762</v>
      </c>
      <c r="G356" s="27">
        <v>3</v>
      </c>
      <c r="H356" s="27">
        <v>0</v>
      </c>
      <c r="I356" s="27">
        <f t="shared" si="72"/>
        <v>0</v>
      </c>
      <c r="J356" s="27">
        <f t="shared" si="73"/>
        <v>0</v>
      </c>
      <c r="K356" s="27">
        <f t="shared" si="74"/>
        <v>0</v>
      </c>
      <c r="L356" s="28" t="s">
        <v>52</v>
      </c>
      <c r="Z356" s="27">
        <f t="shared" si="75"/>
        <v>0</v>
      </c>
      <c r="AB356" s="27">
        <f t="shared" si="76"/>
        <v>0</v>
      </c>
      <c r="AC356" s="27">
        <f t="shared" si="77"/>
        <v>0</v>
      </c>
      <c r="AD356" s="27">
        <f t="shared" si="78"/>
        <v>0</v>
      </c>
      <c r="AE356" s="27">
        <f t="shared" si="79"/>
        <v>0</v>
      </c>
      <c r="AF356" s="27">
        <f t="shared" si="80"/>
        <v>0</v>
      </c>
      <c r="AG356" s="27">
        <f t="shared" si="81"/>
        <v>0</v>
      </c>
      <c r="AH356" s="27">
        <f t="shared" si="82"/>
        <v>0</v>
      </c>
      <c r="AI356" s="9" t="s">
        <v>650</v>
      </c>
      <c r="AJ356" s="27">
        <f t="shared" si="83"/>
        <v>0</v>
      </c>
      <c r="AK356" s="27">
        <f t="shared" si="84"/>
        <v>0</v>
      </c>
      <c r="AL356" s="27">
        <f t="shared" si="85"/>
        <v>0</v>
      </c>
      <c r="AN356" s="27">
        <v>21</v>
      </c>
      <c r="AO356" s="27">
        <f t="shared" si="86"/>
        <v>0</v>
      </c>
      <c r="AP356" s="27">
        <f t="shared" si="87"/>
        <v>0</v>
      </c>
      <c r="AQ356" s="29" t="s">
        <v>84</v>
      </c>
      <c r="AV356" s="27">
        <f t="shared" si="88"/>
        <v>0</v>
      </c>
      <c r="AW356" s="27">
        <f t="shared" si="89"/>
        <v>0</v>
      </c>
      <c r="AX356" s="27">
        <f t="shared" si="90"/>
        <v>0</v>
      </c>
      <c r="AY356" s="29" t="s">
        <v>704</v>
      </c>
      <c r="AZ356" s="29" t="s">
        <v>655</v>
      </c>
      <c r="BA356" s="9" t="s">
        <v>656</v>
      </c>
      <c r="BC356" s="27">
        <f t="shared" si="91"/>
        <v>0</v>
      </c>
      <c r="BD356" s="27">
        <f t="shared" si="92"/>
        <v>0</v>
      </c>
      <c r="BE356" s="27">
        <v>0</v>
      </c>
      <c r="BF356" s="27">
        <f>356</f>
        <v>356</v>
      </c>
      <c r="BH356" s="27">
        <f t="shared" si="93"/>
        <v>0</v>
      </c>
      <c r="BI356" s="27">
        <f t="shared" si="94"/>
        <v>0</v>
      </c>
      <c r="BJ356" s="27">
        <f t="shared" si="95"/>
        <v>0</v>
      </c>
      <c r="BK356" s="27"/>
      <c r="BL356" s="27">
        <v>722</v>
      </c>
      <c r="BW356" s="27">
        <v>21</v>
      </c>
    </row>
    <row r="357" spans="1:75" ht="13.5" customHeight="1">
      <c r="A357" s="2" t="s">
        <v>763</v>
      </c>
      <c r="B357" s="3" t="s">
        <v>650</v>
      </c>
      <c r="C357" s="3" t="s">
        <v>764</v>
      </c>
      <c r="D357" s="148" t="s">
        <v>765</v>
      </c>
      <c r="E357" s="143"/>
      <c r="F357" s="3" t="s">
        <v>126</v>
      </c>
      <c r="G357" s="27">
        <v>18</v>
      </c>
      <c r="H357" s="27">
        <v>0</v>
      </c>
      <c r="I357" s="27">
        <f t="shared" si="72"/>
        <v>0</v>
      </c>
      <c r="J357" s="27">
        <f t="shared" si="73"/>
        <v>0</v>
      </c>
      <c r="K357" s="27">
        <f t="shared" si="74"/>
        <v>0</v>
      </c>
      <c r="L357" s="28" t="s">
        <v>52</v>
      </c>
      <c r="Z357" s="27">
        <f t="shared" si="75"/>
        <v>0</v>
      </c>
      <c r="AB357" s="27">
        <f t="shared" si="76"/>
        <v>0</v>
      </c>
      <c r="AC357" s="27">
        <f t="shared" si="77"/>
        <v>0</v>
      </c>
      <c r="AD357" s="27">
        <f t="shared" si="78"/>
        <v>0</v>
      </c>
      <c r="AE357" s="27">
        <f t="shared" si="79"/>
        <v>0</v>
      </c>
      <c r="AF357" s="27">
        <f t="shared" si="80"/>
        <v>0</v>
      </c>
      <c r="AG357" s="27">
        <f t="shared" si="81"/>
        <v>0</v>
      </c>
      <c r="AH357" s="27">
        <f t="shared" si="82"/>
        <v>0</v>
      </c>
      <c r="AI357" s="9" t="s">
        <v>650</v>
      </c>
      <c r="AJ357" s="27">
        <f t="shared" si="83"/>
        <v>0</v>
      </c>
      <c r="AK357" s="27">
        <f t="shared" si="84"/>
        <v>0</v>
      </c>
      <c r="AL357" s="27">
        <f t="shared" si="85"/>
        <v>0</v>
      </c>
      <c r="AN357" s="27">
        <v>21</v>
      </c>
      <c r="AO357" s="27">
        <f t="shared" si="86"/>
        <v>0</v>
      </c>
      <c r="AP357" s="27">
        <f t="shared" si="87"/>
        <v>0</v>
      </c>
      <c r="AQ357" s="29" t="s">
        <v>84</v>
      </c>
      <c r="AV357" s="27">
        <f t="shared" si="88"/>
        <v>0</v>
      </c>
      <c r="AW357" s="27">
        <f t="shared" si="89"/>
        <v>0</v>
      </c>
      <c r="AX357" s="27">
        <f t="shared" si="90"/>
        <v>0</v>
      </c>
      <c r="AY357" s="29" t="s">
        <v>704</v>
      </c>
      <c r="AZ357" s="29" t="s">
        <v>655</v>
      </c>
      <c r="BA357" s="9" t="s">
        <v>656</v>
      </c>
      <c r="BC357" s="27">
        <f t="shared" si="91"/>
        <v>0</v>
      </c>
      <c r="BD357" s="27">
        <f t="shared" si="92"/>
        <v>0</v>
      </c>
      <c r="BE357" s="27">
        <v>0</v>
      </c>
      <c r="BF357" s="27">
        <f>357</f>
        <v>357</v>
      </c>
      <c r="BH357" s="27">
        <f t="shared" si="93"/>
        <v>0</v>
      </c>
      <c r="BI357" s="27">
        <f t="shared" si="94"/>
        <v>0</v>
      </c>
      <c r="BJ357" s="27">
        <f t="shared" si="95"/>
        <v>0</v>
      </c>
      <c r="BK357" s="27"/>
      <c r="BL357" s="27">
        <v>722</v>
      </c>
      <c r="BW357" s="27">
        <v>21</v>
      </c>
    </row>
    <row r="358" spans="1:75" ht="13.5" customHeight="1">
      <c r="A358" s="2" t="s">
        <v>766</v>
      </c>
      <c r="B358" s="3" t="s">
        <v>650</v>
      </c>
      <c r="C358" s="3" t="s">
        <v>767</v>
      </c>
      <c r="D358" s="148" t="s">
        <v>768</v>
      </c>
      <c r="E358" s="143"/>
      <c r="F358" s="3" t="s">
        <v>126</v>
      </c>
      <c r="G358" s="27">
        <v>10</v>
      </c>
      <c r="H358" s="27">
        <v>0</v>
      </c>
      <c r="I358" s="27">
        <f t="shared" si="72"/>
        <v>0</v>
      </c>
      <c r="J358" s="27">
        <f t="shared" si="73"/>
        <v>0</v>
      </c>
      <c r="K358" s="27">
        <f t="shared" si="74"/>
        <v>0</v>
      </c>
      <c r="L358" s="28" t="s">
        <v>52</v>
      </c>
      <c r="Z358" s="27">
        <f t="shared" si="75"/>
        <v>0</v>
      </c>
      <c r="AB358" s="27">
        <f t="shared" si="76"/>
        <v>0</v>
      </c>
      <c r="AC358" s="27">
        <f t="shared" si="77"/>
        <v>0</v>
      </c>
      <c r="AD358" s="27">
        <f t="shared" si="78"/>
        <v>0</v>
      </c>
      <c r="AE358" s="27">
        <f t="shared" si="79"/>
        <v>0</v>
      </c>
      <c r="AF358" s="27">
        <f t="shared" si="80"/>
        <v>0</v>
      </c>
      <c r="AG358" s="27">
        <f t="shared" si="81"/>
        <v>0</v>
      </c>
      <c r="AH358" s="27">
        <f t="shared" si="82"/>
        <v>0</v>
      </c>
      <c r="AI358" s="9" t="s">
        <v>650</v>
      </c>
      <c r="AJ358" s="27">
        <f t="shared" si="83"/>
        <v>0</v>
      </c>
      <c r="AK358" s="27">
        <f t="shared" si="84"/>
        <v>0</v>
      </c>
      <c r="AL358" s="27">
        <f t="shared" si="85"/>
        <v>0</v>
      </c>
      <c r="AN358" s="27">
        <v>21</v>
      </c>
      <c r="AO358" s="27">
        <f t="shared" si="86"/>
        <v>0</v>
      </c>
      <c r="AP358" s="27">
        <f t="shared" si="87"/>
        <v>0</v>
      </c>
      <c r="AQ358" s="29" t="s">
        <v>84</v>
      </c>
      <c r="AV358" s="27">
        <f t="shared" si="88"/>
        <v>0</v>
      </c>
      <c r="AW358" s="27">
        <f t="shared" si="89"/>
        <v>0</v>
      </c>
      <c r="AX358" s="27">
        <f t="shared" si="90"/>
        <v>0</v>
      </c>
      <c r="AY358" s="29" t="s">
        <v>704</v>
      </c>
      <c r="AZ358" s="29" t="s">
        <v>655</v>
      </c>
      <c r="BA358" s="9" t="s">
        <v>656</v>
      </c>
      <c r="BC358" s="27">
        <f t="shared" si="91"/>
        <v>0</v>
      </c>
      <c r="BD358" s="27">
        <f t="shared" si="92"/>
        <v>0</v>
      </c>
      <c r="BE358" s="27">
        <v>0</v>
      </c>
      <c r="BF358" s="27">
        <f>358</f>
        <v>358</v>
      </c>
      <c r="BH358" s="27">
        <f t="shared" si="93"/>
        <v>0</v>
      </c>
      <c r="BI358" s="27">
        <f t="shared" si="94"/>
        <v>0</v>
      </c>
      <c r="BJ358" s="27">
        <f t="shared" si="95"/>
        <v>0</v>
      </c>
      <c r="BK358" s="27"/>
      <c r="BL358" s="27">
        <v>722</v>
      </c>
      <c r="BW358" s="27">
        <v>21</v>
      </c>
    </row>
    <row r="359" spans="1:75" ht="13.5" customHeight="1">
      <c r="A359" s="2" t="s">
        <v>769</v>
      </c>
      <c r="B359" s="3" t="s">
        <v>650</v>
      </c>
      <c r="C359" s="3" t="s">
        <v>770</v>
      </c>
      <c r="D359" s="148" t="s">
        <v>771</v>
      </c>
      <c r="E359" s="143"/>
      <c r="F359" s="3" t="s">
        <v>126</v>
      </c>
      <c r="G359" s="27">
        <v>18</v>
      </c>
      <c r="H359" s="27">
        <v>0</v>
      </c>
      <c r="I359" s="27">
        <f t="shared" si="72"/>
        <v>0</v>
      </c>
      <c r="J359" s="27">
        <f t="shared" si="73"/>
        <v>0</v>
      </c>
      <c r="K359" s="27">
        <f t="shared" si="74"/>
        <v>0</v>
      </c>
      <c r="L359" s="28" t="s">
        <v>52</v>
      </c>
      <c r="Z359" s="27">
        <f t="shared" si="75"/>
        <v>0</v>
      </c>
      <c r="AB359" s="27">
        <f t="shared" si="76"/>
        <v>0</v>
      </c>
      <c r="AC359" s="27">
        <f t="shared" si="77"/>
        <v>0</v>
      </c>
      <c r="AD359" s="27">
        <f t="shared" si="78"/>
        <v>0</v>
      </c>
      <c r="AE359" s="27">
        <f t="shared" si="79"/>
        <v>0</v>
      </c>
      <c r="AF359" s="27">
        <f t="shared" si="80"/>
        <v>0</v>
      </c>
      <c r="AG359" s="27">
        <f t="shared" si="81"/>
        <v>0</v>
      </c>
      <c r="AH359" s="27">
        <f t="shared" si="82"/>
        <v>0</v>
      </c>
      <c r="AI359" s="9" t="s">
        <v>650</v>
      </c>
      <c r="AJ359" s="27">
        <f t="shared" si="83"/>
        <v>0</v>
      </c>
      <c r="AK359" s="27">
        <f t="shared" si="84"/>
        <v>0</v>
      </c>
      <c r="AL359" s="27">
        <f t="shared" si="85"/>
        <v>0</v>
      </c>
      <c r="AN359" s="27">
        <v>21</v>
      </c>
      <c r="AO359" s="27">
        <f t="shared" si="86"/>
        <v>0</v>
      </c>
      <c r="AP359" s="27">
        <f t="shared" si="87"/>
        <v>0</v>
      </c>
      <c r="AQ359" s="29" t="s">
        <v>84</v>
      </c>
      <c r="AV359" s="27">
        <f t="shared" si="88"/>
        <v>0</v>
      </c>
      <c r="AW359" s="27">
        <f t="shared" si="89"/>
        <v>0</v>
      </c>
      <c r="AX359" s="27">
        <f t="shared" si="90"/>
        <v>0</v>
      </c>
      <c r="AY359" s="29" t="s">
        <v>704</v>
      </c>
      <c r="AZ359" s="29" t="s">
        <v>655</v>
      </c>
      <c r="BA359" s="9" t="s">
        <v>656</v>
      </c>
      <c r="BC359" s="27">
        <f t="shared" si="91"/>
        <v>0</v>
      </c>
      <c r="BD359" s="27">
        <f t="shared" si="92"/>
        <v>0</v>
      </c>
      <c r="BE359" s="27">
        <v>0</v>
      </c>
      <c r="BF359" s="27">
        <f>359</f>
        <v>359</v>
      </c>
      <c r="BH359" s="27">
        <f t="shared" si="93"/>
        <v>0</v>
      </c>
      <c r="BI359" s="27">
        <f t="shared" si="94"/>
        <v>0</v>
      </c>
      <c r="BJ359" s="27">
        <f t="shared" si="95"/>
        <v>0</v>
      </c>
      <c r="BK359" s="27"/>
      <c r="BL359" s="27">
        <v>722</v>
      </c>
      <c r="BW359" s="27">
        <v>21</v>
      </c>
    </row>
    <row r="360" spans="1:75" ht="13.5" customHeight="1">
      <c r="A360" s="2" t="s">
        <v>772</v>
      </c>
      <c r="B360" s="3" t="s">
        <v>650</v>
      </c>
      <c r="C360" s="3" t="s">
        <v>773</v>
      </c>
      <c r="D360" s="148" t="s">
        <v>774</v>
      </c>
      <c r="E360" s="143"/>
      <c r="F360" s="3" t="s">
        <v>546</v>
      </c>
      <c r="G360" s="27">
        <v>2</v>
      </c>
      <c r="H360" s="27">
        <v>0</v>
      </c>
      <c r="I360" s="27">
        <f t="shared" si="72"/>
        <v>0</v>
      </c>
      <c r="J360" s="27">
        <f t="shared" si="73"/>
        <v>0</v>
      </c>
      <c r="K360" s="27">
        <f t="shared" si="74"/>
        <v>0</v>
      </c>
      <c r="L360" s="28" t="s">
        <v>52</v>
      </c>
      <c r="Z360" s="27">
        <f t="shared" si="75"/>
        <v>0</v>
      </c>
      <c r="AB360" s="27">
        <f t="shared" si="76"/>
        <v>0</v>
      </c>
      <c r="AC360" s="27">
        <f t="shared" si="77"/>
        <v>0</v>
      </c>
      <c r="AD360" s="27">
        <f t="shared" si="78"/>
        <v>0</v>
      </c>
      <c r="AE360" s="27">
        <f t="shared" si="79"/>
        <v>0</v>
      </c>
      <c r="AF360" s="27">
        <f t="shared" si="80"/>
        <v>0</v>
      </c>
      <c r="AG360" s="27">
        <f t="shared" si="81"/>
        <v>0</v>
      </c>
      <c r="AH360" s="27">
        <f t="shared" si="82"/>
        <v>0</v>
      </c>
      <c r="AI360" s="9" t="s">
        <v>650</v>
      </c>
      <c r="AJ360" s="27">
        <f t="shared" si="83"/>
        <v>0</v>
      </c>
      <c r="AK360" s="27">
        <f t="shared" si="84"/>
        <v>0</v>
      </c>
      <c r="AL360" s="27">
        <f t="shared" si="85"/>
        <v>0</v>
      </c>
      <c r="AN360" s="27">
        <v>21</v>
      </c>
      <c r="AO360" s="27">
        <f t="shared" si="86"/>
        <v>0</v>
      </c>
      <c r="AP360" s="27">
        <f t="shared" si="87"/>
        <v>0</v>
      </c>
      <c r="AQ360" s="29" t="s">
        <v>84</v>
      </c>
      <c r="AV360" s="27">
        <f t="shared" si="88"/>
        <v>0</v>
      </c>
      <c r="AW360" s="27">
        <f t="shared" si="89"/>
        <v>0</v>
      </c>
      <c r="AX360" s="27">
        <f t="shared" si="90"/>
        <v>0</v>
      </c>
      <c r="AY360" s="29" t="s">
        <v>704</v>
      </c>
      <c r="AZ360" s="29" t="s">
        <v>655</v>
      </c>
      <c r="BA360" s="9" t="s">
        <v>656</v>
      </c>
      <c r="BC360" s="27">
        <f t="shared" si="91"/>
        <v>0</v>
      </c>
      <c r="BD360" s="27">
        <f t="shared" si="92"/>
        <v>0</v>
      </c>
      <c r="BE360" s="27">
        <v>0</v>
      </c>
      <c r="BF360" s="27">
        <f>360</f>
        <v>360</v>
      </c>
      <c r="BH360" s="27">
        <f t="shared" si="93"/>
        <v>0</v>
      </c>
      <c r="BI360" s="27">
        <f t="shared" si="94"/>
        <v>0</v>
      </c>
      <c r="BJ360" s="27">
        <f t="shared" si="95"/>
        <v>0</v>
      </c>
      <c r="BK360" s="27"/>
      <c r="BL360" s="27">
        <v>722</v>
      </c>
      <c r="BW360" s="27">
        <v>21</v>
      </c>
    </row>
    <row r="361" spans="1:75" ht="13.5" customHeight="1">
      <c r="A361" s="2" t="s">
        <v>775</v>
      </c>
      <c r="B361" s="3" t="s">
        <v>650</v>
      </c>
      <c r="C361" s="3" t="s">
        <v>776</v>
      </c>
      <c r="D361" s="148" t="s">
        <v>777</v>
      </c>
      <c r="E361" s="143"/>
      <c r="F361" s="3" t="s">
        <v>546</v>
      </c>
      <c r="G361" s="27">
        <v>3</v>
      </c>
      <c r="H361" s="27">
        <v>0</v>
      </c>
      <c r="I361" s="27">
        <f t="shared" si="72"/>
        <v>0</v>
      </c>
      <c r="J361" s="27">
        <f t="shared" si="73"/>
        <v>0</v>
      </c>
      <c r="K361" s="27">
        <f t="shared" si="74"/>
        <v>0</v>
      </c>
      <c r="L361" s="28" t="s">
        <v>52</v>
      </c>
      <c r="Z361" s="27">
        <f t="shared" si="75"/>
        <v>0</v>
      </c>
      <c r="AB361" s="27">
        <f t="shared" si="76"/>
        <v>0</v>
      </c>
      <c r="AC361" s="27">
        <f t="shared" si="77"/>
        <v>0</v>
      </c>
      <c r="AD361" s="27">
        <f t="shared" si="78"/>
        <v>0</v>
      </c>
      <c r="AE361" s="27">
        <f t="shared" si="79"/>
        <v>0</v>
      </c>
      <c r="AF361" s="27">
        <f t="shared" si="80"/>
        <v>0</v>
      </c>
      <c r="AG361" s="27">
        <f t="shared" si="81"/>
        <v>0</v>
      </c>
      <c r="AH361" s="27">
        <f t="shared" si="82"/>
        <v>0</v>
      </c>
      <c r="AI361" s="9" t="s">
        <v>650</v>
      </c>
      <c r="AJ361" s="27">
        <f t="shared" si="83"/>
        <v>0</v>
      </c>
      <c r="AK361" s="27">
        <f t="shared" si="84"/>
        <v>0</v>
      </c>
      <c r="AL361" s="27">
        <f t="shared" si="85"/>
        <v>0</v>
      </c>
      <c r="AN361" s="27">
        <v>21</v>
      </c>
      <c r="AO361" s="27">
        <f t="shared" si="86"/>
        <v>0</v>
      </c>
      <c r="AP361" s="27">
        <f t="shared" si="87"/>
        <v>0</v>
      </c>
      <c r="AQ361" s="29" t="s">
        <v>84</v>
      </c>
      <c r="AV361" s="27">
        <f t="shared" si="88"/>
        <v>0</v>
      </c>
      <c r="AW361" s="27">
        <f t="shared" si="89"/>
        <v>0</v>
      </c>
      <c r="AX361" s="27">
        <f t="shared" si="90"/>
        <v>0</v>
      </c>
      <c r="AY361" s="29" t="s">
        <v>704</v>
      </c>
      <c r="AZ361" s="29" t="s">
        <v>655</v>
      </c>
      <c r="BA361" s="9" t="s">
        <v>656</v>
      </c>
      <c r="BC361" s="27">
        <f t="shared" si="91"/>
        <v>0</v>
      </c>
      <c r="BD361" s="27">
        <f t="shared" si="92"/>
        <v>0</v>
      </c>
      <c r="BE361" s="27">
        <v>0</v>
      </c>
      <c r="BF361" s="27">
        <f>361</f>
        <v>361</v>
      </c>
      <c r="BH361" s="27">
        <f t="shared" si="93"/>
        <v>0</v>
      </c>
      <c r="BI361" s="27">
        <f t="shared" si="94"/>
        <v>0</v>
      </c>
      <c r="BJ361" s="27">
        <f t="shared" si="95"/>
        <v>0</v>
      </c>
      <c r="BK361" s="27"/>
      <c r="BL361" s="27">
        <v>722</v>
      </c>
      <c r="BW361" s="27">
        <v>21</v>
      </c>
    </row>
    <row r="362" spans="1:47" ht="15">
      <c r="A362" s="23" t="s">
        <v>52</v>
      </c>
      <c r="B362" s="24" t="s">
        <v>650</v>
      </c>
      <c r="C362" s="24" t="s">
        <v>209</v>
      </c>
      <c r="D362" s="164" t="s">
        <v>210</v>
      </c>
      <c r="E362" s="165"/>
      <c r="F362" s="25" t="s">
        <v>4</v>
      </c>
      <c r="G362" s="25" t="s">
        <v>4</v>
      </c>
      <c r="H362" s="25" t="s">
        <v>4</v>
      </c>
      <c r="I362" s="1">
        <f>SUM(I363:I389)</f>
        <v>0</v>
      </c>
      <c r="J362" s="1">
        <f>SUM(J363:J389)</f>
        <v>0</v>
      </c>
      <c r="K362" s="1">
        <f>SUM(K363:K389)</f>
        <v>0</v>
      </c>
      <c r="L362" s="26" t="s">
        <v>52</v>
      </c>
      <c r="AI362" s="9" t="s">
        <v>650</v>
      </c>
      <c r="AS362" s="1">
        <f>SUM(AJ363:AJ389)</f>
        <v>0</v>
      </c>
      <c r="AT362" s="1">
        <f>SUM(AK363:AK389)</f>
        <v>0</v>
      </c>
      <c r="AU362" s="1">
        <f>SUM(AL363:AL389)</f>
        <v>0</v>
      </c>
    </row>
    <row r="363" spans="1:75" ht="13.5" customHeight="1">
      <c r="A363" s="2" t="s">
        <v>778</v>
      </c>
      <c r="B363" s="3" t="s">
        <v>650</v>
      </c>
      <c r="C363" s="3" t="s">
        <v>779</v>
      </c>
      <c r="D363" s="148" t="s">
        <v>780</v>
      </c>
      <c r="E363" s="143"/>
      <c r="F363" s="3" t="s">
        <v>224</v>
      </c>
      <c r="G363" s="27">
        <v>2</v>
      </c>
      <c r="H363" s="27">
        <v>0</v>
      </c>
      <c r="I363" s="27">
        <f aca="true" t="shared" si="96" ref="I363:I389">G363*AO363</f>
        <v>0</v>
      </c>
      <c r="J363" s="27">
        <f aca="true" t="shared" si="97" ref="J363:J389">G363*AP363</f>
        <v>0</v>
      </c>
      <c r="K363" s="27">
        <f aca="true" t="shared" si="98" ref="K363:K389">G363*H363</f>
        <v>0</v>
      </c>
      <c r="L363" s="28" t="s">
        <v>52</v>
      </c>
      <c r="Z363" s="27">
        <f aca="true" t="shared" si="99" ref="Z363:Z389">IF(AQ363="5",BJ363,0)</f>
        <v>0</v>
      </c>
      <c r="AB363" s="27">
        <f aca="true" t="shared" si="100" ref="AB363:AB389">IF(AQ363="1",BH363,0)</f>
        <v>0</v>
      </c>
      <c r="AC363" s="27">
        <f aca="true" t="shared" si="101" ref="AC363:AC389">IF(AQ363="1",BI363,0)</f>
        <v>0</v>
      </c>
      <c r="AD363" s="27">
        <f aca="true" t="shared" si="102" ref="AD363:AD389">IF(AQ363="7",BH363,0)</f>
        <v>0</v>
      </c>
      <c r="AE363" s="27">
        <f aca="true" t="shared" si="103" ref="AE363:AE389">IF(AQ363="7",BI363,0)</f>
        <v>0</v>
      </c>
      <c r="AF363" s="27">
        <f aca="true" t="shared" si="104" ref="AF363:AF389">IF(AQ363="2",BH363,0)</f>
        <v>0</v>
      </c>
      <c r="AG363" s="27">
        <f aca="true" t="shared" si="105" ref="AG363:AG389">IF(AQ363="2",BI363,0)</f>
        <v>0</v>
      </c>
      <c r="AH363" s="27">
        <f aca="true" t="shared" si="106" ref="AH363:AH389">IF(AQ363="0",BJ363,0)</f>
        <v>0</v>
      </c>
      <c r="AI363" s="9" t="s">
        <v>650</v>
      </c>
      <c r="AJ363" s="27">
        <f aca="true" t="shared" si="107" ref="AJ363:AJ389">IF(AN363=0,K363,0)</f>
        <v>0</v>
      </c>
      <c r="AK363" s="27">
        <f aca="true" t="shared" si="108" ref="AK363:AK389">IF(AN363=12,K363,0)</f>
        <v>0</v>
      </c>
      <c r="AL363" s="27">
        <f aca="true" t="shared" si="109" ref="AL363:AL389">IF(AN363=21,K363,0)</f>
        <v>0</v>
      </c>
      <c r="AN363" s="27">
        <v>21</v>
      </c>
      <c r="AO363" s="27">
        <f aca="true" t="shared" si="110" ref="AO363:AO389">H363*0</f>
        <v>0</v>
      </c>
      <c r="AP363" s="27">
        <f aca="true" t="shared" si="111" ref="AP363:AP389">H363*(1-0)</f>
        <v>0</v>
      </c>
      <c r="AQ363" s="29" t="s">
        <v>84</v>
      </c>
      <c r="AV363" s="27">
        <f aca="true" t="shared" si="112" ref="AV363:AV389">AW363+AX363</f>
        <v>0</v>
      </c>
      <c r="AW363" s="27">
        <f aca="true" t="shared" si="113" ref="AW363:AW389">G363*AO363</f>
        <v>0</v>
      </c>
      <c r="AX363" s="27">
        <f aca="true" t="shared" si="114" ref="AX363:AX389">G363*AP363</f>
        <v>0</v>
      </c>
      <c r="AY363" s="29" t="s">
        <v>214</v>
      </c>
      <c r="AZ363" s="29" t="s">
        <v>655</v>
      </c>
      <c r="BA363" s="9" t="s">
        <v>656</v>
      </c>
      <c r="BC363" s="27">
        <f aca="true" t="shared" si="115" ref="BC363:BC389">AW363+AX363</f>
        <v>0</v>
      </c>
      <c r="BD363" s="27">
        <f aca="true" t="shared" si="116" ref="BD363:BD389">H363/(100-BE363)*100</f>
        <v>0</v>
      </c>
      <c r="BE363" s="27">
        <v>0</v>
      </c>
      <c r="BF363" s="27">
        <f>363</f>
        <v>363</v>
      </c>
      <c r="BH363" s="27">
        <f aca="true" t="shared" si="117" ref="BH363:BH389">G363*AO363</f>
        <v>0</v>
      </c>
      <c r="BI363" s="27">
        <f aca="true" t="shared" si="118" ref="BI363:BI389">G363*AP363</f>
        <v>0</v>
      </c>
      <c r="BJ363" s="27">
        <f aca="true" t="shared" si="119" ref="BJ363:BJ389">G363*H363</f>
        <v>0</v>
      </c>
      <c r="BK363" s="27"/>
      <c r="BL363" s="27">
        <v>725</v>
      </c>
      <c r="BW363" s="27">
        <v>21</v>
      </c>
    </row>
    <row r="364" spans="1:75" ht="13.5" customHeight="1">
      <c r="A364" s="2" t="s">
        <v>781</v>
      </c>
      <c r="B364" s="3" t="s">
        <v>650</v>
      </c>
      <c r="C364" s="3" t="s">
        <v>782</v>
      </c>
      <c r="D364" s="148" t="s">
        <v>783</v>
      </c>
      <c r="E364" s="143"/>
      <c r="F364" s="3" t="s">
        <v>224</v>
      </c>
      <c r="G364" s="27">
        <v>5</v>
      </c>
      <c r="H364" s="27">
        <v>0</v>
      </c>
      <c r="I364" s="27">
        <f t="shared" si="96"/>
        <v>0</v>
      </c>
      <c r="J364" s="27">
        <f t="shared" si="97"/>
        <v>0</v>
      </c>
      <c r="K364" s="27">
        <f t="shared" si="98"/>
        <v>0</v>
      </c>
      <c r="L364" s="28" t="s">
        <v>52</v>
      </c>
      <c r="Z364" s="27">
        <f t="shared" si="99"/>
        <v>0</v>
      </c>
      <c r="AB364" s="27">
        <f t="shared" si="100"/>
        <v>0</v>
      </c>
      <c r="AC364" s="27">
        <f t="shared" si="101"/>
        <v>0</v>
      </c>
      <c r="AD364" s="27">
        <f t="shared" si="102"/>
        <v>0</v>
      </c>
      <c r="AE364" s="27">
        <f t="shared" si="103"/>
        <v>0</v>
      </c>
      <c r="AF364" s="27">
        <f t="shared" si="104"/>
        <v>0</v>
      </c>
      <c r="AG364" s="27">
        <f t="shared" si="105"/>
        <v>0</v>
      </c>
      <c r="AH364" s="27">
        <f t="shared" si="106"/>
        <v>0</v>
      </c>
      <c r="AI364" s="9" t="s">
        <v>650</v>
      </c>
      <c r="AJ364" s="27">
        <f t="shared" si="107"/>
        <v>0</v>
      </c>
      <c r="AK364" s="27">
        <f t="shared" si="108"/>
        <v>0</v>
      </c>
      <c r="AL364" s="27">
        <f t="shared" si="109"/>
        <v>0</v>
      </c>
      <c r="AN364" s="27">
        <v>21</v>
      </c>
      <c r="AO364" s="27">
        <f t="shared" si="110"/>
        <v>0</v>
      </c>
      <c r="AP364" s="27">
        <f t="shared" si="111"/>
        <v>0</v>
      </c>
      <c r="AQ364" s="29" t="s">
        <v>84</v>
      </c>
      <c r="AV364" s="27">
        <f t="shared" si="112"/>
        <v>0</v>
      </c>
      <c r="AW364" s="27">
        <f t="shared" si="113"/>
        <v>0</v>
      </c>
      <c r="AX364" s="27">
        <f t="shared" si="114"/>
        <v>0</v>
      </c>
      <c r="AY364" s="29" t="s">
        <v>214</v>
      </c>
      <c r="AZ364" s="29" t="s">
        <v>655</v>
      </c>
      <c r="BA364" s="9" t="s">
        <v>656</v>
      </c>
      <c r="BC364" s="27">
        <f t="shared" si="115"/>
        <v>0</v>
      </c>
      <c r="BD364" s="27">
        <f t="shared" si="116"/>
        <v>0</v>
      </c>
      <c r="BE364" s="27">
        <v>0</v>
      </c>
      <c r="BF364" s="27">
        <f>364</f>
        <v>364</v>
      </c>
      <c r="BH364" s="27">
        <f t="shared" si="117"/>
        <v>0</v>
      </c>
      <c r="BI364" s="27">
        <f t="shared" si="118"/>
        <v>0</v>
      </c>
      <c r="BJ364" s="27">
        <f t="shared" si="119"/>
        <v>0</v>
      </c>
      <c r="BK364" s="27"/>
      <c r="BL364" s="27">
        <v>725</v>
      </c>
      <c r="BW364" s="27">
        <v>21</v>
      </c>
    </row>
    <row r="365" spans="1:75" ht="13.5" customHeight="1">
      <c r="A365" s="2" t="s">
        <v>784</v>
      </c>
      <c r="B365" s="3" t="s">
        <v>650</v>
      </c>
      <c r="C365" s="3" t="s">
        <v>785</v>
      </c>
      <c r="D365" s="148" t="s">
        <v>786</v>
      </c>
      <c r="E365" s="143"/>
      <c r="F365" s="3" t="s">
        <v>224</v>
      </c>
      <c r="G365" s="27">
        <v>5</v>
      </c>
      <c r="H365" s="27">
        <v>0</v>
      </c>
      <c r="I365" s="27">
        <f t="shared" si="96"/>
        <v>0</v>
      </c>
      <c r="J365" s="27">
        <f t="shared" si="97"/>
        <v>0</v>
      </c>
      <c r="K365" s="27">
        <f t="shared" si="98"/>
        <v>0</v>
      </c>
      <c r="L365" s="28" t="s">
        <v>52</v>
      </c>
      <c r="Z365" s="27">
        <f t="shared" si="99"/>
        <v>0</v>
      </c>
      <c r="AB365" s="27">
        <f t="shared" si="100"/>
        <v>0</v>
      </c>
      <c r="AC365" s="27">
        <f t="shared" si="101"/>
        <v>0</v>
      </c>
      <c r="AD365" s="27">
        <f t="shared" si="102"/>
        <v>0</v>
      </c>
      <c r="AE365" s="27">
        <f t="shared" si="103"/>
        <v>0</v>
      </c>
      <c r="AF365" s="27">
        <f t="shared" si="104"/>
        <v>0</v>
      </c>
      <c r="AG365" s="27">
        <f t="shared" si="105"/>
        <v>0</v>
      </c>
      <c r="AH365" s="27">
        <f t="shared" si="106"/>
        <v>0</v>
      </c>
      <c r="AI365" s="9" t="s">
        <v>650</v>
      </c>
      <c r="AJ365" s="27">
        <f t="shared" si="107"/>
        <v>0</v>
      </c>
      <c r="AK365" s="27">
        <f t="shared" si="108"/>
        <v>0</v>
      </c>
      <c r="AL365" s="27">
        <f t="shared" si="109"/>
        <v>0</v>
      </c>
      <c r="AN365" s="27">
        <v>21</v>
      </c>
      <c r="AO365" s="27">
        <f t="shared" si="110"/>
        <v>0</v>
      </c>
      <c r="AP365" s="27">
        <f t="shared" si="111"/>
        <v>0</v>
      </c>
      <c r="AQ365" s="29" t="s">
        <v>84</v>
      </c>
      <c r="AV365" s="27">
        <f t="shared" si="112"/>
        <v>0</v>
      </c>
      <c r="AW365" s="27">
        <f t="shared" si="113"/>
        <v>0</v>
      </c>
      <c r="AX365" s="27">
        <f t="shared" si="114"/>
        <v>0</v>
      </c>
      <c r="AY365" s="29" t="s">
        <v>214</v>
      </c>
      <c r="AZ365" s="29" t="s">
        <v>655</v>
      </c>
      <c r="BA365" s="9" t="s">
        <v>656</v>
      </c>
      <c r="BC365" s="27">
        <f t="shared" si="115"/>
        <v>0</v>
      </c>
      <c r="BD365" s="27">
        <f t="shared" si="116"/>
        <v>0</v>
      </c>
      <c r="BE365" s="27">
        <v>0</v>
      </c>
      <c r="BF365" s="27">
        <f>365</f>
        <v>365</v>
      </c>
      <c r="BH365" s="27">
        <f t="shared" si="117"/>
        <v>0</v>
      </c>
      <c r="BI365" s="27">
        <f t="shared" si="118"/>
        <v>0</v>
      </c>
      <c r="BJ365" s="27">
        <f t="shared" si="119"/>
        <v>0</v>
      </c>
      <c r="BK365" s="27"/>
      <c r="BL365" s="27">
        <v>725</v>
      </c>
      <c r="BW365" s="27">
        <v>21</v>
      </c>
    </row>
    <row r="366" spans="1:75" ht="13.5" customHeight="1">
      <c r="A366" s="2" t="s">
        <v>787</v>
      </c>
      <c r="B366" s="3" t="s">
        <v>650</v>
      </c>
      <c r="C366" s="3" t="s">
        <v>788</v>
      </c>
      <c r="D366" s="148" t="s">
        <v>789</v>
      </c>
      <c r="E366" s="143"/>
      <c r="F366" s="3" t="s">
        <v>154</v>
      </c>
      <c r="G366" s="27">
        <v>5</v>
      </c>
      <c r="H366" s="27">
        <v>0</v>
      </c>
      <c r="I366" s="27">
        <f t="shared" si="96"/>
        <v>0</v>
      </c>
      <c r="J366" s="27">
        <f t="shared" si="97"/>
        <v>0</v>
      </c>
      <c r="K366" s="27">
        <f t="shared" si="98"/>
        <v>0</v>
      </c>
      <c r="L366" s="28" t="s">
        <v>52</v>
      </c>
      <c r="Z366" s="27">
        <f t="shared" si="99"/>
        <v>0</v>
      </c>
      <c r="AB366" s="27">
        <f t="shared" si="100"/>
        <v>0</v>
      </c>
      <c r="AC366" s="27">
        <f t="shared" si="101"/>
        <v>0</v>
      </c>
      <c r="AD366" s="27">
        <f t="shared" si="102"/>
        <v>0</v>
      </c>
      <c r="AE366" s="27">
        <f t="shared" si="103"/>
        <v>0</v>
      </c>
      <c r="AF366" s="27">
        <f t="shared" si="104"/>
        <v>0</v>
      </c>
      <c r="AG366" s="27">
        <f t="shared" si="105"/>
        <v>0</v>
      </c>
      <c r="AH366" s="27">
        <f t="shared" si="106"/>
        <v>0</v>
      </c>
      <c r="AI366" s="9" t="s">
        <v>650</v>
      </c>
      <c r="AJ366" s="27">
        <f t="shared" si="107"/>
        <v>0</v>
      </c>
      <c r="AK366" s="27">
        <f t="shared" si="108"/>
        <v>0</v>
      </c>
      <c r="AL366" s="27">
        <f t="shared" si="109"/>
        <v>0</v>
      </c>
      <c r="AN366" s="27">
        <v>21</v>
      </c>
      <c r="AO366" s="27">
        <f t="shared" si="110"/>
        <v>0</v>
      </c>
      <c r="AP366" s="27">
        <f t="shared" si="111"/>
        <v>0</v>
      </c>
      <c r="AQ366" s="29" t="s">
        <v>84</v>
      </c>
      <c r="AV366" s="27">
        <f t="shared" si="112"/>
        <v>0</v>
      </c>
      <c r="AW366" s="27">
        <f t="shared" si="113"/>
        <v>0</v>
      </c>
      <c r="AX366" s="27">
        <f t="shared" si="114"/>
        <v>0</v>
      </c>
      <c r="AY366" s="29" t="s">
        <v>214</v>
      </c>
      <c r="AZ366" s="29" t="s">
        <v>655</v>
      </c>
      <c r="BA366" s="9" t="s">
        <v>656</v>
      </c>
      <c r="BC366" s="27">
        <f t="shared" si="115"/>
        <v>0</v>
      </c>
      <c r="BD366" s="27">
        <f t="shared" si="116"/>
        <v>0</v>
      </c>
      <c r="BE366" s="27">
        <v>0</v>
      </c>
      <c r="BF366" s="27">
        <f>366</f>
        <v>366</v>
      </c>
      <c r="BH366" s="27">
        <f t="shared" si="117"/>
        <v>0</v>
      </c>
      <c r="BI366" s="27">
        <f t="shared" si="118"/>
        <v>0</v>
      </c>
      <c r="BJ366" s="27">
        <f t="shared" si="119"/>
        <v>0</v>
      </c>
      <c r="BK366" s="27"/>
      <c r="BL366" s="27">
        <v>725</v>
      </c>
      <c r="BW366" s="27">
        <v>21</v>
      </c>
    </row>
    <row r="367" spans="1:75" ht="13.5" customHeight="1">
      <c r="A367" s="2" t="s">
        <v>790</v>
      </c>
      <c r="B367" s="3" t="s">
        <v>650</v>
      </c>
      <c r="C367" s="3" t="s">
        <v>791</v>
      </c>
      <c r="D367" s="148" t="s">
        <v>792</v>
      </c>
      <c r="E367" s="143"/>
      <c r="F367" s="3" t="s">
        <v>154</v>
      </c>
      <c r="G367" s="27">
        <v>10</v>
      </c>
      <c r="H367" s="27">
        <v>0</v>
      </c>
      <c r="I367" s="27">
        <f t="shared" si="96"/>
        <v>0</v>
      </c>
      <c r="J367" s="27">
        <f t="shared" si="97"/>
        <v>0</v>
      </c>
      <c r="K367" s="27">
        <f t="shared" si="98"/>
        <v>0</v>
      </c>
      <c r="L367" s="28" t="s">
        <v>52</v>
      </c>
      <c r="Z367" s="27">
        <f t="shared" si="99"/>
        <v>0</v>
      </c>
      <c r="AB367" s="27">
        <f t="shared" si="100"/>
        <v>0</v>
      </c>
      <c r="AC367" s="27">
        <f t="shared" si="101"/>
        <v>0</v>
      </c>
      <c r="AD367" s="27">
        <f t="shared" si="102"/>
        <v>0</v>
      </c>
      <c r="AE367" s="27">
        <f t="shared" si="103"/>
        <v>0</v>
      </c>
      <c r="AF367" s="27">
        <f t="shared" si="104"/>
        <v>0</v>
      </c>
      <c r="AG367" s="27">
        <f t="shared" si="105"/>
        <v>0</v>
      </c>
      <c r="AH367" s="27">
        <f t="shared" si="106"/>
        <v>0</v>
      </c>
      <c r="AI367" s="9" t="s">
        <v>650</v>
      </c>
      <c r="AJ367" s="27">
        <f t="shared" si="107"/>
        <v>0</v>
      </c>
      <c r="AK367" s="27">
        <f t="shared" si="108"/>
        <v>0</v>
      </c>
      <c r="AL367" s="27">
        <f t="shared" si="109"/>
        <v>0</v>
      </c>
      <c r="AN367" s="27">
        <v>21</v>
      </c>
      <c r="AO367" s="27">
        <f t="shared" si="110"/>
        <v>0</v>
      </c>
      <c r="AP367" s="27">
        <f t="shared" si="111"/>
        <v>0</v>
      </c>
      <c r="AQ367" s="29" t="s">
        <v>84</v>
      </c>
      <c r="AV367" s="27">
        <f t="shared" si="112"/>
        <v>0</v>
      </c>
      <c r="AW367" s="27">
        <f t="shared" si="113"/>
        <v>0</v>
      </c>
      <c r="AX367" s="27">
        <f t="shared" si="114"/>
        <v>0</v>
      </c>
      <c r="AY367" s="29" t="s">
        <v>214</v>
      </c>
      <c r="AZ367" s="29" t="s">
        <v>655</v>
      </c>
      <c r="BA367" s="9" t="s">
        <v>656</v>
      </c>
      <c r="BC367" s="27">
        <f t="shared" si="115"/>
        <v>0</v>
      </c>
      <c r="BD367" s="27">
        <f t="shared" si="116"/>
        <v>0</v>
      </c>
      <c r="BE367" s="27">
        <v>0</v>
      </c>
      <c r="BF367" s="27">
        <f>367</f>
        <v>367</v>
      </c>
      <c r="BH367" s="27">
        <f t="shared" si="117"/>
        <v>0</v>
      </c>
      <c r="BI367" s="27">
        <f t="shared" si="118"/>
        <v>0</v>
      </c>
      <c r="BJ367" s="27">
        <f t="shared" si="119"/>
        <v>0</v>
      </c>
      <c r="BK367" s="27"/>
      <c r="BL367" s="27">
        <v>725</v>
      </c>
      <c r="BW367" s="27">
        <v>21</v>
      </c>
    </row>
    <row r="368" spans="1:75" ht="13.5" customHeight="1">
      <c r="A368" s="2" t="s">
        <v>793</v>
      </c>
      <c r="B368" s="3" t="s">
        <v>650</v>
      </c>
      <c r="C368" s="3" t="s">
        <v>794</v>
      </c>
      <c r="D368" s="148" t="s">
        <v>795</v>
      </c>
      <c r="E368" s="143"/>
      <c r="F368" s="3" t="s">
        <v>224</v>
      </c>
      <c r="G368" s="27">
        <v>3</v>
      </c>
      <c r="H368" s="27">
        <v>0</v>
      </c>
      <c r="I368" s="27">
        <f t="shared" si="96"/>
        <v>0</v>
      </c>
      <c r="J368" s="27">
        <f t="shared" si="97"/>
        <v>0</v>
      </c>
      <c r="K368" s="27">
        <f t="shared" si="98"/>
        <v>0</v>
      </c>
      <c r="L368" s="28" t="s">
        <v>52</v>
      </c>
      <c r="Z368" s="27">
        <f t="shared" si="99"/>
        <v>0</v>
      </c>
      <c r="AB368" s="27">
        <f t="shared" si="100"/>
        <v>0</v>
      </c>
      <c r="AC368" s="27">
        <f t="shared" si="101"/>
        <v>0</v>
      </c>
      <c r="AD368" s="27">
        <f t="shared" si="102"/>
        <v>0</v>
      </c>
      <c r="AE368" s="27">
        <f t="shared" si="103"/>
        <v>0</v>
      </c>
      <c r="AF368" s="27">
        <f t="shared" si="104"/>
        <v>0</v>
      </c>
      <c r="AG368" s="27">
        <f t="shared" si="105"/>
        <v>0</v>
      </c>
      <c r="AH368" s="27">
        <f t="shared" si="106"/>
        <v>0</v>
      </c>
      <c r="AI368" s="9" t="s">
        <v>650</v>
      </c>
      <c r="AJ368" s="27">
        <f t="shared" si="107"/>
        <v>0</v>
      </c>
      <c r="AK368" s="27">
        <f t="shared" si="108"/>
        <v>0</v>
      </c>
      <c r="AL368" s="27">
        <f t="shared" si="109"/>
        <v>0</v>
      </c>
      <c r="AN368" s="27">
        <v>21</v>
      </c>
      <c r="AO368" s="27">
        <f t="shared" si="110"/>
        <v>0</v>
      </c>
      <c r="AP368" s="27">
        <f t="shared" si="111"/>
        <v>0</v>
      </c>
      <c r="AQ368" s="29" t="s">
        <v>84</v>
      </c>
      <c r="AV368" s="27">
        <f t="shared" si="112"/>
        <v>0</v>
      </c>
      <c r="AW368" s="27">
        <f t="shared" si="113"/>
        <v>0</v>
      </c>
      <c r="AX368" s="27">
        <f t="shared" si="114"/>
        <v>0</v>
      </c>
      <c r="AY368" s="29" t="s">
        <v>214</v>
      </c>
      <c r="AZ368" s="29" t="s">
        <v>655</v>
      </c>
      <c r="BA368" s="9" t="s">
        <v>656</v>
      </c>
      <c r="BC368" s="27">
        <f t="shared" si="115"/>
        <v>0</v>
      </c>
      <c r="BD368" s="27">
        <f t="shared" si="116"/>
        <v>0</v>
      </c>
      <c r="BE368" s="27">
        <v>0</v>
      </c>
      <c r="BF368" s="27">
        <f>368</f>
        <v>368</v>
      </c>
      <c r="BH368" s="27">
        <f t="shared" si="117"/>
        <v>0</v>
      </c>
      <c r="BI368" s="27">
        <f t="shared" si="118"/>
        <v>0</v>
      </c>
      <c r="BJ368" s="27">
        <f t="shared" si="119"/>
        <v>0</v>
      </c>
      <c r="BK368" s="27"/>
      <c r="BL368" s="27">
        <v>725</v>
      </c>
      <c r="BW368" s="27">
        <v>21</v>
      </c>
    </row>
    <row r="369" spans="1:75" ht="13.5" customHeight="1">
      <c r="A369" s="2" t="s">
        <v>796</v>
      </c>
      <c r="B369" s="3" t="s">
        <v>650</v>
      </c>
      <c r="C369" s="3" t="s">
        <v>797</v>
      </c>
      <c r="D369" s="148" t="s">
        <v>798</v>
      </c>
      <c r="E369" s="143"/>
      <c r="F369" s="3" t="s">
        <v>224</v>
      </c>
      <c r="G369" s="27">
        <v>3</v>
      </c>
      <c r="H369" s="27">
        <v>0</v>
      </c>
      <c r="I369" s="27">
        <f t="shared" si="96"/>
        <v>0</v>
      </c>
      <c r="J369" s="27">
        <f t="shared" si="97"/>
        <v>0</v>
      </c>
      <c r="K369" s="27">
        <f t="shared" si="98"/>
        <v>0</v>
      </c>
      <c r="L369" s="28" t="s">
        <v>52</v>
      </c>
      <c r="Z369" s="27">
        <f t="shared" si="99"/>
        <v>0</v>
      </c>
      <c r="AB369" s="27">
        <f t="shared" si="100"/>
        <v>0</v>
      </c>
      <c r="AC369" s="27">
        <f t="shared" si="101"/>
        <v>0</v>
      </c>
      <c r="AD369" s="27">
        <f t="shared" si="102"/>
        <v>0</v>
      </c>
      <c r="AE369" s="27">
        <f t="shared" si="103"/>
        <v>0</v>
      </c>
      <c r="AF369" s="27">
        <f t="shared" si="104"/>
        <v>0</v>
      </c>
      <c r="AG369" s="27">
        <f t="shared" si="105"/>
        <v>0</v>
      </c>
      <c r="AH369" s="27">
        <f t="shared" si="106"/>
        <v>0</v>
      </c>
      <c r="AI369" s="9" t="s">
        <v>650</v>
      </c>
      <c r="AJ369" s="27">
        <f t="shared" si="107"/>
        <v>0</v>
      </c>
      <c r="AK369" s="27">
        <f t="shared" si="108"/>
        <v>0</v>
      </c>
      <c r="AL369" s="27">
        <f t="shared" si="109"/>
        <v>0</v>
      </c>
      <c r="AN369" s="27">
        <v>21</v>
      </c>
      <c r="AO369" s="27">
        <f t="shared" si="110"/>
        <v>0</v>
      </c>
      <c r="AP369" s="27">
        <f t="shared" si="111"/>
        <v>0</v>
      </c>
      <c r="AQ369" s="29" t="s">
        <v>84</v>
      </c>
      <c r="AV369" s="27">
        <f t="shared" si="112"/>
        <v>0</v>
      </c>
      <c r="AW369" s="27">
        <f t="shared" si="113"/>
        <v>0</v>
      </c>
      <c r="AX369" s="27">
        <f t="shared" si="114"/>
        <v>0</v>
      </c>
      <c r="AY369" s="29" t="s">
        <v>214</v>
      </c>
      <c r="AZ369" s="29" t="s">
        <v>655</v>
      </c>
      <c r="BA369" s="9" t="s">
        <v>656</v>
      </c>
      <c r="BC369" s="27">
        <f t="shared" si="115"/>
        <v>0</v>
      </c>
      <c r="BD369" s="27">
        <f t="shared" si="116"/>
        <v>0</v>
      </c>
      <c r="BE369" s="27">
        <v>0</v>
      </c>
      <c r="BF369" s="27">
        <f>369</f>
        <v>369</v>
      </c>
      <c r="BH369" s="27">
        <f t="shared" si="117"/>
        <v>0</v>
      </c>
      <c r="BI369" s="27">
        <f t="shared" si="118"/>
        <v>0</v>
      </c>
      <c r="BJ369" s="27">
        <f t="shared" si="119"/>
        <v>0</v>
      </c>
      <c r="BK369" s="27"/>
      <c r="BL369" s="27">
        <v>725</v>
      </c>
      <c r="BW369" s="27">
        <v>21</v>
      </c>
    </row>
    <row r="370" spans="1:75" ht="13.5" customHeight="1">
      <c r="A370" s="2" t="s">
        <v>799</v>
      </c>
      <c r="B370" s="3" t="s">
        <v>650</v>
      </c>
      <c r="C370" s="3" t="s">
        <v>800</v>
      </c>
      <c r="D370" s="148" t="s">
        <v>801</v>
      </c>
      <c r="E370" s="143"/>
      <c r="F370" s="3" t="s">
        <v>224</v>
      </c>
      <c r="G370" s="27">
        <v>3</v>
      </c>
      <c r="H370" s="27">
        <v>0</v>
      </c>
      <c r="I370" s="27">
        <f t="shared" si="96"/>
        <v>0</v>
      </c>
      <c r="J370" s="27">
        <f t="shared" si="97"/>
        <v>0</v>
      </c>
      <c r="K370" s="27">
        <f t="shared" si="98"/>
        <v>0</v>
      </c>
      <c r="L370" s="28" t="s">
        <v>52</v>
      </c>
      <c r="Z370" s="27">
        <f t="shared" si="99"/>
        <v>0</v>
      </c>
      <c r="AB370" s="27">
        <f t="shared" si="100"/>
        <v>0</v>
      </c>
      <c r="AC370" s="27">
        <f t="shared" si="101"/>
        <v>0</v>
      </c>
      <c r="AD370" s="27">
        <f t="shared" si="102"/>
        <v>0</v>
      </c>
      <c r="AE370" s="27">
        <f t="shared" si="103"/>
        <v>0</v>
      </c>
      <c r="AF370" s="27">
        <f t="shared" si="104"/>
        <v>0</v>
      </c>
      <c r="AG370" s="27">
        <f t="shared" si="105"/>
        <v>0</v>
      </c>
      <c r="AH370" s="27">
        <f t="shared" si="106"/>
        <v>0</v>
      </c>
      <c r="AI370" s="9" t="s">
        <v>650</v>
      </c>
      <c r="AJ370" s="27">
        <f t="shared" si="107"/>
        <v>0</v>
      </c>
      <c r="AK370" s="27">
        <f t="shared" si="108"/>
        <v>0</v>
      </c>
      <c r="AL370" s="27">
        <f t="shared" si="109"/>
        <v>0</v>
      </c>
      <c r="AN370" s="27">
        <v>21</v>
      </c>
      <c r="AO370" s="27">
        <f t="shared" si="110"/>
        <v>0</v>
      </c>
      <c r="AP370" s="27">
        <f t="shared" si="111"/>
        <v>0</v>
      </c>
      <c r="AQ370" s="29" t="s">
        <v>84</v>
      </c>
      <c r="AV370" s="27">
        <f t="shared" si="112"/>
        <v>0</v>
      </c>
      <c r="AW370" s="27">
        <f t="shared" si="113"/>
        <v>0</v>
      </c>
      <c r="AX370" s="27">
        <f t="shared" si="114"/>
        <v>0</v>
      </c>
      <c r="AY370" s="29" t="s">
        <v>214</v>
      </c>
      <c r="AZ370" s="29" t="s">
        <v>655</v>
      </c>
      <c r="BA370" s="9" t="s">
        <v>656</v>
      </c>
      <c r="BC370" s="27">
        <f t="shared" si="115"/>
        <v>0</v>
      </c>
      <c r="BD370" s="27">
        <f t="shared" si="116"/>
        <v>0</v>
      </c>
      <c r="BE370" s="27">
        <v>0</v>
      </c>
      <c r="BF370" s="27">
        <f>370</f>
        <v>370</v>
      </c>
      <c r="BH370" s="27">
        <f t="shared" si="117"/>
        <v>0</v>
      </c>
      <c r="BI370" s="27">
        <f t="shared" si="118"/>
        <v>0</v>
      </c>
      <c r="BJ370" s="27">
        <f t="shared" si="119"/>
        <v>0</v>
      </c>
      <c r="BK370" s="27"/>
      <c r="BL370" s="27">
        <v>725</v>
      </c>
      <c r="BW370" s="27">
        <v>21</v>
      </c>
    </row>
    <row r="371" spans="1:75" ht="13.5" customHeight="1">
      <c r="A371" s="2" t="s">
        <v>802</v>
      </c>
      <c r="B371" s="3" t="s">
        <v>650</v>
      </c>
      <c r="C371" s="3" t="s">
        <v>803</v>
      </c>
      <c r="D371" s="148" t="s">
        <v>804</v>
      </c>
      <c r="E371" s="143"/>
      <c r="F371" s="3" t="s">
        <v>154</v>
      </c>
      <c r="G371" s="27">
        <v>3</v>
      </c>
      <c r="H371" s="27">
        <v>0</v>
      </c>
      <c r="I371" s="27">
        <f t="shared" si="96"/>
        <v>0</v>
      </c>
      <c r="J371" s="27">
        <f t="shared" si="97"/>
        <v>0</v>
      </c>
      <c r="K371" s="27">
        <f t="shared" si="98"/>
        <v>0</v>
      </c>
      <c r="L371" s="28" t="s">
        <v>52</v>
      </c>
      <c r="Z371" s="27">
        <f t="shared" si="99"/>
        <v>0</v>
      </c>
      <c r="AB371" s="27">
        <f t="shared" si="100"/>
        <v>0</v>
      </c>
      <c r="AC371" s="27">
        <f t="shared" si="101"/>
        <v>0</v>
      </c>
      <c r="AD371" s="27">
        <f t="shared" si="102"/>
        <v>0</v>
      </c>
      <c r="AE371" s="27">
        <f t="shared" si="103"/>
        <v>0</v>
      </c>
      <c r="AF371" s="27">
        <f t="shared" si="104"/>
        <v>0</v>
      </c>
      <c r="AG371" s="27">
        <f t="shared" si="105"/>
        <v>0</v>
      </c>
      <c r="AH371" s="27">
        <f t="shared" si="106"/>
        <v>0</v>
      </c>
      <c r="AI371" s="9" t="s">
        <v>650</v>
      </c>
      <c r="AJ371" s="27">
        <f t="shared" si="107"/>
        <v>0</v>
      </c>
      <c r="AK371" s="27">
        <f t="shared" si="108"/>
        <v>0</v>
      </c>
      <c r="AL371" s="27">
        <f t="shared" si="109"/>
        <v>0</v>
      </c>
      <c r="AN371" s="27">
        <v>21</v>
      </c>
      <c r="AO371" s="27">
        <f t="shared" si="110"/>
        <v>0</v>
      </c>
      <c r="AP371" s="27">
        <f t="shared" si="111"/>
        <v>0</v>
      </c>
      <c r="AQ371" s="29" t="s">
        <v>84</v>
      </c>
      <c r="AV371" s="27">
        <f t="shared" si="112"/>
        <v>0</v>
      </c>
      <c r="AW371" s="27">
        <f t="shared" si="113"/>
        <v>0</v>
      </c>
      <c r="AX371" s="27">
        <f t="shared" si="114"/>
        <v>0</v>
      </c>
      <c r="AY371" s="29" t="s">
        <v>214</v>
      </c>
      <c r="AZ371" s="29" t="s">
        <v>655</v>
      </c>
      <c r="BA371" s="9" t="s">
        <v>656</v>
      </c>
      <c r="BC371" s="27">
        <f t="shared" si="115"/>
        <v>0</v>
      </c>
      <c r="BD371" s="27">
        <f t="shared" si="116"/>
        <v>0</v>
      </c>
      <c r="BE371" s="27">
        <v>0</v>
      </c>
      <c r="BF371" s="27">
        <f>371</f>
        <v>371</v>
      </c>
      <c r="BH371" s="27">
        <f t="shared" si="117"/>
        <v>0</v>
      </c>
      <c r="BI371" s="27">
        <f t="shared" si="118"/>
        <v>0</v>
      </c>
      <c r="BJ371" s="27">
        <f t="shared" si="119"/>
        <v>0</v>
      </c>
      <c r="BK371" s="27"/>
      <c r="BL371" s="27">
        <v>725</v>
      </c>
      <c r="BW371" s="27">
        <v>21</v>
      </c>
    </row>
    <row r="372" spans="1:75" ht="13.5" customHeight="1">
      <c r="A372" s="2" t="s">
        <v>805</v>
      </c>
      <c r="B372" s="3" t="s">
        <v>650</v>
      </c>
      <c r="C372" s="3" t="s">
        <v>806</v>
      </c>
      <c r="D372" s="148" t="s">
        <v>807</v>
      </c>
      <c r="E372" s="143"/>
      <c r="F372" s="3" t="s">
        <v>224</v>
      </c>
      <c r="G372" s="27">
        <v>3</v>
      </c>
      <c r="H372" s="27">
        <v>0</v>
      </c>
      <c r="I372" s="27">
        <f t="shared" si="96"/>
        <v>0</v>
      </c>
      <c r="J372" s="27">
        <f t="shared" si="97"/>
        <v>0</v>
      </c>
      <c r="K372" s="27">
        <f t="shared" si="98"/>
        <v>0</v>
      </c>
      <c r="L372" s="28" t="s">
        <v>52</v>
      </c>
      <c r="Z372" s="27">
        <f t="shared" si="99"/>
        <v>0</v>
      </c>
      <c r="AB372" s="27">
        <f t="shared" si="100"/>
        <v>0</v>
      </c>
      <c r="AC372" s="27">
        <f t="shared" si="101"/>
        <v>0</v>
      </c>
      <c r="AD372" s="27">
        <f t="shared" si="102"/>
        <v>0</v>
      </c>
      <c r="AE372" s="27">
        <f t="shared" si="103"/>
        <v>0</v>
      </c>
      <c r="AF372" s="27">
        <f t="shared" si="104"/>
        <v>0</v>
      </c>
      <c r="AG372" s="27">
        <f t="shared" si="105"/>
        <v>0</v>
      </c>
      <c r="AH372" s="27">
        <f t="shared" si="106"/>
        <v>0</v>
      </c>
      <c r="AI372" s="9" t="s">
        <v>650</v>
      </c>
      <c r="AJ372" s="27">
        <f t="shared" si="107"/>
        <v>0</v>
      </c>
      <c r="AK372" s="27">
        <f t="shared" si="108"/>
        <v>0</v>
      </c>
      <c r="AL372" s="27">
        <f t="shared" si="109"/>
        <v>0</v>
      </c>
      <c r="AN372" s="27">
        <v>21</v>
      </c>
      <c r="AO372" s="27">
        <f t="shared" si="110"/>
        <v>0</v>
      </c>
      <c r="AP372" s="27">
        <f t="shared" si="111"/>
        <v>0</v>
      </c>
      <c r="AQ372" s="29" t="s">
        <v>84</v>
      </c>
      <c r="AV372" s="27">
        <f t="shared" si="112"/>
        <v>0</v>
      </c>
      <c r="AW372" s="27">
        <f t="shared" si="113"/>
        <v>0</v>
      </c>
      <c r="AX372" s="27">
        <f t="shared" si="114"/>
        <v>0</v>
      </c>
      <c r="AY372" s="29" t="s">
        <v>214</v>
      </c>
      <c r="AZ372" s="29" t="s">
        <v>655</v>
      </c>
      <c r="BA372" s="9" t="s">
        <v>656</v>
      </c>
      <c r="BC372" s="27">
        <f t="shared" si="115"/>
        <v>0</v>
      </c>
      <c r="BD372" s="27">
        <f t="shared" si="116"/>
        <v>0</v>
      </c>
      <c r="BE372" s="27">
        <v>0</v>
      </c>
      <c r="BF372" s="27">
        <f>372</f>
        <v>372</v>
      </c>
      <c r="BH372" s="27">
        <f t="shared" si="117"/>
        <v>0</v>
      </c>
      <c r="BI372" s="27">
        <f t="shared" si="118"/>
        <v>0</v>
      </c>
      <c r="BJ372" s="27">
        <f t="shared" si="119"/>
        <v>0</v>
      </c>
      <c r="BK372" s="27"/>
      <c r="BL372" s="27">
        <v>725</v>
      </c>
      <c r="BW372" s="27">
        <v>21</v>
      </c>
    </row>
    <row r="373" spans="1:75" ht="13.5" customHeight="1">
      <c r="A373" s="2" t="s">
        <v>808</v>
      </c>
      <c r="B373" s="3" t="s">
        <v>650</v>
      </c>
      <c r="C373" s="3" t="s">
        <v>809</v>
      </c>
      <c r="D373" s="148" t="s">
        <v>810</v>
      </c>
      <c r="E373" s="143"/>
      <c r="F373" s="3" t="s">
        <v>224</v>
      </c>
      <c r="G373" s="27">
        <v>3</v>
      </c>
      <c r="H373" s="27">
        <v>0</v>
      </c>
      <c r="I373" s="27">
        <f t="shared" si="96"/>
        <v>0</v>
      </c>
      <c r="J373" s="27">
        <f t="shared" si="97"/>
        <v>0</v>
      </c>
      <c r="K373" s="27">
        <f t="shared" si="98"/>
        <v>0</v>
      </c>
      <c r="L373" s="28" t="s">
        <v>52</v>
      </c>
      <c r="Z373" s="27">
        <f t="shared" si="99"/>
        <v>0</v>
      </c>
      <c r="AB373" s="27">
        <f t="shared" si="100"/>
        <v>0</v>
      </c>
      <c r="AC373" s="27">
        <f t="shared" si="101"/>
        <v>0</v>
      </c>
      <c r="AD373" s="27">
        <f t="shared" si="102"/>
        <v>0</v>
      </c>
      <c r="AE373" s="27">
        <f t="shared" si="103"/>
        <v>0</v>
      </c>
      <c r="AF373" s="27">
        <f t="shared" si="104"/>
        <v>0</v>
      </c>
      <c r="AG373" s="27">
        <f t="shared" si="105"/>
        <v>0</v>
      </c>
      <c r="AH373" s="27">
        <f t="shared" si="106"/>
        <v>0</v>
      </c>
      <c r="AI373" s="9" t="s">
        <v>650</v>
      </c>
      <c r="AJ373" s="27">
        <f t="shared" si="107"/>
        <v>0</v>
      </c>
      <c r="AK373" s="27">
        <f t="shared" si="108"/>
        <v>0</v>
      </c>
      <c r="AL373" s="27">
        <f t="shared" si="109"/>
        <v>0</v>
      </c>
      <c r="AN373" s="27">
        <v>21</v>
      </c>
      <c r="AO373" s="27">
        <f t="shared" si="110"/>
        <v>0</v>
      </c>
      <c r="AP373" s="27">
        <f t="shared" si="111"/>
        <v>0</v>
      </c>
      <c r="AQ373" s="29" t="s">
        <v>84</v>
      </c>
      <c r="AV373" s="27">
        <f t="shared" si="112"/>
        <v>0</v>
      </c>
      <c r="AW373" s="27">
        <f t="shared" si="113"/>
        <v>0</v>
      </c>
      <c r="AX373" s="27">
        <f t="shared" si="114"/>
        <v>0</v>
      </c>
      <c r="AY373" s="29" t="s">
        <v>214</v>
      </c>
      <c r="AZ373" s="29" t="s">
        <v>655</v>
      </c>
      <c r="BA373" s="9" t="s">
        <v>656</v>
      </c>
      <c r="BC373" s="27">
        <f t="shared" si="115"/>
        <v>0</v>
      </c>
      <c r="BD373" s="27">
        <f t="shared" si="116"/>
        <v>0</v>
      </c>
      <c r="BE373" s="27">
        <v>0</v>
      </c>
      <c r="BF373" s="27">
        <f>373</f>
        <v>373</v>
      </c>
      <c r="BH373" s="27">
        <f t="shared" si="117"/>
        <v>0</v>
      </c>
      <c r="BI373" s="27">
        <f t="shared" si="118"/>
        <v>0</v>
      </c>
      <c r="BJ373" s="27">
        <f t="shared" si="119"/>
        <v>0</v>
      </c>
      <c r="BK373" s="27"/>
      <c r="BL373" s="27">
        <v>725</v>
      </c>
      <c r="BW373" s="27">
        <v>21</v>
      </c>
    </row>
    <row r="374" spans="1:75" ht="13.5" customHeight="1">
      <c r="A374" s="2" t="s">
        <v>811</v>
      </c>
      <c r="B374" s="3" t="s">
        <v>650</v>
      </c>
      <c r="C374" s="3" t="s">
        <v>812</v>
      </c>
      <c r="D374" s="148" t="s">
        <v>813</v>
      </c>
      <c r="E374" s="143"/>
      <c r="F374" s="3" t="s">
        <v>224</v>
      </c>
      <c r="G374" s="27">
        <v>3</v>
      </c>
      <c r="H374" s="27">
        <v>0</v>
      </c>
      <c r="I374" s="27">
        <f t="shared" si="96"/>
        <v>0</v>
      </c>
      <c r="J374" s="27">
        <f t="shared" si="97"/>
        <v>0</v>
      </c>
      <c r="K374" s="27">
        <f t="shared" si="98"/>
        <v>0</v>
      </c>
      <c r="L374" s="28" t="s">
        <v>52</v>
      </c>
      <c r="Z374" s="27">
        <f t="shared" si="99"/>
        <v>0</v>
      </c>
      <c r="AB374" s="27">
        <f t="shared" si="100"/>
        <v>0</v>
      </c>
      <c r="AC374" s="27">
        <f t="shared" si="101"/>
        <v>0</v>
      </c>
      <c r="AD374" s="27">
        <f t="shared" si="102"/>
        <v>0</v>
      </c>
      <c r="AE374" s="27">
        <f t="shared" si="103"/>
        <v>0</v>
      </c>
      <c r="AF374" s="27">
        <f t="shared" si="104"/>
        <v>0</v>
      </c>
      <c r="AG374" s="27">
        <f t="shared" si="105"/>
        <v>0</v>
      </c>
      <c r="AH374" s="27">
        <f t="shared" si="106"/>
        <v>0</v>
      </c>
      <c r="AI374" s="9" t="s">
        <v>650</v>
      </c>
      <c r="AJ374" s="27">
        <f t="shared" si="107"/>
        <v>0</v>
      </c>
      <c r="AK374" s="27">
        <f t="shared" si="108"/>
        <v>0</v>
      </c>
      <c r="AL374" s="27">
        <f t="shared" si="109"/>
        <v>0</v>
      </c>
      <c r="AN374" s="27">
        <v>21</v>
      </c>
      <c r="AO374" s="27">
        <f t="shared" si="110"/>
        <v>0</v>
      </c>
      <c r="AP374" s="27">
        <f t="shared" si="111"/>
        <v>0</v>
      </c>
      <c r="AQ374" s="29" t="s">
        <v>84</v>
      </c>
      <c r="AV374" s="27">
        <f t="shared" si="112"/>
        <v>0</v>
      </c>
      <c r="AW374" s="27">
        <f t="shared" si="113"/>
        <v>0</v>
      </c>
      <c r="AX374" s="27">
        <f t="shared" si="114"/>
        <v>0</v>
      </c>
      <c r="AY374" s="29" t="s">
        <v>214</v>
      </c>
      <c r="AZ374" s="29" t="s">
        <v>655</v>
      </c>
      <c r="BA374" s="9" t="s">
        <v>656</v>
      </c>
      <c r="BC374" s="27">
        <f t="shared" si="115"/>
        <v>0</v>
      </c>
      <c r="BD374" s="27">
        <f t="shared" si="116"/>
        <v>0</v>
      </c>
      <c r="BE374" s="27">
        <v>0</v>
      </c>
      <c r="BF374" s="27">
        <f>374</f>
        <v>374</v>
      </c>
      <c r="BH374" s="27">
        <f t="shared" si="117"/>
        <v>0</v>
      </c>
      <c r="BI374" s="27">
        <f t="shared" si="118"/>
        <v>0</v>
      </c>
      <c r="BJ374" s="27">
        <f t="shared" si="119"/>
        <v>0</v>
      </c>
      <c r="BK374" s="27"/>
      <c r="BL374" s="27">
        <v>725</v>
      </c>
      <c r="BW374" s="27">
        <v>21</v>
      </c>
    </row>
    <row r="375" spans="1:75" ht="13.5" customHeight="1">
      <c r="A375" s="2" t="s">
        <v>814</v>
      </c>
      <c r="B375" s="3" t="s">
        <v>650</v>
      </c>
      <c r="C375" s="3" t="s">
        <v>815</v>
      </c>
      <c r="D375" s="148" t="s">
        <v>816</v>
      </c>
      <c r="E375" s="143"/>
      <c r="F375" s="3" t="s">
        <v>224</v>
      </c>
      <c r="G375" s="27">
        <v>3</v>
      </c>
      <c r="H375" s="27">
        <v>0</v>
      </c>
      <c r="I375" s="27">
        <f t="shared" si="96"/>
        <v>0</v>
      </c>
      <c r="J375" s="27">
        <f t="shared" si="97"/>
        <v>0</v>
      </c>
      <c r="K375" s="27">
        <f t="shared" si="98"/>
        <v>0</v>
      </c>
      <c r="L375" s="28" t="s">
        <v>52</v>
      </c>
      <c r="Z375" s="27">
        <f t="shared" si="99"/>
        <v>0</v>
      </c>
      <c r="AB375" s="27">
        <f t="shared" si="100"/>
        <v>0</v>
      </c>
      <c r="AC375" s="27">
        <f t="shared" si="101"/>
        <v>0</v>
      </c>
      <c r="AD375" s="27">
        <f t="shared" si="102"/>
        <v>0</v>
      </c>
      <c r="AE375" s="27">
        <f t="shared" si="103"/>
        <v>0</v>
      </c>
      <c r="AF375" s="27">
        <f t="shared" si="104"/>
        <v>0</v>
      </c>
      <c r="AG375" s="27">
        <f t="shared" si="105"/>
        <v>0</v>
      </c>
      <c r="AH375" s="27">
        <f t="shared" si="106"/>
        <v>0</v>
      </c>
      <c r="AI375" s="9" t="s">
        <v>650</v>
      </c>
      <c r="AJ375" s="27">
        <f t="shared" si="107"/>
        <v>0</v>
      </c>
      <c r="AK375" s="27">
        <f t="shared" si="108"/>
        <v>0</v>
      </c>
      <c r="AL375" s="27">
        <f t="shared" si="109"/>
        <v>0</v>
      </c>
      <c r="AN375" s="27">
        <v>21</v>
      </c>
      <c r="AO375" s="27">
        <f t="shared" si="110"/>
        <v>0</v>
      </c>
      <c r="AP375" s="27">
        <f t="shared" si="111"/>
        <v>0</v>
      </c>
      <c r="AQ375" s="29" t="s">
        <v>84</v>
      </c>
      <c r="AV375" s="27">
        <f t="shared" si="112"/>
        <v>0</v>
      </c>
      <c r="AW375" s="27">
        <f t="shared" si="113"/>
        <v>0</v>
      </c>
      <c r="AX375" s="27">
        <f t="shared" si="114"/>
        <v>0</v>
      </c>
      <c r="AY375" s="29" t="s">
        <v>214</v>
      </c>
      <c r="AZ375" s="29" t="s">
        <v>655</v>
      </c>
      <c r="BA375" s="9" t="s">
        <v>656</v>
      </c>
      <c r="BC375" s="27">
        <f t="shared" si="115"/>
        <v>0</v>
      </c>
      <c r="BD375" s="27">
        <f t="shared" si="116"/>
        <v>0</v>
      </c>
      <c r="BE375" s="27">
        <v>0</v>
      </c>
      <c r="BF375" s="27">
        <f>375</f>
        <v>375</v>
      </c>
      <c r="BH375" s="27">
        <f t="shared" si="117"/>
        <v>0</v>
      </c>
      <c r="BI375" s="27">
        <f t="shared" si="118"/>
        <v>0</v>
      </c>
      <c r="BJ375" s="27">
        <f t="shared" si="119"/>
        <v>0</v>
      </c>
      <c r="BK375" s="27"/>
      <c r="BL375" s="27">
        <v>725</v>
      </c>
      <c r="BW375" s="27">
        <v>21</v>
      </c>
    </row>
    <row r="376" spans="1:75" ht="13.5" customHeight="1">
      <c r="A376" s="2" t="s">
        <v>817</v>
      </c>
      <c r="B376" s="3" t="s">
        <v>650</v>
      </c>
      <c r="C376" s="3" t="s">
        <v>818</v>
      </c>
      <c r="D376" s="148" t="s">
        <v>819</v>
      </c>
      <c r="E376" s="143"/>
      <c r="F376" s="3" t="s">
        <v>224</v>
      </c>
      <c r="G376" s="27">
        <v>3</v>
      </c>
      <c r="H376" s="27">
        <v>0</v>
      </c>
      <c r="I376" s="27">
        <f t="shared" si="96"/>
        <v>0</v>
      </c>
      <c r="J376" s="27">
        <f t="shared" si="97"/>
        <v>0</v>
      </c>
      <c r="K376" s="27">
        <f t="shared" si="98"/>
        <v>0</v>
      </c>
      <c r="L376" s="28" t="s">
        <v>52</v>
      </c>
      <c r="Z376" s="27">
        <f t="shared" si="99"/>
        <v>0</v>
      </c>
      <c r="AB376" s="27">
        <f t="shared" si="100"/>
        <v>0</v>
      </c>
      <c r="AC376" s="27">
        <f t="shared" si="101"/>
        <v>0</v>
      </c>
      <c r="AD376" s="27">
        <f t="shared" si="102"/>
        <v>0</v>
      </c>
      <c r="AE376" s="27">
        <f t="shared" si="103"/>
        <v>0</v>
      </c>
      <c r="AF376" s="27">
        <f t="shared" si="104"/>
        <v>0</v>
      </c>
      <c r="AG376" s="27">
        <f t="shared" si="105"/>
        <v>0</v>
      </c>
      <c r="AH376" s="27">
        <f t="shared" si="106"/>
        <v>0</v>
      </c>
      <c r="AI376" s="9" t="s">
        <v>650</v>
      </c>
      <c r="AJ376" s="27">
        <f t="shared" si="107"/>
        <v>0</v>
      </c>
      <c r="AK376" s="27">
        <f t="shared" si="108"/>
        <v>0</v>
      </c>
      <c r="AL376" s="27">
        <f t="shared" si="109"/>
        <v>0</v>
      </c>
      <c r="AN376" s="27">
        <v>21</v>
      </c>
      <c r="AO376" s="27">
        <f t="shared" si="110"/>
        <v>0</v>
      </c>
      <c r="AP376" s="27">
        <f t="shared" si="111"/>
        <v>0</v>
      </c>
      <c r="AQ376" s="29" t="s">
        <v>84</v>
      </c>
      <c r="AV376" s="27">
        <f t="shared" si="112"/>
        <v>0</v>
      </c>
      <c r="AW376" s="27">
        <f t="shared" si="113"/>
        <v>0</v>
      </c>
      <c r="AX376" s="27">
        <f t="shared" si="114"/>
        <v>0</v>
      </c>
      <c r="AY376" s="29" t="s">
        <v>214</v>
      </c>
      <c r="AZ376" s="29" t="s">
        <v>655</v>
      </c>
      <c r="BA376" s="9" t="s">
        <v>656</v>
      </c>
      <c r="BC376" s="27">
        <f t="shared" si="115"/>
        <v>0</v>
      </c>
      <c r="BD376" s="27">
        <f t="shared" si="116"/>
        <v>0</v>
      </c>
      <c r="BE376" s="27">
        <v>0</v>
      </c>
      <c r="BF376" s="27">
        <f>376</f>
        <v>376</v>
      </c>
      <c r="BH376" s="27">
        <f t="shared" si="117"/>
        <v>0</v>
      </c>
      <c r="BI376" s="27">
        <f t="shared" si="118"/>
        <v>0</v>
      </c>
      <c r="BJ376" s="27">
        <f t="shared" si="119"/>
        <v>0</v>
      </c>
      <c r="BK376" s="27"/>
      <c r="BL376" s="27">
        <v>725</v>
      </c>
      <c r="BW376" s="27">
        <v>21</v>
      </c>
    </row>
    <row r="377" spans="1:75" ht="13.5" customHeight="1">
      <c r="A377" s="2" t="s">
        <v>820</v>
      </c>
      <c r="B377" s="3" t="s">
        <v>650</v>
      </c>
      <c r="C377" s="3" t="s">
        <v>821</v>
      </c>
      <c r="D377" s="148" t="s">
        <v>822</v>
      </c>
      <c r="E377" s="143"/>
      <c r="F377" s="3" t="s">
        <v>224</v>
      </c>
      <c r="G377" s="27">
        <v>3</v>
      </c>
      <c r="H377" s="27">
        <v>0</v>
      </c>
      <c r="I377" s="27">
        <f t="shared" si="96"/>
        <v>0</v>
      </c>
      <c r="J377" s="27">
        <f t="shared" si="97"/>
        <v>0</v>
      </c>
      <c r="K377" s="27">
        <f t="shared" si="98"/>
        <v>0</v>
      </c>
      <c r="L377" s="28" t="s">
        <v>52</v>
      </c>
      <c r="Z377" s="27">
        <f t="shared" si="99"/>
        <v>0</v>
      </c>
      <c r="AB377" s="27">
        <f t="shared" si="100"/>
        <v>0</v>
      </c>
      <c r="AC377" s="27">
        <f t="shared" si="101"/>
        <v>0</v>
      </c>
      <c r="AD377" s="27">
        <f t="shared" si="102"/>
        <v>0</v>
      </c>
      <c r="AE377" s="27">
        <f t="shared" si="103"/>
        <v>0</v>
      </c>
      <c r="AF377" s="27">
        <f t="shared" si="104"/>
        <v>0</v>
      </c>
      <c r="AG377" s="27">
        <f t="shared" si="105"/>
        <v>0</v>
      </c>
      <c r="AH377" s="27">
        <f t="shared" si="106"/>
        <v>0</v>
      </c>
      <c r="AI377" s="9" t="s">
        <v>650</v>
      </c>
      <c r="AJ377" s="27">
        <f t="shared" si="107"/>
        <v>0</v>
      </c>
      <c r="AK377" s="27">
        <f t="shared" si="108"/>
        <v>0</v>
      </c>
      <c r="AL377" s="27">
        <f t="shared" si="109"/>
        <v>0</v>
      </c>
      <c r="AN377" s="27">
        <v>21</v>
      </c>
      <c r="AO377" s="27">
        <f t="shared" si="110"/>
        <v>0</v>
      </c>
      <c r="AP377" s="27">
        <f t="shared" si="111"/>
        <v>0</v>
      </c>
      <c r="AQ377" s="29" t="s">
        <v>84</v>
      </c>
      <c r="AV377" s="27">
        <f t="shared" si="112"/>
        <v>0</v>
      </c>
      <c r="AW377" s="27">
        <f t="shared" si="113"/>
        <v>0</v>
      </c>
      <c r="AX377" s="27">
        <f t="shared" si="114"/>
        <v>0</v>
      </c>
      <c r="AY377" s="29" t="s">
        <v>214</v>
      </c>
      <c r="AZ377" s="29" t="s">
        <v>655</v>
      </c>
      <c r="BA377" s="9" t="s">
        <v>656</v>
      </c>
      <c r="BC377" s="27">
        <f t="shared" si="115"/>
        <v>0</v>
      </c>
      <c r="BD377" s="27">
        <f t="shared" si="116"/>
        <v>0</v>
      </c>
      <c r="BE377" s="27">
        <v>0</v>
      </c>
      <c r="BF377" s="27">
        <f>377</f>
        <v>377</v>
      </c>
      <c r="BH377" s="27">
        <f t="shared" si="117"/>
        <v>0</v>
      </c>
      <c r="BI377" s="27">
        <f t="shared" si="118"/>
        <v>0</v>
      </c>
      <c r="BJ377" s="27">
        <f t="shared" si="119"/>
        <v>0</v>
      </c>
      <c r="BK377" s="27"/>
      <c r="BL377" s="27">
        <v>725</v>
      </c>
      <c r="BW377" s="27">
        <v>21</v>
      </c>
    </row>
    <row r="378" spans="1:75" ht="13.5" customHeight="1">
      <c r="A378" s="2" t="s">
        <v>823</v>
      </c>
      <c r="B378" s="3" t="s">
        <v>650</v>
      </c>
      <c r="C378" s="3" t="s">
        <v>824</v>
      </c>
      <c r="D378" s="148" t="s">
        <v>825</v>
      </c>
      <c r="E378" s="143"/>
      <c r="F378" s="3" t="s">
        <v>224</v>
      </c>
      <c r="G378" s="27">
        <v>3</v>
      </c>
      <c r="H378" s="27">
        <v>0</v>
      </c>
      <c r="I378" s="27">
        <f t="shared" si="96"/>
        <v>0</v>
      </c>
      <c r="J378" s="27">
        <f t="shared" si="97"/>
        <v>0</v>
      </c>
      <c r="K378" s="27">
        <f t="shared" si="98"/>
        <v>0</v>
      </c>
      <c r="L378" s="28" t="s">
        <v>52</v>
      </c>
      <c r="Z378" s="27">
        <f t="shared" si="99"/>
        <v>0</v>
      </c>
      <c r="AB378" s="27">
        <f t="shared" si="100"/>
        <v>0</v>
      </c>
      <c r="AC378" s="27">
        <f t="shared" si="101"/>
        <v>0</v>
      </c>
      <c r="AD378" s="27">
        <f t="shared" si="102"/>
        <v>0</v>
      </c>
      <c r="AE378" s="27">
        <f t="shared" si="103"/>
        <v>0</v>
      </c>
      <c r="AF378" s="27">
        <f t="shared" si="104"/>
        <v>0</v>
      </c>
      <c r="AG378" s="27">
        <f t="shared" si="105"/>
        <v>0</v>
      </c>
      <c r="AH378" s="27">
        <f t="shared" si="106"/>
        <v>0</v>
      </c>
      <c r="AI378" s="9" t="s">
        <v>650</v>
      </c>
      <c r="AJ378" s="27">
        <f t="shared" si="107"/>
        <v>0</v>
      </c>
      <c r="AK378" s="27">
        <f t="shared" si="108"/>
        <v>0</v>
      </c>
      <c r="AL378" s="27">
        <f t="shared" si="109"/>
        <v>0</v>
      </c>
      <c r="AN378" s="27">
        <v>21</v>
      </c>
      <c r="AO378" s="27">
        <f t="shared" si="110"/>
        <v>0</v>
      </c>
      <c r="AP378" s="27">
        <f t="shared" si="111"/>
        <v>0</v>
      </c>
      <c r="AQ378" s="29" t="s">
        <v>84</v>
      </c>
      <c r="AV378" s="27">
        <f t="shared" si="112"/>
        <v>0</v>
      </c>
      <c r="AW378" s="27">
        <f t="shared" si="113"/>
        <v>0</v>
      </c>
      <c r="AX378" s="27">
        <f t="shared" si="114"/>
        <v>0</v>
      </c>
      <c r="AY378" s="29" t="s">
        <v>214</v>
      </c>
      <c r="AZ378" s="29" t="s">
        <v>655</v>
      </c>
      <c r="BA378" s="9" t="s">
        <v>656</v>
      </c>
      <c r="BC378" s="27">
        <f t="shared" si="115"/>
        <v>0</v>
      </c>
      <c r="BD378" s="27">
        <f t="shared" si="116"/>
        <v>0</v>
      </c>
      <c r="BE378" s="27">
        <v>0</v>
      </c>
      <c r="BF378" s="27">
        <f>378</f>
        <v>378</v>
      </c>
      <c r="BH378" s="27">
        <f t="shared" si="117"/>
        <v>0</v>
      </c>
      <c r="BI378" s="27">
        <f t="shared" si="118"/>
        <v>0</v>
      </c>
      <c r="BJ378" s="27">
        <f t="shared" si="119"/>
        <v>0</v>
      </c>
      <c r="BK378" s="27"/>
      <c r="BL378" s="27">
        <v>725</v>
      </c>
      <c r="BW378" s="27">
        <v>21</v>
      </c>
    </row>
    <row r="379" spans="1:75" ht="13.5" customHeight="1">
      <c r="A379" s="2" t="s">
        <v>826</v>
      </c>
      <c r="B379" s="3" t="s">
        <v>650</v>
      </c>
      <c r="C379" s="3" t="s">
        <v>232</v>
      </c>
      <c r="D379" s="148" t="s">
        <v>233</v>
      </c>
      <c r="E379" s="143"/>
      <c r="F379" s="3" t="s">
        <v>224</v>
      </c>
      <c r="G379" s="27">
        <v>3</v>
      </c>
      <c r="H379" s="27">
        <v>0</v>
      </c>
      <c r="I379" s="27">
        <f t="shared" si="96"/>
        <v>0</v>
      </c>
      <c r="J379" s="27">
        <f t="shared" si="97"/>
        <v>0</v>
      </c>
      <c r="K379" s="27">
        <f t="shared" si="98"/>
        <v>0</v>
      </c>
      <c r="L379" s="28" t="s">
        <v>52</v>
      </c>
      <c r="Z379" s="27">
        <f t="shared" si="99"/>
        <v>0</v>
      </c>
      <c r="AB379" s="27">
        <f t="shared" si="100"/>
        <v>0</v>
      </c>
      <c r="AC379" s="27">
        <f t="shared" si="101"/>
        <v>0</v>
      </c>
      <c r="AD379" s="27">
        <f t="shared" si="102"/>
        <v>0</v>
      </c>
      <c r="AE379" s="27">
        <f t="shared" si="103"/>
        <v>0</v>
      </c>
      <c r="AF379" s="27">
        <f t="shared" si="104"/>
        <v>0</v>
      </c>
      <c r="AG379" s="27">
        <f t="shared" si="105"/>
        <v>0</v>
      </c>
      <c r="AH379" s="27">
        <f t="shared" si="106"/>
        <v>0</v>
      </c>
      <c r="AI379" s="9" t="s">
        <v>650</v>
      </c>
      <c r="AJ379" s="27">
        <f t="shared" si="107"/>
        <v>0</v>
      </c>
      <c r="AK379" s="27">
        <f t="shared" si="108"/>
        <v>0</v>
      </c>
      <c r="AL379" s="27">
        <f t="shared" si="109"/>
        <v>0</v>
      </c>
      <c r="AN379" s="27">
        <v>21</v>
      </c>
      <c r="AO379" s="27">
        <f t="shared" si="110"/>
        <v>0</v>
      </c>
      <c r="AP379" s="27">
        <f t="shared" si="111"/>
        <v>0</v>
      </c>
      <c r="AQ379" s="29" t="s">
        <v>84</v>
      </c>
      <c r="AV379" s="27">
        <f t="shared" si="112"/>
        <v>0</v>
      </c>
      <c r="AW379" s="27">
        <f t="shared" si="113"/>
        <v>0</v>
      </c>
      <c r="AX379" s="27">
        <f t="shared" si="114"/>
        <v>0</v>
      </c>
      <c r="AY379" s="29" t="s">
        <v>214</v>
      </c>
      <c r="AZ379" s="29" t="s">
        <v>655</v>
      </c>
      <c r="BA379" s="9" t="s">
        <v>656</v>
      </c>
      <c r="BC379" s="27">
        <f t="shared" si="115"/>
        <v>0</v>
      </c>
      <c r="BD379" s="27">
        <f t="shared" si="116"/>
        <v>0</v>
      </c>
      <c r="BE379" s="27">
        <v>0</v>
      </c>
      <c r="BF379" s="27">
        <f>379</f>
        <v>379</v>
      </c>
      <c r="BH379" s="27">
        <f t="shared" si="117"/>
        <v>0</v>
      </c>
      <c r="BI379" s="27">
        <f t="shared" si="118"/>
        <v>0</v>
      </c>
      <c r="BJ379" s="27">
        <f t="shared" si="119"/>
        <v>0</v>
      </c>
      <c r="BK379" s="27"/>
      <c r="BL379" s="27">
        <v>725</v>
      </c>
      <c r="BW379" s="27">
        <v>21</v>
      </c>
    </row>
    <row r="380" spans="1:75" ht="13.5" customHeight="1">
      <c r="A380" s="2" t="s">
        <v>827</v>
      </c>
      <c r="B380" s="3" t="s">
        <v>650</v>
      </c>
      <c r="C380" s="3" t="s">
        <v>229</v>
      </c>
      <c r="D380" s="148" t="s">
        <v>230</v>
      </c>
      <c r="E380" s="143"/>
      <c r="F380" s="3" t="s">
        <v>224</v>
      </c>
      <c r="G380" s="27">
        <v>3</v>
      </c>
      <c r="H380" s="27">
        <v>0</v>
      </c>
      <c r="I380" s="27">
        <f t="shared" si="96"/>
        <v>0</v>
      </c>
      <c r="J380" s="27">
        <f t="shared" si="97"/>
        <v>0</v>
      </c>
      <c r="K380" s="27">
        <f t="shared" si="98"/>
        <v>0</v>
      </c>
      <c r="L380" s="28" t="s">
        <v>52</v>
      </c>
      <c r="Z380" s="27">
        <f t="shared" si="99"/>
        <v>0</v>
      </c>
      <c r="AB380" s="27">
        <f t="shared" si="100"/>
        <v>0</v>
      </c>
      <c r="AC380" s="27">
        <f t="shared" si="101"/>
        <v>0</v>
      </c>
      <c r="AD380" s="27">
        <f t="shared" si="102"/>
        <v>0</v>
      </c>
      <c r="AE380" s="27">
        <f t="shared" si="103"/>
        <v>0</v>
      </c>
      <c r="AF380" s="27">
        <f t="shared" si="104"/>
        <v>0</v>
      </c>
      <c r="AG380" s="27">
        <f t="shared" si="105"/>
        <v>0</v>
      </c>
      <c r="AH380" s="27">
        <f t="shared" si="106"/>
        <v>0</v>
      </c>
      <c r="AI380" s="9" t="s">
        <v>650</v>
      </c>
      <c r="AJ380" s="27">
        <f t="shared" si="107"/>
        <v>0</v>
      </c>
      <c r="AK380" s="27">
        <f t="shared" si="108"/>
        <v>0</v>
      </c>
      <c r="AL380" s="27">
        <f t="shared" si="109"/>
        <v>0</v>
      </c>
      <c r="AN380" s="27">
        <v>21</v>
      </c>
      <c r="AO380" s="27">
        <f t="shared" si="110"/>
        <v>0</v>
      </c>
      <c r="AP380" s="27">
        <f t="shared" si="111"/>
        <v>0</v>
      </c>
      <c r="AQ380" s="29" t="s">
        <v>84</v>
      </c>
      <c r="AV380" s="27">
        <f t="shared" si="112"/>
        <v>0</v>
      </c>
      <c r="AW380" s="27">
        <f t="shared" si="113"/>
        <v>0</v>
      </c>
      <c r="AX380" s="27">
        <f t="shared" si="114"/>
        <v>0</v>
      </c>
      <c r="AY380" s="29" t="s">
        <v>214</v>
      </c>
      <c r="AZ380" s="29" t="s">
        <v>655</v>
      </c>
      <c r="BA380" s="9" t="s">
        <v>656</v>
      </c>
      <c r="BC380" s="27">
        <f t="shared" si="115"/>
        <v>0</v>
      </c>
      <c r="BD380" s="27">
        <f t="shared" si="116"/>
        <v>0</v>
      </c>
      <c r="BE380" s="27">
        <v>0</v>
      </c>
      <c r="BF380" s="27">
        <f>380</f>
        <v>380</v>
      </c>
      <c r="BH380" s="27">
        <f t="shared" si="117"/>
        <v>0</v>
      </c>
      <c r="BI380" s="27">
        <f t="shared" si="118"/>
        <v>0</v>
      </c>
      <c r="BJ380" s="27">
        <f t="shared" si="119"/>
        <v>0</v>
      </c>
      <c r="BK380" s="27"/>
      <c r="BL380" s="27">
        <v>725</v>
      </c>
      <c r="BW380" s="27">
        <v>21</v>
      </c>
    </row>
    <row r="381" spans="1:75" ht="13.5" customHeight="1">
      <c r="A381" s="2" t="s">
        <v>828</v>
      </c>
      <c r="B381" s="3" t="s">
        <v>650</v>
      </c>
      <c r="C381" s="3" t="s">
        <v>226</v>
      </c>
      <c r="D381" s="148" t="s">
        <v>227</v>
      </c>
      <c r="E381" s="143"/>
      <c r="F381" s="3" t="s">
        <v>224</v>
      </c>
      <c r="G381" s="27">
        <v>3</v>
      </c>
      <c r="H381" s="27">
        <v>0</v>
      </c>
      <c r="I381" s="27">
        <f t="shared" si="96"/>
        <v>0</v>
      </c>
      <c r="J381" s="27">
        <f t="shared" si="97"/>
        <v>0</v>
      </c>
      <c r="K381" s="27">
        <f t="shared" si="98"/>
        <v>0</v>
      </c>
      <c r="L381" s="28" t="s">
        <v>52</v>
      </c>
      <c r="Z381" s="27">
        <f t="shared" si="99"/>
        <v>0</v>
      </c>
      <c r="AB381" s="27">
        <f t="shared" si="100"/>
        <v>0</v>
      </c>
      <c r="AC381" s="27">
        <f t="shared" si="101"/>
        <v>0</v>
      </c>
      <c r="AD381" s="27">
        <f t="shared" si="102"/>
        <v>0</v>
      </c>
      <c r="AE381" s="27">
        <f t="shared" si="103"/>
        <v>0</v>
      </c>
      <c r="AF381" s="27">
        <f t="shared" si="104"/>
        <v>0</v>
      </c>
      <c r="AG381" s="27">
        <f t="shared" si="105"/>
        <v>0</v>
      </c>
      <c r="AH381" s="27">
        <f t="shared" si="106"/>
        <v>0</v>
      </c>
      <c r="AI381" s="9" t="s">
        <v>650</v>
      </c>
      <c r="AJ381" s="27">
        <f t="shared" si="107"/>
        <v>0</v>
      </c>
      <c r="AK381" s="27">
        <f t="shared" si="108"/>
        <v>0</v>
      </c>
      <c r="AL381" s="27">
        <f t="shared" si="109"/>
        <v>0</v>
      </c>
      <c r="AN381" s="27">
        <v>21</v>
      </c>
      <c r="AO381" s="27">
        <f t="shared" si="110"/>
        <v>0</v>
      </c>
      <c r="AP381" s="27">
        <f t="shared" si="111"/>
        <v>0</v>
      </c>
      <c r="AQ381" s="29" t="s">
        <v>84</v>
      </c>
      <c r="AV381" s="27">
        <f t="shared" si="112"/>
        <v>0</v>
      </c>
      <c r="AW381" s="27">
        <f t="shared" si="113"/>
        <v>0</v>
      </c>
      <c r="AX381" s="27">
        <f t="shared" si="114"/>
        <v>0</v>
      </c>
      <c r="AY381" s="29" t="s">
        <v>214</v>
      </c>
      <c r="AZ381" s="29" t="s">
        <v>655</v>
      </c>
      <c r="BA381" s="9" t="s">
        <v>656</v>
      </c>
      <c r="BC381" s="27">
        <f t="shared" si="115"/>
        <v>0</v>
      </c>
      <c r="BD381" s="27">
        <f t="shared" si="116"/>
        <v>0</v>
      </c>
      <c r="BE381" s="27">
        <v>0</v>
      </c>
      <c r="BF381" s="27">
        <f>381</f>
        <v>381</v>
      </c>
      <c r="BH381" s="27">
        <f t="shared" si="117"/>
        <v>0</v>
      </c>
      <c r="BI381" s="27">
        <f t="shared" si="118"/>
        <v>0</v>
      </c>
      <c r="BJ381" s="27">
        <f t="shared" si="119"/>
        <v>0</v>
      </c>
      <c r="BK381" s="27"/>
      <c r="BL381" s="27">
        <v>725</v>
      </c>
      <c r="BW381" s="27">
        <v>21</v>
      </c>
    </row>
    <row r="382" spans="1:75" ht="13.5" customHeight="1">
      <c r="A382" s="2" t="s">
        <v>829</v>
      </c>
      <c r="B382" s="3" t="s">
        <v>650</v>
      </c>
      <c r="C382" s="3" t="s">
        <v>830</v>
      </c>
      <c r="D382" s="148" t="s">
        <v>831</v>
      </c>
      <c r="E382" s="143"/>
      <c r="F382" s="3" t="s">
        <v>224</v>
      </c>
      <c r="G382" s="27">
        <v>21</v>
      </c>
      <c r="H382" s="27">
        <v>0</v>
      </c>
      <c r="I382" s="27">
        <f t="shared" si="96"/>
        <v>0</v>
      </c>
      <c r="J382" s="27">
        <f t="shared" si="97"/>
        <v>0</v>
      </c>
      <c r="K382" s="27">
        <f t="shared" si="98"/>
        <v>0</v>
      </c>
      <c r="L382" s="28" t="s">
        <v>52</v>
      </c>
      <c r="Z382" s="27">
        <f t="shared" si="99"/>
        <v>0</v>
      </c>
      <c r="AB382" s="27">
        <f t="shared" si="100"/>
        <v>0</v>
      </c>
      <c r="AC382" s="27">
        <f t="shared" si="101"/>
        <v>0</v>
      </c>
      <c r="AD382" s="27">
        <f t="shared" si="102"/>
        <v>0</v>
      </c>
      <c r="AE382" s="27">
        <f t="shared" si="103"/>
        <v>0</v>
      </c>
      <c r="AF382" s="27">
        <f t="shared" si="104"/>
        <v>0</v>
      </c>
      <c r="AG382" s="27">
        <f t="shared" si="105"/>
        <v>0</v>
      </c>
      <c r="AH382" s="27">
        <f t="shared" si="106"/>
        <v>0</v>
      </c>
      <c r="AI382" s="9" t="s">
        <v>650</v>
      </c>
      <c r="AJ382" s="27">
        <f t="shared" si="107"/>
        <v>0</v>
      </c>
      <c r="AK382" s="27">
        <f t="shared" si="108"/>
        <v>0</v>
      </c>
      <c r="AL382" s="27">
        <f t="shared" si="109"/>
        <v>0</v>
      </c>
      <c r="AN382" s="27">
        <v>21</v>
      </c>
      <c r="AO382" s="27">
        <f t="shared" si="110"/>
        <v>0</v>
      </c>
      <c r="AP382" s="27">
        <f t="shared" si="111"/>
        <v>0</v>
      </c>
      <c r="AQ382" s="29" t="s">
        <v>84</v>
      </c>
      <c r="AV382" s="27">
        <f t="shared" si="112"/>
        <v>0</v>
      </c>
      <c r="AW382" s="27">
        <f t="shared" si="113"/>
        <v>0</v>
      </c>
      <c r="AX382" s="27">
        <f t="shared" si="114"/>
        <v>0</v>
      </c>
      <c r="AY382" s="29" t="s">
        <v>214</v>
      </c>
      <c r="AZ382" s="29" t="s">
        <v>655</v>
      </c>
      <c r="BA382" s="9" t="s">
        <v>656</v>
      </c>
      <c r="BC382" s="27">
        <f t="shared" si="115"/>
        <v>0</v>
      </c>
      <c r="BD382" s="27">
        <f t="shared" si="116"/>
        <v>0</v>
      </c>
      <c r="BE382" s="27">
        <v>0</v>
      </c>
      <c r="BF382" s="27">
        <f>382</f>
        <v>382</v>
      </c>
      <c r="BH382" s="27">
        <f t="shared" si="117"/>
        <v>0</v>
      </c>
      <c r="BI382" s="27">
        <f t="shared" si="118"/>
        <v>0</v>
      </c>
      <c r="BJ382" s="27">
        <f t="shared" si="119"/>
        <v>0</v>
      </c>
      <c r="BK382" s="27"/>
      <c r="BL382" s="27">
        <v>725</v>
      </c>
      <c r="BW382" s="27">
        <v>21</v>
      </c>
    </row>
    <row r="383" spans="1:75" ht="13.5" customHeight="1">
      <c r="A383" s="2" t="s">
        <v>832</v>
      </c>
      <c r="B383" s="3" t="s">
        <v>650</v>
      </c>
      <c r="C383" s="3" t="s">
        <v>833</v>
      </c>
      <c r="D383" s="148" t="s">
        <v>834</v>
      </c>
      <c r="E383" s="143"/>
      <c r="F383" s="3" t="s">
        <v>224</v>
      </c>
      <c r="G383" s="27">
        <v>6</v>
      </c>
      <c r="H383" s="27">
        <v>0</v>
      </c>
      <c r="I383" s="27">
        <f t="shared" si="96"/>
        <v>0</v>
      </c>
      <c r="J383" s="27">
        <f t="shared" si="97"/>
        <v>0</v>
      </c>
      <c r="K383" s="27">
        <f t="shared" si="98"/>
        <v>0</v>
      </c>
      <c r="L383" s="28" t="s">
        <v>52</v>
      </c>
      <c r="Z383" s="27">
        <f t="shared" si="99"/>
        <v>0</v>
      </c>
      <c r="AB383" s="27">
        <f t="shared" si="100"/>
        <v>0</v>
      </c>
      <c r="AC383" s="27">
        <f t="shared" si="101"/>
        <v>0</v>
      </c>
      <c r="AD383" s="27">
        <f t="shared" si="102"/>
        <v>0</v>
      </c>
      <c r="AE383" s="27">
        <f t="shared" si="103"/>
        <v>0</v>
      </c>
      <c r="AF383" s="27">
        <f t="shared" si="104"/>
        <v>0</v>
      </c>
      <c r="AG383" s="27">
        <f t="shared" si="105"/>
        <v>0</v>
      </c>
      <c r="AH383" s="27">
        <f t="shared" si="106"/>
        <v>0</v>
      </c>
      <c r="AI383" s="9" t="s">
        <v>650</v>
      </c>
      <c r="AJ383" s="27">
        <f t="shared" si="107"/>
        <v>0</v>
      </c>
      <c r="AK383" s="27">
        <f t="shared" si="108"/>
        <v>0</v>
      </c>
      <c r="AL383" s="27">
        <f t="shared" si="109"/>
        <v>0</v>
      </c>
      <c r="AN383" s="27">
        <v>21</v>
      </c>
      <c r="AO383" s="27">
        <f t="shared" si="110"/>
        <v>0</v>
      </c>
      <c r="AP383" s="27">
        <f t="shared" si="111"/>
        <v>0</v>
      </c>
      <c r="AQ383" s="29" t="s">
        <v>84</v>
      </c>
      <c r="AV383" s="27">
        <f t="shared" si="112"/>
        <v>0</v>
      </c>
      <c r="AW383" s="27">
        <f t="shared" si="113"/>
        <v>0</v>
      </c>
      <c r="AX383" s="27">
        <f t="shared" si="114"/>
        <v>0</v>
      </c>
      <c r="AY383" s="29" t="s">
        <v>214</v>
      </c>
      <c r="AZ383" s="29" t="s">
        <v>655</v>
      </c>
      <c r="BA383" s="9" t="s">
        <v>656</v>
      </c>
      <c r="BC383" s="27">
        <f t="shared" si="115"/>
        <v>0</v>
      </c>
      <c r="BD383" s="27">
        <f t="shared" si="116"/>
        <v>0</v>
      </c>
      <c r="BE383" s="27">
        <v>0</v>
      </c>
      <c r="BF383" s="27">
        <f>383</f>
        <v>383</v>
      </c>
      <c r="BH383" s="27">
        <f t="shared" si="117"/>
        <v>0</v>
      </c>
      <c r="BI383" s="27">
        <f t="shared" si="118"/>
        <v>0</v>
      </c>
      <c r="BJ383" s="27">
        <f t="shared" si="119"/>
        <v>0</v>
      </c>
      <c r="BK383" s="27"/>
      <c r="BL383" s="27">
        <v>725</v>
      </c>
      <c r="BW383" s="27">
        <v>21</v>
      </c>
    </row>
    <row r="384" spans="1:75" ht="13.5" customHeight="1">
      <c r="A384" s="2" t="s">
        <v>835</v>
      </c>
      <c r="B384" s="3" t="s">
        <v>650</v>
      </c>
      <c r="C384" s="3" t="s">
        <v>836</v>
      </c>
      <c r="D384" s="148" t="s">
        <v>837</v>
      </c>
      <c r="E384" s="143"/>
      <c r="F384" s="3" t="s">
        <v>224</v>
      </c>
      <c r="G384" s="27">
        <v>3</v>
      </c>
      <c r="H384" s="27">
        <v>0</v>
      </c>
      <c r="I384" s="27">
        <f t="shared" si="96"/>
        <v>0</v>
      </c>
      <c r="J384" s="27">
        <f t="shared" si="97"/>
        <v>0</v>
      </c>
      <c r="K384" s="27">
        <f t="shared" si="98"/>
        <v>0</v>
      </c>
      <c r="L384" s="28" t="s">
        <v>52</v>
      </c>
      <c r="Z384" s="27">
        <f t="shared" si="99"/>
        <v>0</v>
      </c>
      <c r="AB384" s="27">
        <f t="shared" si="100"/>
        <v>0</v>
      </c>
      <c r="AC384" s="27">
        <f t="shared" si="101"/>
        <v>0</v>
      </c>
      <c r="AD384" s="27">
        <f t="shared" si="102"/>
        <v>0</v>
      </c>
      <c r="AE384" s="27">
        <f t="shared" si="103"/>
        <v>0</v>
      </c>
      <c r="AF384" s="27">
        <f t="shared" si="104"/>
        <v>0</v>
      </c>
      <c r="AG384" s="27">
        <f t="shared" si="105"/>
        <v>0</v>
      </c>
      <c r="AH384" s="27">
        <f t="shared" si="106"/>
        <v>0</v>
      </c>
      <c r="AI384" s="9" t="s">
        <v>650</v>
      </c>
      <c r="AJ384" s="27">
        <f t="shared" si="107"/>
        <v>0</v>
      </c>
      <c r="AK384" s="27">
        <f t="shared" si="108"/>
        <v>0</v>
      </c>
      <c r="AL384" s="27">
        <f t="shared" si="109"/>
        <v>0</v>
      </c>
      <c r="AN384" s="27">
        <v>21</v>
      </c>
      <c r="AO384" s="27">
        <f t="shared" si="110"/>
        <v>0</v>
      </c>
      <c r="AP384" s="27">
        <f t="shared" si="111"/>
        <v>0</v>
      </c>
      <c r="AQ384" s="29" t="s">
        <v>84</v>
      </c>
      <c r="AV384" s="27">
        <f t="shared" si="112"/>
        <v>0</v>
      </c>
      <c r="AW384" s="27">
        <f t="shared" si="113"/>
        <v>0</v>
      </c>
      <c r="AX384" s="27">
        <f t="shared" si="114"/>
        <v>0</v>
      </c>
      <c r="AY384" s="29" t="s">
        <v>214</v>
      </c>
      <c r="AZ384" s="29" t="s">
        <v>655</v>
      </c>
      <c r="BA384" s="9" t="s">
        <v>656</v>
      </c>
      <c r="BC384" s="27">
        <f t="shared" si="115"/>
        <v>0</v>
      </c>
      <c r="BD384" s="27">
        <f t="shared" si="116"/>
        <v>0</v>
      </c>
      <c r="BE384" s="27">
        <v>0</v>
      </c>
      <c r="BF384" s="27">
        <f>384</f>
        <v>384</v>
      </c>
      <c r="BH384" s="27">
        <f t="shared" si="117"/>
        <v>0</v>
      </c>
      <c r="BI384" s="27">
        <f t="shared" si="118"/>
        <v>0</v>
      </c>
      <c r="BJ384" s="27">
        <f t="shared" si="119"/>
        <v>0</v>
      </c>
      <c r="BK384" s="27"/>
      <c r="BL384" s="27">
        <v>725</v>
      </c>
      <c r="BW384" s="27">
        <v>21</v>
      </c>
    </row>
    <row r="385" spans="1:75" ht="13.5" customHeight="1">
      <c r="A385" s="2" t="s">
        <v>838</v>
      </c>
      <c r="B385" s="3" t="s">
        <v>650</v>
      </c>
      <c r="C385" s="3" t="s">
        <v>839</v>
      </c>
      <c r="D385" s="148" t="s">
        <v>840</v>
      </c>
      <c r="E385" s="143"/>
      <c r="F385" s="3" t="s">
        <v>224</v>
      </c>
      <c r="G385" s="27">
        <v>3</v>
      </c>
      <c r="H385" s="27">
        <v>0</v>
      </c>
      <c r="I385" s="27">
        <f t="shared" si="96"/>
        <v>0</v>
      </c>
      <c r="J385" s="27">
        <f t="shared" si="97"/>
        <v>0</v>
      </c>
      <c r="K385" s="27">
        <f t="shared" si="98"/>
        <v>0</v>
      </c>
      <c r="L385" s="28" t="s">
        <v>52</v>
      </c>
      <c r="Z385" s="27">
        <f t="shared" si="99"/>
        <v>0</v>
      </c>
      <c r="AB385" s="27">
        <f t="shared" si="100"/>
        <v>0</v>
      </c>
      <c r="AC385" s="27">
        <f t="shared" si="101"/>
        <v>0</v>
      </c>
      <c r="AD385" s="27">
        <f t="shared" si="102"/>
        <v>0</v>
      </c>
      <c r="AE385" s="27">
        <f t="shared" si="103"/>
        <v>0</v>
      </c>
      <c r="AF385" s="27">
        <f t="shared" si="104"/>
        <v>0</v>
      </c>
      <c r="AG385" s="27">
        <f t="shared" si="105"/>
        <v>0</v>
      </c>
      <c r="AH385" s="27">
        <f t="shared" si="106"/>
        <v>0</v>
      </c>
      <c r="AI385" s="9" t="s">
        <v>650</v>
      </c>
      <c r="AJ385" s="27">
        <f t="shared" si="107"/>
        <v>0</v>
      </c>
      <c r="AK385" s="27">
        <f t="shared" si="108"/>
        <v>0</v>
      </c>
      <c r="AL385" s="27">
        <f t="shared" si="109"/>
        <v>0</v>
      </c>
      <c r="AN385" s="27">
        <v>21</v>
      </c>
      <c r="AO385" s="27">
        <f t="shared" si="110"/>
        <v>0</v>
      </c>
      <c r="AP385" s="27">
        <f t="shared" si="111"/>
        <v>0</v>
      </c>
      <c r="AQ385" s="29" t="s">
        <v>84</v>
      </c>
      <c r="AV385" s="27">
        <f t="shared" si="112"/>
        <v>0</v>
      </c>
      <c r="AW385" s="27">
        <f t="shared" si="113"/>
        <v>0</v>
      </c>
      <c r="AX385" s="27">
        <f t="shared" si="114"/>
        <v>0</v>
      </c>
      <c r="AY385" s="29" t="s">
        <v>214</v>
      </c>
      <c r="AZ385" s="29" t="s">
        <v>655</v>
      </c>
      <c r="BA385" s="9" t="s">
        <v>656</v>
      </c>
      <c r="BC385" s="27">
        <f t="shared" si="115"/>
        <v>0</v>
      </c>
      <c r="BD385" s="27">
        <f t="shared" si="116"/>
        <v>0</v>
      </c>
      <c r="BE385" s="27">
        <v>0</v>
      </c>
      <c r="BF385" s="27">
        <f>385</f>
        <v>385</v>
      </c>
      <c r="BH385" s="27">
        <f t="shared" si="117"/>
        <v>0</v>
      </c>
      <c r="BI385" s="27">
        <f t="shared" si="118"/>
        <v>0</v>
      </c>
      <c r="BJ385" s="27">
        <f t="shared" si="119"/>
        <v>0</v>
      </c>
      <c r="BK385" s="27"/>
      <c r="BL385" s="27">
        <v>725</v>
      </c>
      <c r="BW385" s="27">
        <v>21</v>
      </c>
    </row>
    <row r="386" spans="1:75" ht="13.5" customHeight="1">
      <c r="A386" s="2" t="s">
        <v>841</v>
      </c>
      <c r="B386" s="3" t="s">
        <v>650</v>
      </c>
      <c r="C386" s="3" t="s">
        <v>842</v>
      </c>
      <c r="D386" s="148" t="s">
        <v>843</v>
      </c>
      <c r="E386" s="143"/>
      <c r="F386" s="3" t="s">
        <v>154</v>
      </c>
      <c r="G386" s="27">
        <v>3</v>
      </c>
      <c r="H386" s="27">
        <v>0</v>
      </c>
      <c r="I386" s="27">
        <f t="shared" si="96"/>
        <v>0</v>
      </c>
      <c r="J386" s="27">
        <f t="shared" si="97"/>
        <v>0</v>
      </c>
      <c r="K386" s="27">
        <f t="shared" si="98"/>
        <v>0</v>
      </c>
      <c r="L386" s="28" t="s">
        <v>52</v>
      </c>
      <c r="Z386" s="27">
        <f t="shared" si="99"/>
        <v>0</v>
      </c>
      <c r="AB386" s="27">
        <f t="shared" si="100"/>
        <v>0</v>
      </c>
      <c r="AC386" s="27">
        <f t="shared" si="101"/>
        <v>0</v>
      </c>
      <c r="AD386" s="27">
        <f t="shared" si="102"/>
        <v>0</v>
      </c>
      <c r="AE386" s="27">
        <f t="shared" si="103"/>
        <v>0</v>
      </c>
      <c r="AF386" s="27">
        <f t="shared" si="104"/>
        <v>0</v>
      </c>
      <c r="AG386" s="27">
        <f t="shared" si="105"/>
        <v>0</v>
      </c>
      <c r="AH386" s="27">
        <f t="shared" si="106"/>
        <v>0</v>
      </c>
      <c r="AI386" s="9" t="s">
        <v>650</v>
      </c>
      <c r="AJ386" s="27">
        <f t="shared" si="107"/>
        <v>0</v>
      </c>
      <c r="AK386" s="27">
        <f t="shared" si="108"/>
        <v>0</v>
      </c>
      <c r="AL386" s="27">
        <f t="shared" si="109"/>
        <v>0</v>
      </c>
      <c r="AN386" s="27">
        <v>21</v>
      </c>
      <c r="AO386" s="27">
        <f t="shared" si="110"/>
        <v>0</v>
      </c>
      <c r="AP386" s="27">
        <f t="shared" si="111"/>
        <v>0</v>
      </c>
      <c r="AQ386" s="29" t="s">
        <v>84</v>
      </c>
      <c r="AV386" s="27">
        <f t="shared" si="112"/>
        <v>0</v>
      </c>
      <c r="AW386" s="27">
        <f t="shared" si="113"/>
        <v>0</v>
      </c>
      <c r="AX386" s="27">
        <f t="shared" si="114"/>
        <v>0</v>
      </c>
      <c r="AY386" s="29" t="s">
        <v>214</v>
      </c>
      <c r="AZ386" s="29" t="s">
        <v>655</v>
      </c>
      <c r="BA386" s="9" t="s">
        <v>656</v>
      </c>
      <c r="BC386" s="27">
        <f t="shared" si="115"/>
        <v>0</v>
      </c>
      <c r="BD386" s="27">
        <f t="shared" si="116"/>
        <v>0</v>
      </c>
      <c r="BE386" s="27">
        <v>0</v>
      </c>
      <c r="BF386" s="27">
        <f>386</f>
        <v>386</v>
      </c>
      <c r="BH386" s="27">
        <f t="shared" si="117"/>
        <v>0</v>
      </c>
      <c r="BI386" s="27">
        <f t="shared" si="118"/>
        <v>0</v>
      </c>
      <c r="BJ386" s="27">
        <f t="shared" si="119"/>
        <v>0</v>
      </c>
      <c r="BK386" s="27"/>
      <c r="BL386" s="27">
        <v>725</v>
      </c>
      <c r="BW386" s="27">
        <v>21</v>
      </c>
    </row>
    <row r="387" spans="1:75" ht="13.5" customHeight="1">
      <c r="A387" s="2" t="s">
        <v>844</v>
      </c>
      <c r="B387" s="3" t="s">
        <v>650</v>
      </c>
      <c r="C387" s="3" t="s">
        <v>845</v>
      </c>
      <c r="D387" s="148" t="s">
        <v>846</v>
      </c>
      <c r="E387" s="143"/>
      <c r="F387" s="3" t="s">
        <v>154</v>
      </c>
      <c r="G387" s="27">
        <v>3</v>
      </c>
      <c r="H387" s="27">
        <v>0</v>
      </c>
      <c r="I387" s="27">
        <f t="shared" si="96"/>
        <v>0</v>
      </c>
      <c r="J387" s="27">
        <f t="shared" si="97"/>
        <v>0</v>
      </c>
      <c r="K387" s="27">
        <f t="shared" si="98"/>
        <v>0</v>
      </c>
      <c r="L387" s="28" t="s">
        <v>52</v>
      </c>
      <c r="Z387" s="27">
        <f t="shared" si="99"/>
        <v>0</v>
      </c>
      <c r="AB387" s="27">
        <f t="shared" si="100"/>
        <v>0</v>
      </c>
      <c r="AC387" s="27">
        <f t="shared" si="101"/>
        <v>0</v>
      </c>
      <c r="AD387" s="27">
        <f t="shared" si="102"/>
        <v>0</v>
      </c>
      <c r="AE387" s="27">
        <f t="shared" si="103"/>
        <v>0</v>
      </c>
      <c r="AF387" s="27">
        <f t="shared" si="104"/>
        <v>0</v>
      </c>
      <c r="AG387" s="27">
        <f t="shared" si="105"/>
        <v>0</v>
      </c>
      <c r="AH387" s="27">
        <f t="shared" si="106"/>
        <v>0</v>
      </c>
      <c r="AI387" s="9" t="s">
        <v>650</v>
      </c>
      <c r="AJ387" s="27">
        <f t="shared" si="107"/>
        <v>0</v>
      </c>
      <c r="AK387" s="27">
        <f t="shared" si="108"/>
        <v>0</v>
      </c>
      <c r="AL387" s="27">
        <f t="shared" si="109"/>
        <v>0</v>
      </c>
      <c r="AN387" s="27">
        <v>21</v>
      </c>
      <c r="AO387" s="27">
        <f t="shared" si="110"/>
        <v>0</v>
      </c>
      <c r="AP387" s="27">
        <f t="shared" si="111"/>
        <v>0</v>
      </c>
      <c r="AQ387" s="29" t="s">
        <v>84</v>
      </c>
      <c r="AV387" s="27">
        <f t="shared" si="112"/>
        <v>0</v>
      </c>
      <c r="AW387" s="27">
        <f t="shared" si="113"/>
        <v>0</v>
      </c>
      <c r="AX387" s="27">
        <f t="shared" si="114"/>
        <v>0</v>
      </c>
      <c r="AY387" s="29" t="s">
        <v>214</v>
      </c>
      <c r="AZ387" s="29" t="s">
        <v>655</v>
      </c>
      <c r="BA387" s="9" t="s">
        <v>656</v>
      </c>
      <c r="BC387" s="27">
        <f t="shared" si="115"/>
        <v>0</v>
      </c>
      <c r="BD387" s="27">
        <f t="shared" si="116"/>
        <v>0</v>
      </c>
      <c r="BE387" s="27">
        <v>0</v>
      </c>
      <c r="BF387" s="27">
        <f>387</f>
        <v>387</v>
      </c>
      <c r="BH387" s="27">
        <f t="shared" si="117"/>
        <v>0</v>
      </c>
      <c r="BI387" s="27">
        <f t="shared" si="118"/>
        <v>0</v>
      </c>
      <c r="BJ387" s="27">
        <f t="shared" si="119"/>
        <v>0</v>
      </c>
      <c r="BK387" s="27"/>
      <c r="BL387" s="27">
        <v>725</v>
      </c>
      <c r="BW387" s="27">
        <v>21</v>
      </c>
    </row>
    <row r="388" spans="1:75" ht="13.5" customHeight="1">
      <c r="A388" s="2" t="s">
        <v>847</v>
      </c>
      <c r="B388" s="3" t="s">
        <v>650</v>
      </c>
      <c r="C388" s="3" t="s">
        <v>848</v>
      </c>
      <c r="D388" s="148" t="s">
        <v>849</v>
      </c>
      <c r="E388" s="143"/>
      <c r="F388" s="3" t="s">
        <v>154</v>
      </c>
      <c r="G388" s="27">
        <v>3</v>
      </c>
      <c r="H388" s="27">
        <v>0</v>
      </c>
      <c r="I388" s="27">
        <f t="shared" si="96"/>
        <v>0</v>
      </c>
      <c r="J388" s="27">
        <f t="shared" si="97"/>
        <v>0</v>
      </c>
      <c r="K388" s="27">
        <f t="shared" si="98"/>
        <v>0</v>
      </c>
      <c r="L388" s="28" t="s">
        <v>52</v>
      </c>
      <c r="Z388" s="27">
        <f t="shared" si="99"/>
        <v>0</v>
      </c>
      <c r="AB388" s="27">
        <f t="shared" si="100"/>
        <v>0</v>
      </c>
      <c r="AC388" s="27">
        <f t="shared" si="101"/>
        <v>0</v>
      </c>
      <c r="AD388" s="27">
        <f t="shared" si="102"/>
        <v>0</v>
      </c>
      <c r="AE388" s="27">
        <f t="shared" si="103"/>
        <v>0</v>
      </c>
      <c r="AF388" s="27">
        <f t="shared" si="104"/>
        <v>0</v>
      </c>
      <c r="AG388" s="27">
        <f t="shared" si="105"/>
        <v>0</v>
      </c>
      <c r="AH388" s="27">
        <f t="shared" si="106"/>
        <v>0</v>
      </c>
      <c r="AI388" s="9" t="s">
        <v>650</v>
      </c>
      <c r="AJ388" s="27">
        <f t="shared" si="107"/>
        <v>0</v>
      </c>
      <c r="AK388" s="27">
        <f t="shared" si="108"/>
        <v>0</v>
      </c>
      <c r="AL388" s="27">
        <f t="shared" si="109"/>
        <v>0</v>
      </c>
      <c r="AN388" s="27">
        <v>21</v>
      </c>
      <c r="AO388" s="27">
        <f t="shared" si="110"/>
        <v>0</v>
      </c>
      <c r="AP388" s="27">
        <f t="shared" si="111"/>
        <v>0</v>
      </c>
      <c r="AQ388" s="29" t="s">
        <v>84</v>
      </c>
      <c r="AV388" s="27">
        <f t="shared" si="112"/>
        <v>0</v>
      </c>
      <c r="AW388" s="27">
        <f t="shared" si="113"/>
        <v>0</v>
      </c>
      <c r="AX388" s="27">
        <f t="shared" si="114"/>
        <v>0</v>
      </c>
      <c r="AY388" s="29" t="s">
        <v>214</v>
      </c>
      <c r="AZ388" s="29" t="s">
        <v>655</v>
      </c>
      <c r="BA388" s="9" t="s">
        <v>656</v>
      </c>
      <c r="BC388" s="27">
        <f t="shared" si="115"/>
        <v>0</v>
      </c>
      <c r="BD388" s="27">
        <f t="shared" si="116"/>
        <v>0</v>
      </c>
      <c r="BE388" s="27">
        <v>0</v>
      </c>
      <c r="BF388" s="27">
        <f>388</f>
        <v>388</v>
      </c>
      <c r="BH388" s="27">
        <f t="shared" si="117"/>
        <v>0</v>
      </c>
      <c r="BI388" s="27">
        <f t="shared" si="118"/>
        <v>0</v>
      </c>
      <c r="BJ388" s="27">
        <f t="shared" si="119"/>
        <v>0</v>
      </c>
      <c r="BK388" s="27"/>
      <c r="BL388" s="27">
        <v>725</v>
      </c>
      <c r="BW388" s="27">
        <v>21</v>
      </c>
    </row>
    <row r="389" spans="1:75" ht="13.5" customHeight="1">
      <c r="A389" s="2" t="s">
        <v>850</v>
      </c>
      <c r="B389" s="3" t="s">
        <v>650</v>
      </c>
      <c r="C389" s="3" t="s">
        <v>851</v>
      </c>
      <c r="D389" s="148" t="s">
        <v>852</v>
      </c>
      <c r="E389" s="143"/>
      <c r="F389" s="3" t="s">
        <v>154</v>
      </c>
      <c r="G389" s="27">
        <v>3</v>
      </c>
      <c r="H389" s="27">
        <v>0</v>
      </c>
      <c r="I389" s="27">
        <f t="shared" si="96"/>
        <v>0</v>
      </c>
      <c r="J389" s="27">
        <f t="shared" si="97"/>
        <v>0</v>
      </c>
      <c r="K389" s="27">
        <f t="shared" si="98"/>
        <v>0</v>
      </c>
      <c r="L389" s="28" t="s">
        <v>52</v>
      </c>
      <c r="Z389" s="27">
        <f t="shared" si="99"/>
        <v>0</v>
      </c>
      <c r="AB389" s="27">
        <f t="shared" si="100"/>
        <v>0</v>
      </c>
      <c r="AC389" s="27">
        <f t="shared" si="101"/>
        <v>0</v>
      </c>
      <c r="AD389" s="27">
        <f t="shared" si="102"/>
        <v>0</v>
      </c>
      <c r="AE389" s="27">
        <f t="shared" si="103"/>
        <v>0</v>
      </c>
      <c r="AF389" s="27">
        <f t="shared" si="104"/>
        <v>0</v>
      </c>
      <c r="AG389" s="27">
        <f t="shared" si="105"/>
        <v>0</v>
      </c>
      <c r="AH389" s="27">
        <f t="shared" si="106"/>
        <v>0</v>
      </c>
      <c r="AI389" s="9" t="s">
        <v>650</v>
      </c>
      <c r="AJ389" s="27">
        <f t="shared" si="107"/>
        <v>0</v>
      </c>
      <c r="AK389" s="27">
        <f t="shared" si="108"/>
        <v>0</v>
      </c>
      <c r="AL389" s="27">
        <f t="shared" si="109"/>
        <v>0</v>
      </c>
      <c r="AN389" s="27">
        <v>21</v>
      </c>
      <c r="AO389" s="27">
        <f t="shared" si="110"/>
        <v>0</v>
      </c>
      <c r="AP389" s="27">
        <f t="shared" si="111"/>
        <v>0</v>
      </c>
      <c r="AQ389" s="29" t="s">
        <v>84</v>
      </c>
      <c r="AV389" s="27">
        <f t="shared" si="112"/>
        <v>0</v>
      </c>
      <c r="AW389" s="27">
        <f t="shared" si="113"/>
        <v>0</v>
      </c>
      <c r="AX389" s="27">
        <f t="shared" si="114"/>
        <v>0</v>
      </c>
      <c r="AY389" s="29" t="s">
        <v>214</v>
      </c>
      <c r="AZ389" s="29" t="s">
        <v>655</v>
      </c>
      <c r="BA389" s="9" t="s">
        <v>656</v>
      </c>
      <c r="BC389" s="27">
        <f t="shared" si="115"/>
        <v>0</v>
      </c>
      <c r="BD389" s="27">
        <f t="shared" si="116"/>
        <v>0</v>
      </c>
      <c r="BE389" s="27">
        <v>0</v>
      </c>
      <c r="BF389" s="27">
        <f>389</f>
        <v>389</v>
      </c>
      <c r="BH389" s="27">
        <f t="shared" si="117"/>
        <v>0</v>
      </c>
      <c r="BI389" s="27">
        <f t="shared" si="118"/>
        <v>0</v>
      </c>
      <c r="BJ389" s="27">
        <f t="shared" si="119"/>
        <v>0</v>
      </c>
      <c r="BK389" s="27"/>
      <c r="BL389" s="27">
        <v>725</v>
      </c>
      <c r="BW389" s="27">
        <v>21</v>
      </c>
    </row>
    <row r="390" spans="1:47" ht="15">
      <c r="A390" s="23" t="s">
        <v>52</v>
      </c>
      <c r="B390" s="24" t="s">
        <v>650</v>
      </c>
      <c r="C390" s="24" t="s">
        <v>853</v>
      </c>
      <c r="D390" s="164" t="s">
        <v>854</v>
      </c>
      <c r="E390" s="165"/>
      <c r="F390" s="25" t="s">
        <v>4</v>
      </c>
      <c r="G390" s="25" t="s">
        <v>4</v>
      </c>
      <c r="H390" s="25" t="s">
        <v>4</v>
      </c>
      <c r="I390" s="1">
        <f>SUM(I391:I391)</f>
        <v>0</v>
      </c>
      <c r="J390" s="1">
        <f>SUM(J391:J391)</f>
        <v>0</v>
      </c>
      <c r="K390" s="1">
        <f>SUM(K391:K391)</f>
        <v>0</v>
      </c>
      <c r="L390" s="26" t="s">
        <v>52</v>
      </c>
      <c r="AI390" s="9" t="s">
        <v>650</v>
      </c>
      <c r="AS390" s="1">
        <f>SUM(AJ391:AJ391)</f>
        <v>0</v>
      </c>
      <c r="AT390" s="1">
        <f>SUM(AK391:AK391)</f>
        <v>0</v>
      </c>
      <c r="AU390" s="1">
        <f>SUM(AL391:AL391)</f>
        <v>0</v>
      </c>
    </row>
    <row r="391" spans="1:75" ht="13.5" customHeight="1">
      <c r="A391" s="2" t="s">
        <v>855</v>
      </c>
      <c r="B391" s="3" t="s">
        <v>650</v>
      </c>
      <c r="C391" s="3" t="s">
        <v>856</v>
      </c>
      <c r="D391" s="148" t="s">
        <v>857</v>
      </c>
      <c r="E391" s="143"/>
      <c r="F391" s="3" t="s">
        <v>224</v>
      </c>
      <c r="G391" s="27">
        <v>3</v>
      </c>
      <c r="H391" s="27">
        <v>0</v>
      </c>
      <c r="I391" s="27">
        <f>G391*AO391</f>
        <v>0</v>
      </c>
      <c r="J391" s="27">
        <f>G391*AP391</f>
        <v>0</v>
      </c>
      <c r="K391" s="27">
        <f>G391*H391</f>
        <v>0</v>
      </c>
      <c r="L391" s="28" t="s">
        <v>52</v>
      </c>
      <c r="Z391" s="27">
        <f>IF(AQ391="5",BJ391,0)</f>
        <v>0</v>
      </c>
      <c r="AB391" s="27">
        <f>IF(AQ391="1",BH391,0)</f>
        <v>0</v>
      </c>
      <c r="AC391" s="27">
        <f>IF(AQ391="1",BI391,0)</f>
        <v>0</v>
      </c>
      <c r="AD391" s="27">
        <f>IF(AQ391="7",BH391,0)</f>
        <v>0</v>
      </c>
      <c r="AE391" s="27">
        <f>IF(AQ391="7",BI391,0)</f>
        <v>0</v>
      </c>
      <c r="AF391" s="27">
        <f>IF(AQ391="2",BH391,0)</f>
        <v>0</v>
      </c>
      <c r="AG391" s="27">
        <f>IF(AQ391="2",BI391,0)</f>
        <v>0</v>
      </c>
      <c r="AH391" s="27">
        <f>IF(AQ391="0",BJ391,0)</f>
        <v>0</v>
      </c>
      <c r="AI391" s="9" t="s">
        <v>650</v>
      </c>
      <c r="AJ391" s="27">
        <f>IF(AN391=0,K391,0)</f>
        <v>0</v>
      </c>
      <c r="AK391" s="27">
        <f>IF(AN391=12,K391,0)</f>
        <v>0</v>
      </c>
      <c r="AL391" s="27">
        <f>IF(AN391=21,K391,0)</f>
        <v>0</v>
      </c>
      <c r="AN391" s="27">
        <v>21</v>
      </c>
      <c r="AO391" s="27">
        <f>H391*0</f>
        <v>0</v>
      </c>
      <c r="AP391" s="27">
        <f>H391*(1-0)</f>
        <v>0</v>
      </c>
      <c r="AQ391" s="29" t="s">
        <v>84</v>
      </c>
      <c r="AV391" s="27">
        <f>AW391+AX391</f>
        <v>0</v>
      </c>
      <c r="AW391" s="27">
        <f>G391*AO391</f>
        <v>0</v>
      </c>
      <c r="AX391" s="27">
        <f>G391*AP391</f>
        <v>0</v>
      </c>
      <c r="AY391" s="29" t="s">
        <v>858</v>
      </c>
      <c r="AZ391" s="29" t="s">
        <v>655</v>
      </c>
      <c r="BA391" s="9" t="s">
        <v>656</v>
      </c>
      <c r="BC391" s="27">
        <f>AW391+AX391</f>
        <v>0</v>
      </c>
      <c r="BD391" s="27">
        <f>H391/(100-BE391)*100</f>
        <v>0</v>
      </c>
      <c r="BE391" s="27">
        <v>0</v>
      </c>
      <c r="BF391" s="27">
        <f>391</f>
        <v>391</v>
      </c>
      <c r="BH391" s="27">
        <f>G391*AO391</f>
        <v>0</v>
      </c>
      <c r="BI391" s="27">
        <f>G391*AP391</f>
        <v>0</v>
      </c>
      <c r="BJ391" s="27">
        <f>G391*H391</f>
        <v>0</v>
      </c>
      <c r="BK391" s="27"/>
      <c r="BL391" s="27">
        <v>726</v>
      </c>
      <c r="BW391" s="27">
        <v>21</v>
      </c>
    </row>
    <row r="392" spans="1:47" ht="15">
      <c r="A392" s="23" t="s">
        <v>52</v>
      </c>
      <c r="B392" s="24" t="s">
        <v>650</v>
      </c>
      <c r="C392" s="24" t="s">
        <v>250</v>
      </c>
      <c r="D392" s="164" t="s">
        <v>251</v>
      </c>
      <c r="E392" s="165"/>
      <c r="F392" s="25" t="s">
        <v>4</v>
      </c>
      <c r="G392" s="25" t="s">
        <v>4</v>
      </c>
      <c r="H392" s="25" t="s">
        <v>4</v>
      </c>
      <c r="I392" s="1">
        <f>SUM(I393:I394)</f>
        <v>0</v>
      </c>
      <c r="J392" s="1">
        <f>SUM(J393:J394)</f>
        <v>0</v>
      </c>
      <c r="K392" s="1">
        <f>SUM(K393:K394)</f>
        <v>0</v>
      </c>
      <c r="L392" s="26" t="s">
        <v>52</v>
      </c>
      <c r="AI392" s="9" t="s">
        <v>650</v>
      </c>
      <c r="AS392" s="1">
        <f>SUM(AJ393:AJ394)</f>
        <v>0</v>
      </c>
      <c r="AT392" s="1">
        <f>SUM(AK393:AK394)</f>
        <v>0</v>
      </c>
      <c r="AU392" s="1">
        <f>SUM(AL393:AL394)</f>
        <v>0</v>
      </c>
    </row>
    <row r="393" spans="1:75" ht="13.5" customHeight="1">
      <c r="A393" s="2" t="s">
        <v>859</v>
      </c>
      <c r="B393" s="3" t="s">
        <v>650</v>
      </c>
      <c r="C393" s="3" t="s">
        <v>599</v>
      </c>
      <c r="D393" s="148" t="s">
        <v>860</v>
      </c>
      <c r="E393" s="143"/>
      <c r="F393" s="3" t="s">
        <v>282</v>
      </c>
      <c r="G393" s="27">
        <v>5</v>
      </c>
      <c r="H393" s="27">
        <v>0</v>
      </c>
      <c r="I393" s="27">
        <f>G393*AO393</f>
        <v>0</v>
      </c>
      <c r="J393" s="27">
        <f>G393*AP393</f>
        <v>0</v>
      </c>
      <c r="K393" s="27">
        <f>G393*H393</f>
        <v>0</v>
      </c>
      <c r="L393" s="28" t="s">
        <v>52</v>
      </c>
      <c r="Z393" s="27">
        <f>IF(AQ393="5",BJ393,0)</f>
        <v>0</v>
      </c>
      <c r="AB393" s="27">
        <f>IF(AQ393="1",BH393,0)</f>
        <v>0</v>
      </c>
      <c r="AC393" s="27">
        <f>IF(AQ393="1",BI393,0)</f>
        <v>0</v>
      </c>
      <c r="AD393" s="27">
        <f>IF(AQ393="7",BH393,0)</f>
        <v>0</v>
      </c>
      <c r="AE393" s="27">
        <f>IF(AQ393="7",BI393,0)</f>
        <v>0</v>
      </c>
      <c r="AF393" s="27">
        <f>IF(AQ393="2",BH393,0)</f>
        <v>0</v>
      </c>
      <c r="AG393" s="27">
        <f>IF(AQ393="2",BI393,0)</f>
        <v>0</v>
      </c>
      <c r="AH393" s="27">
        <f>IF(AQ393="0",BJ393,0)</f>
        <v>0</v>
      </c>
      <c r="AI393" s="9" t="s">
        <v>650</v>
      </c>
      <c r="AJ393" s="27">
        <f>IF(AN393=0,K393,0)</f>
        <v>0</v>
      </c>
      <c r="AK393" s="27">
        <f>IF(AN393=12,K393,0)</f>
        <v>0</v>
      </c>
      <c r="AL393" s="27">
        <f>IF(AN393=21,K393,0)</f>
        <v>0</v>
      </c>
      <c r="AN393" s="27">
        <v>21</v>
      </c>
      <c r="AO393" s="27">
        <f>H393*0</f>
        <v>0</v>
      </c>
      <c r="AP393" s="27">
        <f>H393*(1-0)</f>
        <v>0</v>
      </c>
      <c r="AQ393" s="29" t="s">
        <v>84</v>
      </c>
      <c r="AV393" s="27">
        <f>AW393+AX393</f>
        <v>0</v>
      </c>
      <c r="AW393" s="27">
        <f>G393*AO393</f>
        <v>0</v>
      </c>
      <c r="AX393" s="27">
        <f>G393*AP393</f>
        <v>0</v>
      </c>
      <c r="AY393" s="29" t="s">
        <v>255</v>
      </c>
      <c r="AZ393" s="29" t="s">
        <v>861</v>
      </c>
      <c r="BA393" s="9" t="s">
        <v>656</v>
      </c>
      <c r="BC393" s="27">
        <f>AW393+AX393</f>
        <v>0</v>
      </c>
      <c r="BD393" s="27">
        <f>H393/(100-BE393)*100</f>
        <v>0</v>
      </c>
      <c r="BE393" s="27">
        <v>0</v>
      </c>
      <c r="BF393" s="27">
        <f>393</f>
        <v>393</v>
      </c>
      <c r="BH393" s="27">
        <f>G393*AO393</f>
        <v>0</v>
      </c>
      <c r="BI393" s="27">
        <f>G393*AP393</f>
        <v>0</v>
      </c>
      <c r="BJ393" s="27">
        <f>G393*H393</f>
        <v>0</v>
      </c>
      <c r="BK393" s="27"/>
      <c r="BL393" s="27">
        <v>767</v>
      </c>
      <c r="BW393" s="27">
        <v>21</v>
      </c>
    </row>
    <row r="394" spans="1:75" ht="13.5" customHeight="1">
      <c r="A394" s="2" t="s">
        <v>862</v>
      </c>
      <c r="B394" s="3" t="s">
        <v>650</v>
      </c>
      <c r="C394" s="3" t="s">
        <v>603</v>
      </c>
      <c r="D394" s="148" t="s">
        <v>863</v>
      </c>
      <c r="E394" s="143"/>
      <c r="F394" s="3" t="s">
        <v>282</v>
      </c>
      <c r="G394" s="27">
        <v>5</v>
      </c>
      <c r="H394" s="27">
        <v>0</v>
      </c>
      <c r="I394" s="27">
        <f>G394*AO394</f>
        <v>0</v>
      </c>
      <c r="J394" s="27">
        <f>G394*AP394</f>
        <v>0</v>
      </c>
      <c r="K394" s="27">
        <f>G394*H394</f>
        <v>0</v>
      </c>
      <c r="L394" s="28" t="s">
        <v>52</v>
      </c>
      <c r="Z394" s="27">
        <f>IF(AQ394="5",BJ394,0)</f>
        <v>0</v>
      </c>
      <c r="AB394" s="27">
        <f>IF(AQ394="1",BH394,0)</f>
        <v>0</v>
      </c>
      <c r="AC394" s="27">
        <f>IF(AQ394="1",BI394,0)</f>
        <v>0</v>
      </c>
      <c r="AD394" s="27">
        <f>IF(AQ394="7",BH394,0)</f>
        <v>0</v>
      </c>
      <c r="AE394" s="27">
        <f>IF(AQ394="7",BI394,0)</f>
        <v>0</v>
      </c>
      <c r="AF394" s="27">
        <f>IF(AQ394="2",BH394,0)</f>
        <v>0</v>
      </c>
      <c r="AG394" s="27">
        <f>IF(AQ394="2",BI394,0)</f>
        <v>0</v>
      </c>
      <c r="AH394" s="27">
        <f>IF(AQ394="0",BJ394,0)</f>
        <v>0</v>
      </c>
      <c r="AI394" s="9" t="s">
        <v>650</v>
      </c>
      <c r="AJ394" s="27">
        <f>IF(AN394=0,K394,0)</f>
        <v>0</v>
      </c>
      <c r="AK394" s="27">
        <f>IF(AN394=12,K394,0)</f>
        <v>0</v>
      </c>
      <c r="AL394" s="27">
        <f>IF(AN394=21,K394,0)</f>
        <v>0</v>
      </c>
      <c r="AN394" s="27">
        <v>21</v>
      </c>
      <c r="AO394" s="27">
        <f>H394*0</f>
        <v>0</v>
      </c>
      <c r="AP394" s="27">
        <f>H394*(1-0)</f>
        <v>0</v>
      </c>
      <c r="AQ394" s="29" t="s">
        <v>84</v>
      </c>
      <c r="AV394" s="27">
        <f>AW394+AX394</f>
        <v>0</v>
      </c>
      <c r="AW394" s="27">
        <f>G394*AO394</f>
        <v>0</v>
      </c>
      <c r="AX394" s="27">
        <f>G394*AP394</f>
        <v>0</v>
      </c>
      <c r="AY394" s="29" t="s">
        <v>255</v>
      </c>
      <c r="AZ394" s="29" t="s">
        <v>861</v>
      </c>
      <c r="BA394" s="9" t="s">
        <v>656</v>
      </c>
      <c r="BC394" s="27">
        <f>AW394+AX394</f>
        <v>0</v>
      </c>
      <c r="BD394" s="27">
        <f>H394/(100-BE394)*100</f>
        <v>0</v>
      </c>
      <c r="BE394" s="27">
        <v>0</v>
      </c>
      <c r="BF394" s="27">
        <f>394</f>
        <v>394</v>
      </c>
      <c r="BH394" s="27">
        <f>G394*AO394</f>
        <v>0</v>
      </c>
      <c r="BI394" s="27">
        <f>G394*AP394</f>
        <v>0</v>
      </c>
      <c r="BJ394" s="27">
        <f>G394*H394</f>
        <v>0</v>
      </c>
      <c r="BK394" s="27"/>
      <c r="BL394" s="27">
        <v>767</v>
      </c>
      <c r="BW394" s="27">
        <v>21</v>
      </c>
    </row>
    <row r="395" spans="1:47" ht="15">
      <c r="A395" s="23" t="s">
        <v>52</v>
      </c>
      <c r="B395" s="24" t="s">
        <v>650</v>
      </c>
      <c r="C395" s="24" t="s">
        <v>864</v>
      </c>
      <c r="D395" s="164" t="s">
        <v>201</v>
      </c>
      <c r="E395" s="165"/>
      <c r="F395" s="25" t="s">
        <v>4</v>
      </c>
      <c r="G395" s="25" t="s">
        <v>4</v>
      </c>
      <c r="H395" s="25" t="s">
        <v>4</v>
      </c>
      <c r="I395" s="1">
        <f>SUM(I396:I396)</f>
        <v>0</v>
      </c>
      <c r="J395" s="1">
        <f>SUM(J396:J396)</f>
        <v>0</v>
      </c>
      <c r="K395" s="1">
        <f>SUM(K396:K396)</f>
        <v>0</v>
      </c>
      <c r="L395" s="26" t="s">
        <v>52</v>
      </c>
      <c r="AI395" s="9" t="s">
        <v>650</v>
      </c>
      <c r="AS395" s="1">
        <f>SUM(AJ396:AJ396)</f>
        <v>0</v>
      </c>
      <c r="AT395" s="1">
        <f>SUM(AK396:AK396)</f>
        <v>0</v>
      </c>
      <c r="AU395" s="1">
        <f>SUM(AL396:AL396)</f>
        <v>0</v>
      </c>
    </row>
    <row r="396" spans="1:75" ht="13.5" customHeight="1">
      <c r="A396" s="2" t="s">
        <v>865</v>
      </c>
      <c r="B396" s="3" t="s">
        <v>650</v>
      </c>
      <c r="C396" s="3" t="s">
        <v>866</v>
      </c>
      <c r="D396" s="148" t="s">
        <v>867</v>
      </c>
      <c r="E396" s="143"/>
      <c r="F396" s="3" t="s">
        <v>95</v>
      </c>
      <c r="G396" s="27">
        <v>0.0335</v>
      </c>
      <c r="H396" s="27">
        <v>0</v>
      </c>
      <c r="I396" s="27">
        <f>G396*AO396</f>
        <v>0</v>
      </c>
      <c r="J396" s="27">
        <f>G396*AP396</f>
        <v>0</v>
      </c>
      <c r="K396" s="27">
        <f>G396*H396</f>
        <v>0</v>
      </c>
      <c r="L396" s="28" t="s">
        <v>52</v>
      </c>
      <c r="Z396" s="27">
        <f>IF(AQ396="5",BJ396,0)</f>
        <v>0</v>
      </c>
      <c r="AB396" s="27">
        <f>IF(AQ396="1",BH396,0)</f>
        <v>0</v>
      </c>
      <c r="AC396" s="27">
        <f>IF(AQ396="1",BI396,0)</f>
        <v>0</v>
      </c>
      <c r="AD396" s="27">
        <f>IF(AQ396="7",BH396,0)</f>
        <v>0</v>
      </c>
      <c r="AE396" s="27">
        <f>IF(AQ396="7",BI396,0)</f>
        <v>0</v>
      </c>
      <c r="AF396" s="27">
        <f>IF(AQ396="2",BH396,0)</f>
        <v>0</v>
      </c>
      <c r="AG396" s="27">
        <f>IF(AQ396="2",BI396,0)</f>
        <v>0</v>
      </c>
      <c r="AH396" s="27">
        <f>IF(AQ396="0",BJ396,0)</f>
        <v>0</v>
      </c>
      <c r="AI396" s="9" t="s">
        <v>650</v>
      </c>
      <c r="AJ396" s="27">
        <f>IF(AN396=0,K396,0)</f>
        <v>0</v>
      </c>
      <c r="AK396" s="27">
        <f>IF(AN396=12,K396,0)</f>
        <v>0</v>
      </c>
      <c r="AL396" s="27">
        <f>IF(AN396=21,K396,0)</f>
        <v>0</v>
      </c>
      <c r="AN396" s="27">
        <v>21</v>
      </c>
      <c r="AO396" s="27">
        <f>H396*0</f>
        <v>0</v>
      </c>
      <c r="AP396" s="27">
        <f>H396*(1-0)</f>
        <v>0</v>
      </c>
      <c r="AQ396" s="29" t="s">
        <v>78</v>
      </c>
      <c r="AV396" s="27">
        <f>AW396+AX396</f>
        <v>0</v>
      </c>
      <c r="AW396" s="27">
        <f>G396*AO396</f>
        <v>0</v>
      </c>
      <c r="AX396" s="27">
        <f>G396*AP396</f>
        <v>0</v>
      </c>
      <c r="AY396" s="29" t="s">
        <v>868</v>
      </c>
      <c r="AZ396" s="29" t="s">
        <v>869</v>
      </c>
      <c r="BA396" s="9" t="s">
        <v>656</v>
      </c>
      <c r="BC396" s="27">
        <f>AW396+AX396</f>
        <v>0</v>
      </c>
      <c r="BD396" s="27">
        <f>H396/(100-BE396)*100</f>
        <v>0</v>
      </c>
      <c r="BE396" s="27">
        <v>0</v>
      </c>
      <c r="BF396" s="27">
        <f>396</f>
        <v>396</v>
      </c>
      <c r="BH396" s="27">
        <f>G396*AO396</f>
        <v>0</v>
      </c>
      <c r="BI396" s="27">
        <f>G396*AP396</f>
        <v>0</v>
      </c>
      <c r="BJ396" s="27">
        <f>G396*H396</f>
        <v>0</v>
      </c>
      <c r="BK396" s="27"/>
      <c r="BL396" s="27"/>
      <c r="BW396" s="27">
        <v>21</v>
      </c>
    </row>
    <row r="397" spans="1:47" ht="15">
      <c r="A397" s="23" t="s">
        <v>52</v>
      </c>
      <c r="B397" s="24" t="s">
        <v>650</v>
      </c>
      <c r="C397" s="24" t="s">
        <v>870</v>
      </c>
      <c r="D397" s="164" t="s">
        <v>700</v>
      </c>
      <c r="E397" s="165"/>
      <c r="F397" s="25" t="s">
        <v>4</v>
      </c>
      <c r="G397" s="25" t="s">
        <v>4</v>
      </c>
      <c r="H397" s="25" t="s">
        <v>4</v>
      </c>
      <c r="I397" s="1">
        <f>SUM(I398:I398)</f>
        <v>0</v>
      </c>
      <c r="J397" s="1">
        <f>SUM(J398:J398)</f>
        <v>0</v>
      </c>
      <c r="K397" s="1">
        <f>SUM(K398:K398)</f>
        <v>0</v>
      </c>
      <c r="L397" s="26" t="s">
        <v>52</v>
      </c>
      <c r="AI397" s="9" t="s">
        <v>650</v>
      </c>
      <c r="AS397" s="1">
        <f>SUM(AJ398:AJ398)</f>
        <v>0</v>
      </c>
      <c r="AT397" s="1">
        <f>SUM(AK398:AK398)</f>
        <v>0</v>
      </c>
      <c r="AU397" s="1">
        <f>SUM(AL398:AL398)</f>
        <v>0</v>
      </c>
    </row>
    <row r="398" spans="1:75" ht="13.5" customHeight="1">
      <c r="A398" s="2" t="s">
        <v>871</v>
      </c>
      <c r="B398" s="3" t="s">
        <v>650</v>
      </c>
      <c r="C398" s="3" t="s">
        <v>872</v>
      </c>
      <c r="D398" s="148" t="s">
        <v>873</v>
      </c>
      <c r="E398" s="143"/>
      <c r="F398" s="3" t="s">
        <v>95</v>
      </c>
      <c r="G398" s="27">
        <v>0.10202</v>
      </c>
      <c r="H398" s="27">
        <v>0</v>
      </c>
      <c r="I398" s="27">
        <f>G398*AO398</f>
        <v>0</v>
      </c>
      <c r="J398" s="27">
        <f>G398*AP398</f>
        <v>0</v>
      </c>
      <c r="K398" s="27">
        <f>G398*H398</f>
        <v>0</v>
      </c>
      <c r="L398" s="28" t="s">
        <v>52</v>
      </c>
      <c r="Z398" s="27">
        <f>IF(AQ398="5",BJ398,0)</f>
        <v>0</v>
      </c>
      <c r="AB398" s="27">
        <f>IF(AQ398="1",BH398,0)</f>
        <v>0</v>
      </c>
      <c r="AC398" s="27">
        <f>IF(AQ398="1",BI398,0)</f>
        <v>0</v>
      </c>
      <c r="AD398" s="27">
        <f>IF(AQ398="7",BH398,0)</f>
        <v>0</v>
      </c>
      <c r="AE398" s="27">
        <f>IF(AQ398="7",BI398,0)</f>
        <v>0</v>
      </c>
      <c r="AF398" s="27">
        <f>IF(AQ398="2",BH398,0)</f>
        <v>0</v>
      </c>
      <c r="AG398" s="27">
        <f>IF(AQ398="2",BI398,0)</f>
        <v>0</v>
      </c>
      <c r="AH398" s="27">
        <f>IF(AQ398="0",BJ398,0)</f>
        <v>0</v>
      </c>
      <c r="AI398" s="9" t="s">
        <v>650</v>
      </c>
      <c r="AJ398" s="27">
        <f>IF(AN398=0,K398,0)</f>
        <v>0</v>
      </c>
      <c r="AK398" s="27">
        <f>IF(AN398=12,K398,0)</f>
        <v>0</v>
      </c>
      <c r="AL398" s="27">
        <f>IF(AN398=21,K398,0)</f>
        <v>0</v>
      </c>
      <c r="AN398" s="27">
        <v>21</v>
      </c>
      <c r="AO398" s="27">
        <f>H398*0</f>
        <v>0</v>
      </c>
      <c r="AP398" s="27">
        <f>H398*(1-0)</f>
        <v>0</v>
      </c>
      <c r="AQ398" s="29" t="s">
        <v>78</v>
      </c>
      <c r="AV398" s="27">
        <f>AW398+AX398</f>
        <v>0</v>
      </c>
      <c r="AW398" s="27">
        <f>G398*AO398</f>
        <v>0</v>
      </c>
      <c r="AX398" s="27">
        <f>G398*AP398</f>
        <v>0</v>
      </c>
      <c r="AY398" s="29" t="s">
        <v>874</v>
      </c>
      <c r="AZ398" s="29" t="s">
        <v>869</v>
      </c>
      <c r="BA398" s="9" t="s">
        <v>656</v>
      </c>
      <c r="BC398" s="27">
        <f>AW398+AX398</f>
        <v>0</v>
      </c>
      <c r="BD398" s="27">
        <f>H398/(100-BE398)*100</f>
        <v>0</v>
      </c>
      <c r="BE398" s="27">
        <v>0</v>
      </c>
      <c r="BF398" s="27">
        <f>398</f>
        <v>398</v>
      </c>
      <c r="BH398" s="27">
        <f>G398*AO398</f>
        <v>0</v>
      </c>
      <c r="BI398" s="27">
        <f>G398*AP398</f>
        <v>0</v>
      </c>
      <c r="BJ398" s="27">
        <f>G398*H398</f>
        <v>0</v>
      </c>
      <c r="BK398" s="27"/>
      <c r="BL398" s="27"/>
      <c r="BW398" s="27">
        <v>21</v>
      </c>
    </row>
    <row r="399" spans="1:47" ht="15">
      <c r="A399" s="23" t="s">
        <v>52</v>
      </c>
      <c r="B399" s="24" t="s">
        <v>650</v>
      </c>
      <c r="C399" s="24" t="s">
        <v>875</v>
      </c>
      <c r="D399" s="164" t="s">
        <v>210</v>
      </c>
      <c r="E399" s="165"/>
      <c r="F399" s="25" t="s">
        <v>4</v>
      </c>
      <c r="G399" s="25" t="s">
        <v>4</v>
      </c>
      <c r="H399" s="25" t="s">
        <v>4</v>
      </c>
      <c r="I399" s="1">
        <f>SUM(I400:I400)</f>
        <v>0</v>
      </c>
      <c r="J399" s="1">
        <f>SUM(J400:J400)</f>
        <v>0</v>
      </c>
      <c r="K399" s="1">
        <f>SUM(K400:K400)</f>
        <v>0</v>
      </c>
      <c r="L399" s="26" t="s">
        <v>52</v>
      </c>
      <c r="AI399" s="9" t="s">
        <v>650</v>
      </c>
      <c r="AS399" s="1">
        <f>SUM(AJ400:AJ400)</f>
        <v>0</v>
      </c>
      <c r="AT399" s="1">
        <f>SUM(AK400:AK400)</f>
        <v>0</v>
      </c>
      <c r="AU399" s="1">
        <f>SUM(AL400:AL400)</f>
        <v>0</v>
      </c>
    </row>
    <row r="400" spans="1:75" ht="13.5" customHeight="1">
      <c r="A400" s="2" t="s">
        <v>876</v>
      </c>
      <c r="B400" s="3" t="s">
        <v>650</v>
      </c>
      <c r="C400" s="3" t="s">
        <v>877</v>
      </c>
      <c r="D400" s="148" t="s">
        <v>878</v>
      </c>
      <c r="E400" s="143"/>
      <c r="F400" s="3" t="s">
        <v>95</v>
      </c>
      <c r="G400" s="27">
        <v>0.18228</v>
      </c>
      <c r="H400" s="27">
        <v>0</v>
      </c>
      <c r="I400" s="27">
        <f>G400*AO400</f>
        <v>0</v>
      </c>
      <c r="J400" s="27">
        <f>G400*AP400</f>
        <v>0</v>
      </c>
      <c r="K400" s="27">
        <f>G400*H400</f>
        <v>0</v>
      </c>
      <c r="L400" s="28" t="s">
        <v>52</v>
      </c>
      <c r="Z400" s="27">
        <f>IF(AQ400="5",BJ400,0)</f>
        <v>0</v>
      </c>
      <c r="AB400" s="27">
        <f>IF(AQ400="1",BH400,0)</f>
        <v>0</v>
      </c>
      <c r="AC400" s="27">
        <f>IF(AQ400="1",BI400,0)</f>
        <v>0</v>
      </c>
      <c r="AD400" s="27">
        <f>IF(AQ400="7",BH400,0)</f>
        <v>0</v>
      </c>
      <c r="AE400" s="27">
        <f>IF(AQ400="7",BI400,0)</f>
        <v>0</v>
      </c>
      <c r="AF400" s="27">
        <f>IF(AQ400="2",BH400,0)</f>
        <v>0</v>
      </c>
      <c r="AG400" s="27">
        <f>IF(AQ400="2",BI400,0)</f>
        <v>0</v>
      </c>
      <c r="AH400" s="27">
        <f>IF(AQ400="0",BJ400,0)</f>
        <v>0</v>
      </c>
      <c r="AI400" s="9" t="s">
        <v>650</v>
      </c>
      <c r="AJ400" s="27">
        <f>IF(AN400=0,K400,0)</f>
        <v>0</v>
      </c>
      <c r="AK400" s="27">
        <f>IF(AN400=12,K400,0)</f>
        <v>0</v>
      </c>
      <c r="AL400" s="27">
        <f>IF(AN400=21,K400,0)</f>
        <v>0</v>
      </c>
      <c r="AN400" s="27">
        <v>21</v>
      </c>
      <c r="AO400" s="27">
        <f>H400*0</f>
        <v>0</v>
      </c>
      <c r="AP400" s="27">
        <f>H400*(1-0)</f>
        <v>0</v>
      </c>
      <c r="AQ400" s="29" t="s">
        <v>78</v>
      </c>
      <c r="AV400" s="27">
        <f>AW400+AX400</f>
        <v>0</v>
      </c>
      <c r="AW400" s="27">
        <f>G400*AO400</f>
        <v>0</v>
      </c>
      <c r="AX400" s="27">
        <f>G400*AP400</f>
        <v>0</v>
      </c>
      <c r="AY400" s="29" t="s">
        <v>879</v>
      </c>
      <c r="AZ400" s="29" t="s">
        <v>869</v>
      </c>
      <c r="BA400" s="9" t="s">
        <v>656</v>
      </c>
      <c r="BC400" s="27">
        <f>AW400+AX400</f>
        <v>0</v>
      </c>
      <c r="BD400" s="27">
        <f>H400/(100-BE400)*100</f>
        <v>0</v>
      </c>
      <c r="BE400" s="27">
        <v>0</v>
      </c>
      <c r="BF400" s="27">
        <f>400</f>
        <v>400</v>
      </c>
      <c r="BH400" s="27">
        <f>G400*AO400</f>
        <v>0</v>
      </c>
      <c r="BI400" s="27">
        <f>G400*AP400</f>
        <v>0</v>
      </c>
      <c r="BJ400" s="27">
        <f>G400*H400</f>
        <v>0</v>
      </c>
      <c r="BK400" s="27"/>
      <c r="BL400" s="27"/>
      <c r="BW400" s="27">
        <v>21</v>
      </c>
    </row>
    <row r="401" spans="1:47" ht="15">
      <c r="A401" s="23" t="s">
        <v>52</v>
      </c>
      <c r="B401" s="24" t="s">
        <v>650</v>
      </c>
      <c r="C401" s="24" t="s">
        <v>880</v>
      </c>
      <c r="D401" s="164" t="s">
        <v>854</v>
      </c>
      <c r="E401" s="165"/>
      <c r="F401" s="25" t="s">
        <v>4</v>
      </c>
      <c r="G401" s="25" t="s">
        <v>4</v>
      </c>
      <c r="H401" s="25" t="s">
        <v>4</v>
      </c>
      <c r="I401" s="1">
        <f>SUM(I402:I402)</f>
        <v>0</v>
      </c>
      <c r="J401" s="1">
        <f>SUM(J402:J402)</f>
        <v>0</v>
      </c>
      <c r="K401" s="1">
        <f>SUM(K402:K402)</f>
        <v>0</v>
      </c>
      <c r="L401" s="26" t="s">
        <v>52</v>
      </c>
      <c r="AI401" s="9" t="s">
        <v>650</v>
      </c>
      <c r="AS401" s="1">
        <f>SUM(AJ402:AJ402)</f>
        <v>0</v>
      </c>
      <c r="AT401" s="1">
        <f>SUM(AK402:AK402)</f>
        <v>0</v>
      </c>
      <c r="AU401" s="1">
        <f>SUM(AL402:AL402)</f>
        <v>0</v>
      </c>
    </row>
    <row r="402" spans="1:75" ht="13.5" customHeight="1">
      <c r="A402" s="2" t="s">
        <v>881</v>
      </c>
      <c r="B402" s="3" t="s">
        <v>650</v>
      </c>
      <c r="C402" s="3" t="s">
        <v>882</v>
      </c>
      <c r="D402" s="148" t="s">
        <v>883</v>
      </c>
      <c r="E402" s="143"/>
      <c r="F402" s="3" t="s">
        <v>95</v>
      </c>
      <c r="G402" s="27">
        <v>0.0033</v>
      </c>
      <c r="H402" s="27">
        <v>0</v>
      </c>
      <c r="I402" s="27">
        <f>G402*AO402</f>
        <v>0</v>
      </c>
      <c r="J402" s="27">
        <f>G402*AP402</f>
        <v>0</v>
      </c>
      <c r="K402" s="27">
        <f>G402*H402</f>
        <v>0</v>
      </c>
      <c r="L402" s="28" t="s">
        <v>52</v>
      </c>
      <c r="Z402" s="27">
        <f>IF(AQ402="5",BJ402,0)</f>
        <v>0</v>
      </c>
      <c r="AB402" s="27">
        <f>IF(AQ402="1",BH402,0)</f>
        <v>0</v>
      </c>
      <c r="AC402" s="27">
        <f>IF(AQ402="1",BI402,0)</f>
        <v>0</v>
      </c>
      <c r="AD402" s="27">
        <f>IF(AQ402="7",BH402,0)</f>
        <v>0</v>
      </c>
      <c r="AE402" s="27">
        <f>IF(AQ402="7",BI402,0)</f>
        <v>0</v>
      </c>
      <c r="AF402" s="27">
        <f>IF(AQ402="2",BH402,0)</f>
        <v>0</v>
      </c>
      <c r="AG402" s="27">
        <f>IF(AQ402="2",BI402,0)</f>
        <v>0</v>
      </c>
      <c r="AH402" s="27">
        <f>IF(AQ402="0",BJ402,0)</f>
        <v>0</v>
      </c>
      <c r="AI402" s="9" t="s">
        <v>650</v>
      </c>
      <c r="AJ402" s="27">
        <f>IF(AN402=0,K402,0)</f>
        <v>0</v>
      </c>
      <c r="AK402" s="27">
        <f>IF(AN402=12,K402,0)</f>
        <v>0</v>
      </c>
      <c r="AL402" s="27">
        <f>IF(AN402=21,K402,0)</f>
        <v>0</v>
      </c>
      <c r="AN402" s="27">
        <v>21</v>
      </c>
      <c r="AO402" s="27">
        <f>H402*0</f>
        <v>0</v>
      </c>
      <c r="AP402" s="27">
        <f>H402*(1-0)</f>
        <v>0</v>
      </c>
      <c r="AQ402" s="29" t="s">
        <v>78</v>
      </c>
      <c r="AV402" s="27">
        <f>AW402+AX402</f>
        <v>0</v>
      </c>
      <c r="AW402" s="27">
        <f>G402*AO402</f>
        <v>0</v>
      </c>
      <c r="AX402" s="27">
        <f>G402*AP402</f>
        <v>0</v>
      </c>
      <c r="AY402" s="29" t="s">
        <v>884</v>
      </c>
      <c r="AZ402" s="29" t="s">
        <v>869</v>
      </c>
      <c r="BA402" s="9" t="s">
        <v>656</v>
      </c>
      <c r="BC402" s="27">
        <f>AW402+AX402</f>
        <v>0</v>
      </c>
      <c r="BD402" s="27">
        <f>H402/(100-BE402)*100</f>
        <v>0</v>
      </c>
      <c r="BE402" s="27">
        <v>0</v>
      </c>
      <c r="BF402" s="27">
        <f>402</f>
        <v>402</v>
      </c>
      <c r="BH402" s="27">
        <f>G402*AO402</f>
        <v>0</v>
      </c>
      <c r="BI402" s="27">
        <f>G402*AP402</f>
        <v>0</v>
      </c>
      <c r="BJ402" s="27">
        <f>G402*H402</f>
        <v>0</v>
      </c>
      <c r="BK402" s="27"/>
      <c r="BL402" s="27"/>
      <c r="BW402" s="27">
        <v>21</v>
      </c>
    </row>
    <row r="403" spans="1:47" ht="15">
      <c r="A403" s="23" t="s">
        <v>52</v>
      </c>
      <c r="B403" s="24" t="s">
        <v>650</v>
      </c>
      <c r="C403" s="24" t="s">
        <v>626</v>
      </c>
      <c r="D403" s="164" t="s">
        <v>251</v>
      </c>
      <c r="E403" s="165"/>
      <c r="F403" s="25" t="s">
        <v>4</v>
      </c>
      <c r="G403" s="25" t="s">
        <v>4</v>
      </c>
      <c r="H403" s="25" t="s">
        <v>4</v>
      </c>
      <c r="I403" s="1">
        <f>SUM(I404:I404)</f>
        <v>0</v>
      </c>
      <c r="J403" s="1">
        <f>SUM(J404:J404)</f>
        <v>0</v>
      </c>
      <c r="K403" s="1">
        <f>SUM(K404:K404)</f>
        <v>0</v>
      </c>
      <c r="L403" s="26" t="s">
        <v>52</v>
      </c>
      <c r="AI403" s="9" t="s">
        <v>650</v>
      </c>
      <c r="AS403" s="1">
        <f>SUM(AJ404:AJ404)</f>
        <v>0</v>
      </c>
      <c r="AT403" s="1">
        <f>SUM(AK404:AK404)</f>
        <v>0</v>
      </c>
      <c r="AU403" s="1">
        <f>SUM(AL404:AL404)</f>
        <v>0</v>
      </c>
    </row>
    <row r="404" spans="1:75" ht="13.5" customHeight="1">
      <c r="A404" s="2" t="s">
        <v>885</v>
      </c>
      <c r="B404" s="3" t="s">
        <v>650</v>
      </c>
      <c r="C404" s="3" t="s">
        <v>628</v>
      </c>
      <c r="D404" s="148" t="s">
        <v>629</v>
      </c>
      <c r="E404" s="143"/>
      <c r="F404" s="3" t="s">
        <v>95</v>
      </c>
      <c r="G404" s="27">
        <v>0.0006</v>
      </c>
      <c r="H404" s="27">
        <v>0</v>
      </c>
      <c r="I404" s="27">
        <f>G404*AO404</f>
        <v>0</v>
      </c>
      <c r="J404" s="27">
        <f>G404*AP404</f>
        <v>0</v>
      </c>
      <c r="K404" s="27">
        <f>G404*H404</f>
        <v>0</v>
      </c>
      <c r="L404" s="28" t="s">
        <v>52</v>
      </c>
      <c r="Z404" s="27">
        <f>IF(AQ404="5",BJ404,0)</f>
        <v>0</v>
      </c>
      <c r="AB404" s="27">
        <f>IF(AQ404="1",BH404,0)</f>
        <v>0</v>
      </c>
      <c r="AC404" s="27">
        <f>IF(AQ404="1",BI404,0)</f>
        <v>0</v>
      </c>
      <c r="AD404" s="27">
        <f>IF(AQ404="7",BH404,0)</f>
        <v>0</v>
      </c>
      <c r="AE404" s="27">
        <f>IF(AQ404="7",BI404,0)</f>
        <v>0</v>
      </c>
      <c r="AF404" s="27">
        <f>IF(AQ404="2",BH404,0)</f>
        <v>0</v>
      </c>
      <c r="AG404" s="27">
        <f>IF(AQ404="2",BI404,0)</f>
        <v>0</v>
      </c>
      <c r="AH404" s="27">
        <f>IF(AQ404="0",BJ404,0)</f>
        <v>0</v>
      </c>
      <c r="AI404" s="9" t="s">
        <v>650</v>
      </c>
      <c r="AJ404" s="27">
        <f>IF(AN404=0,K404,0)</f>
        <v>0</v>
      </c>
      <c r="AK404" s="27">
        <f>IF(AN404=12,K404,0)</f>
        <v>0</v>
      </c>
      <c r="AL404" s="27">
        <f>IF(AN404=21,K404,0)</f>
        <v>0</v>
      </c>
      <c r="AN404" s="27">
        <v>21</v>
      </c>
      <c r="AO404" s="27">
        <f>H404*0</f>
        <v>0</v>
      </c>
      <c r="AP404" s="27">
        <f>H404*(1-0)</f>
        <v>0</v>
      </c>
      <c r="AQ404" s="29" t="s">
        <v>78</v>
      </c>
      <c r="AV404" s="27">
        <f>AW404+AX404</f>
        <v>0</v>
      </c>
      <c r="AW404" s="27">
        <f>G404*AO404</f>
        <v>0</v>
      </c>
      <c r="AX404" s="27">
        <f>G404*AP404</f>
        <v>0</v>
      </c>
      <c r="AY404" s="29" t="s">
        <v>630</v>
      </c>
      <c r="AZ404" s="29" t="s">
        <v>869</v>
      </c>
      <c r="BA404" s="9" t="s">
        <v>656</v>
      </c>
      <c r="BC404" s="27">
        <f>AW404+AX404</f>
        <v>0</v>
      </c>
      <c r="BD404" s="27">
        <f>H404/(100-BE404)*100</f>
        <v>0</v>
      </c>
      <c r="BE404" s="27">
        <v>0</v>
      </c>
      <c r="BF404" s="27">
        <f>404</f>
        <v>404</v>
      </c>
      <c r="BH404" s="27">
        <f>G404*AO404</f>
        <v>0</v>
      </c>
      <c r="BI404" s="27">
        <f>G404*AP404</f>
        <v>0</v>
      </c>
      <c r="BJ404" s="27">
        <f>G404*H404</f>
        <v>0</v>
      </c>
      <c r="BK404" s="27"/>
      <c r="BL404" s="27"/>
      <c r="BW404" s="27">
        <v>21</v>
      </c>
    </row>
    <row r="405" spans="1:47" ht="15">
      <c r="A405" s="23" t="s">
        <v>52</v>
      </c>
      <c r="B405" s="24" t="s">
        <v>650</v>
      </c>
      <c r="C405" s="24" t="s">
        <v>52</v>
      </c>
      <c r="D405" s="164" t="s">
        <v>631</v>
      </c>
      <c r="E405" s="165"/>
      <c r="F405" s="25" t="s">
        <v>4</v>
      </c>
      <c r="G405" s="25" t="s">
        <v>4</v>
      </c>
      <c r="H405" s="25" t="s">
        <v>4</v>
      </c>
      <c r="I405" s="1">
        <f>SUM(I406:I409)</f>
        <v>0</v>
      </c>
      <c r="J405" s="1">
        <f>SUM(J406:J409)</f>
        <v>0</v>
      </c>
      <c r="K405" s="1">
        <f>SUM(K406:K409)</f>
        <v>0</v>
      </c>
      <c r="L405" s="26" t="s">
        <v>52</v>
      </c>
      <c r="AI405" s="9" t="s">
        <v>650</v>
      </c>
      <c r="AS405" s="1">
        <f>SUM(AJ406:AJ409)</f>
        <v>0</v>
      </c>
      <c r="AT405" s="1">
        <f>SUM(AK406:AK409)</f>
        <v>0</v>
      </c>
      <c r="AU405" s="1">
        <f>SUM(AL406:AL409)</f>
        <v>0</v>
      </c>
    </row>
    <row r="406" spans="1:75" ht="13.5" customHeight="1">
      <c r="A406" s="2" t="s">
        <v>886</v>
      </c>
      <c r="B406" s="3" t="s">
        <v>650</v>
      </c>
      <c r="C406" s="3" t="s">
        <v>633</v>
      </c>
      <c r="D406" s="148" t="s">
        <v>887</v>
      </c>
      <c r="E406" s="143"/>
      <c r="F406" s="3" t="s">
        <v>635</v>
      </c>
      <c r="G406" s="27">
        <v>4</v>
      </c>
      <c r="H406" s="27">
        <v>0</v>
      </c>
      <c r="I406" s="27">
        <f>G406*AO406</f>
        <v>0</v>
      </c>
      <c r="J406" s="27">
        <f>G406*AP406</f>
        <v>0</v>
      </c>
      <c r="K406" s="27">
        <f>G406*H406</f>
        <v>0</v>
      </c>
      <c r="L406" s="28" t="s">
        <v>52</v>
      </c>
      <c r="Z406" s="27">
        <f>IF(AQ406="5",BJ406,0)</f>
        <v>0</v>
      </c>
      <c r="AB406" s="27">
        <f>IF(AQ406="1",BH406,0)</f>
        <v>0</v>
      </c>
      <c r="AC406" s="27">
        <f>IF(AQ406="1",BI406,0)</f>
        <v>0</v>
      </c>
      <c r="AD406" s="27">
        <f>IF(AQ406="7",BH406,0)</f>
        <v>0</v>
      </c>
      <c r="AE406" s="27">
        <f>IF(AQ406="7",BI406,0)</f>
        <v>0</v>
      </c>
      <c r="AF406" s="27">
        <f>IF(AQ406="2",BH406,0)</f>
        <v>0</v>
      </c>
      <c r="AG406" s="27">
        <f>IF(AQ406="2",BI406,0)</f>
        <v>0</v>
      </c>
      <c r="AH406" s="27">
        <f>IF(AQ406="0",BJ406,0)</f>
        <v>0</v>
      </c>
      <c r="AI406" s="9" t="s">
        <v>650</v>
      </c>
      <c r="AJ406" s="27">
        <f>IF(AN406=0,K406,0)</f>
        <v>0</v>
      </c>
      <c r="AK406" s="27">
        <f>IF(AN406=12,K406,0)</f>
        <v>0</v>
      </c>
      <c r="AL406" s="27">
        <f>IF(AN406=21,K406,0)</f>
        <v>0</v>
      </c>
      <c r="AN406" s="27">
        <v>21</v>
      </c>
      <c r="AO406" s="27">
        <f>H406*0</f>
        <v>0</v>
      </c>
      <c r="AP406" s="27">
        <f>H406*(1-0)</f>
        <v>0</v>
      </c>
      <c r="AQ406" s="29" t="s">
        <v>57</v>
      </c>
      <c r="AV406" s="27">
        <f>AW406+AX406</f>
        <v>0</v>
      </c>
      <c r="AW406" s="27">
        <f>G406*AO406</f>
        <v>0</v>
      </c>
      <c r="AX406" s="27">
        <f>G406*AP406</f>
        <v>0</v>
      </c>
      <c r="AY406" s="29" t="s">
        <v>636</v>
      </c>
      <c r="AZ406" s="29" t="s">
        <v>888</v>
      </c>
      <c r="BA406" s="9" t="s">
        <v>656</v>
      </c>
      <c r="BC406" s="27">
        <f>AW406+AX406</f>
        <v>0</v>
      </c>
      <c r="BD406" s="27">
        <f>H406/(100-BE406)*100</f>
        <v>0</v>
      </c>
      <c r="BE406" s="27">
        <v>0</v>
      </c>
      <c r="BF406" s="27">
        <f>406</f>
        <v>406</v>
      </c>
      <c r="BH406" s="27">
        <f>G406*AO406</f>
        <v>0</v>
      </c>
      <c r="BI406" s="27">
        <f>G406*AP406</f>
        <v>0</v>
      </c>
      <c r="BJ406" s="27">
        <f>G406*H406</f>
        <v>0</v>
      </c>
      <c r="BK406" s="27"/>
      <c r="BL406" s="27"/>
      <c r="BW406" s="27">
        <v>21</v>
      </c>
    </row>
    <row r="407" spans="1:75" ht="13.5" customHeight="1">
      <c r="A407" s="2" t="s">
        <v>889</v>
      </c>
      <c r="B407" s="3" t="s">
        <v>650</v>
      </c>
      <c r="C407" s="3" t="s">
        <v>639</v>
      </c>
      <c r="D407" s="148" t="s">
        <v>640</v>
      </c>
      <c r="E407" s="143"/>
      <c r="F407" s="3" t="s">
        <v>635</v>
      </c>
      <c r="G407" s="27">
        <v>8</v>
      </c>
      <c r="H407" s="27">
        <v>0</v>
      </c>
      <c r="I407" s="27">
        <f>G407*AO407</f>
        <v>0</v>
      </c>
      <c r="J407" s="27">
        <f>G407*AP407</f>
        <v>0</v>
      </c>
      <c r="K407" s="27">
        <f>G407*H407</f>
        <v>0</v>
      </c>
      <c r="L407" s="28" t="s">
        <v>52</v>
      </c>
      <c r="Z407" s="27">
        <f>IF(AQ407="5",BJ407,0)</f>
        <v>0</v>
      </c>
      <c r="AB407" s="27">
        <f>IF(AQ407="1",BH407,0)</f>
        <v>0</v>
      </c>
      <c r="AC407" s="27">
        <f>IF(AQ407="1",BI407,0)</f>
        <v>0</v>
      </c>
      <c r="AD407" s="27">
        <f>IF(AQ407="7",BH407,0)</f>
        <v>0</v>
      </c>
      <c r="AE407" s="27">
        <f>IF(AQ407="7",BI407,0)</f>
        <v>0</v>
      </c>
      <c r="AF407" s="27">
        <f>IF(AQ407="2",BH407,0)</f>
        <v>0</v>
      </c>
      <c r="AG407" s="27">
        <f>IF(AQ407="2",BI407,0)</f>
        <v>0</v>
      </c>
      <c r="AH407" s="27">
        <f>IF(AQ407="0",BJ407,0)</f>
        <v>0</v>
      </c>
      <c r="AI407" s="9" t="s">
        <v>650</v>
      </c>
      <c r="AJ407" s="27">
        <f>IF(AN407=0,K407,0)</f>
        <v>0</v>
      </c>
      <c r="AK407" s="27">
        <f>IF(AN407=12,K407,0)</f>
        <v>0</v>
      </c>
      <c r="AL407" s="27">
        <f>IF(AN407=21,K407,0)</f>
        <v>0</v>
      </c>
      <c r="AN407" s="27">
        <v>21</v>
      </c>
      <c r="AO407" s="27">
        <f>H407*0</f>
        <v>0</v>
      </c>
      <c r="AP407" s="27">
        <f>H407*(1-0)</f>
        <v>0</v>
      </c>
      <c r="AQ407" s="29" t="s">
        <v>57</v>
      </c>
      <c r="AV407" s="27">
        <f>AW407+AX407</f>
        <v>0</v>
      </c>
      <c r="AW407" s="27">
        <f>G407*AO407</f>
        <v>0</v>
      </c>
      <c r="AX407" s="27">
        <f>G407*AP407</f>
        <v>0</v>
      </c>
      <c r="AY407" s="29" t="s">
        <v>636</v>
      </c>
      <c r="AZ407" s="29" t="s">
        <v>888</v>
      </c>
      <c r="BA407" s="9" t="s">
        <v>656</v>
      </c>
      <c r="BC407" s="27">
        <f>AW407+AX407</f>
        <v>0</v>
      </c>
      <c r="BD407" s="27">
        <f>H407/(100-BE407)*100</f>
        <v>0</v>
      </c>
      <c r="BE407" s="27">
        <v>0</v>
      </c>
      <c r="BF407" s="27">
        <f>407</f>
        <v>407</v>
      </c>
      <c r="BH407" s="27">
        <f>G407*AO407</f>
        <v>0</v>
      </c>
      <c r="BI407" s="27">
        <f>G407*AP407</f>
        <v>0</v>
      </c>
      <c r="BJ407" s="27">
        <f>G407*H407</f>
        <v>0</v>
      </c>
      <c r="BK407" s="27"/>
      <c r="BL407" s="27"/>
      <c r="BW407" s="27">
        <v>21</v>
      </c>
    </row>
    <row r="408" spans="1:75" ht="13.5" customHeight="1">
      <c r="A408" s="2" t="s">
        <v>890</v>
      </c>
      <c r="B408" s="3" t="s">
        <v>650</v>
      </c>
      <c r="C408" s="3" t="s">
        <v>642</v>
      </c>
      <c r="D408" s="148" t="s">
        <v>891</v>
      </c>
      <c r="E408" s="143"/>
      <c r="F408" s="3" t="s">
        <v>635</v>
      </c>
      <c r="G408" s="27">
        <v>4</v>
      </c>
      <c r="H408" s="27">
        <v>0</v>
      </c>
      <c r="I408" s="27">
        <f>G408*AO408</f>
        <v>0</v>
      </c>
      <c r="J408" s="27">
        <f>G408*AP408</f>
        <v>0</v>
      </c>
      <c r="K408" s="27">
        <f>G408*H408</f>
        <v>0</v>
      </c>
      <c r="L408" s="28" t="s">
        <v>52</v>
      </c>
      <c r="Z408" s="27">
        <f>IF(AQ408="5",BJ408,0)</f>
        <v>0</v>
      </c>
      <c r="AB408" s="27">
        <f>IF(AQ408="1",BH408,0)</f>
        <v>0</v>
      </c>
      <c r="AC408" s="27">
        <f>IF(AQ408="1",BI408,0)</f>
        <v>0</v>
      </c>
      <c r="AD408" s="27">
        <f>IF(AQ408="7",BH408,0)</f>
        <v>0</v>
      </c>
      <c r="AE408" s="27">
        <f>IF(AQ408="7",BI408,0)</f>
        <v>0</v>
      </c>
      <c r="AF408" s="27">
        <f>IF(AQ408="2",BH408,0)</f>
        <v>0</v>
      </c>
      <c r="AG408" s="27">
        <f>IF(AQ408="2",BI408,0)</f>
        <v>0</v>
      </c>
      <c r="AH408" s="27">
        <f>IF(AQ408="0",BJ408,0)</f>
        <v>0</v>
      </c>
      <c r="AI408" s="9" t="s">
        <v>650</v>
      </c>
      <c r="AJ408" s="27">
        <f>IF(AN408=0,K408,0)</f>
        <v>0</v>
      </c>
      <c r="AK408" s="27">
        <f>IF(AN408=12,K408,0)</f>
        <v>0</v>
      </c>
      <c r="AL408" s="27">
        <f>IF(AN408=21,K408,0)</f>
        <v>0</v>
      </c>
      <c r="AN408" s="27">
        <v>21</v>
      </c>
      <c r="AO408" s="27">
        <f>H408*0</f>
        <v>0</v>
      </c>
      <c r="AP408" s="27">
        <f>H408*(1-0)</f>
        <v>0</v>
      </c>
      <c r="AQ408" s="29" t="s">
        <v>57</v>
      </c>
      <c r="AV408" s="27">
        <f>AW408+AX408</f>
        <v>0</v>
      </c>
      <c r="AW408" s="27">
        <f>G408*AO408</f>
        <v>0</v>
      </c>
      <c r="AX408" s="27">
        <f>G408*AP408</f>
        <v>0</v>
      </c>
      <c r="AY408" s="29" t="s">
        <v>636</v>
      </c>
      <c r="AZ408" s="29" t="s">
        <v>888</v>
      </c>
      <c r="BA408" s="9" t="s">
        <v>656</v>
      </c>
      <c r="BC408" s="27">
        <f>AW408+AX408</f>
        <v>0</v>
      </c>
      <c r="BD408" s="27">
        <f>H408/(100-BE408)*100</f>
        <v>0</v>
      </c>
      <c r="BE408" s="27">
        <v>0</v>
      </c>
      <c r="BF408" s="27">
        <f>408</f>
        <v>408</v>
      </c>
      <c r="BH408" s="27">
        <f>G408*AO408</f>
        <v>0</v>
      </c>
      <c r="BI408" s="27">
        <f>G408*AP408</f>
        <v>0</v>
      </c>
      <c r="BJ408" s="27">
        <f>G408*H408</f>
        <v>0</v>
      </c>
      <c r="BK408" s="27"/>
      <c r="BL408" s="27"/>
      <c r="BW408" s="27">
        <v>21</v>
      </c>
    </row>
    <row r="409" spans="1:75" ht="13.5" customHeight="1">
      <c r="A409" s="2" t="s">
        <v>892</v>
      </c>
      <c r="B409" s="3" t="s">
        <v>650</v>
      </c>
      <c r="C409" s="3" t="s">
        <v>645</v>
      </c>
      <c r="D409" s="148" t="s">
        <v>649</v>
      </c>
      <c r="E409" s="143"/>
      <c r="F409" s="3" t="s">
        <v>635</v>
      </c>
      <c r="G409" s="27">
        <v>8</v>
      </c>
      <c r="H409" s="27">
        <v>0</v>
      </c>
      <c r="I409" s="27">
        <f>G409*AO409</f>
        <v>0</v>
      </c>
      <c r="J409" s="27">
        <f>G409*AP409</f>
        <v>0</v>
      </c>
      <c r="K409" s="27">
        <f>G409*H409</f>
        <v>0</v>
      </c>
      <c r="L409" s="28" t="s">
        <v>52</v>
      </c>
      <c r="Z409" s="27">
        <f>IF(AQ409="5",BJ409,0)</f>
        <v>0</v>
      </c>
      <c r="AB409" s="27">
        <f>IF(AQ409="1",BH409,0)</f>
        <v>0</v>
      </c>
      <c r="AC409" s="27">
        <f>IF(AQ409="1",BI409,0)</f>
        <v>0</v>
      </c>
      <c r="AD409" s="27">
        <f>IF(AQ409="7",BH409,0)</f>
        <v>0</v>
      </c>
      <c r="AE409" s="27">
        <f>IF(AQ409="7",BI409,0)</f>
        <v>0</v>
      </c>
      <c r="AF409" s="27">
        <f>IF(AQ409="2",BH409,0)</f>
        <v>0</v>
      </c>
      <c r="AG409" s="27">
        <f>IF(AQ409="2",BI409,0)</f>
        <v>0</v>
      </c>
      <c r="AH409" s="27">
        <f>IF(AQ409="0",BJ409,0)</f>
        <v>0</v>
      </c>
      <c r="AI409" s="9" t="s">
        <v>650</v>
      </c>
      <c r="AJ409" s="27">
        <f>IF(AN409=0,K409,0)</f>
        <v>0</v>
      </c>
      <c r="AK409" s="27">
        <f>IF(AN409=12,K409,0)</f>
        <v>0</v>
      </c>
      <c r="AL409" s="27">
        <f>IF(AN409=21,K409,0)</f>
        <v>0</v>
      </c>
      <c r="AN409" s="27">
        <v>21</v>
      </c>
      <c r="AO409" s="27">
        <f>H409*0</f>
        <v>0</v>
      </c>
      <c r="AP409" s="27">
        <f>H409*(1-0)</f>
        <v>0</v>
      </c>
      <c r="AQ409" s="29" t="s">
        <v>57</v>
      </c>
      <c r="AV409" s="27">
        <f>AW409+AX409</f>
        <v>0</v>
      </c>
      <c r="AW409" s="27">
        <f>G409*AO409</f>
        <v>0</v>
      </c>
      <c r="AX409" s="27">
        <f>G409*AP409</f>
        <v>0</v>
      </c>
      <c r="AY409" s="29" t="s">
        <v>636</v>
      </c>
      <c r="AZ409" s="29" t="s">
        <v>888</v>
      </c>
      <c r="BA409" s="9" t="s">
        <v>656</v>
      </c>
      <c r="BC409" s="27">
        <f>AW409+AX409</f>
        <v>0</v>
      </c>
      <c r="BD409" s="27">
        <f>H409/(100-BE409)*100</f>
        <v>0</v>
      </c>
      <c r="BE409" s="27">
        <v>0</v>
      </c>
      <c r="BF409" s="27">
        <f>409</f>
        <v>409</v>
      </c>
      <c r="BH409" s="27">
        <f>G409*AO409</f>
        <v>0</v>
      </c>
      <c r="BI409" s="27">
        <f>G409*AP409</f>
        <v>0</v>
      </c>
      <c r="BJ409" s="27">
        <f>G409*H409</f>
        <v>0</v>
      </c>
      <c r="BK409" s="27"/>
      <c r="BL409" s="27"/>
      <c r="BW409" s="27">
        <v>21</v>
      </c>
    </row>
    <row r="410" spans="1:12" ht="15">
      <c r="A410" s="23" t="s">
        <v>52</v>
      </c>
      <c r="B410" s="24" t="s">
        <v>893</v>
      </c>
      <c r="C410" s="24" t="s">
        <v>52</v>
      </c>
      <c r="D410" s="164" t="s">
        <v>894</v>
      </c>
      <c r="E410" s="165"/>
      <c r="F410" s="25" t="s">
        <v>4</v>
      </c>
      <c r="G410" s="25" t="s">
        <v>4</v>
      </c>
      <c r="H410" s="25" t="s">
        <v>4</v>
      </c>
      <c r="I410" s="1">
        <f>I411+I420+I424+I435+I440+I451+I488+I516+I527+I552+I559+I563+I570+I574+I577</f>
        <v>0</v>
      </c>
      <c r="J410" s="1">
        <f>J411+J420+J424+J435+J440+J451+J488+J516+J527+J552+J559+J563+J570+J574+J577</f>
        <v>0</v>
      </c>
      <c r="K410" s="1">
        <f>K411+K420+K424+K435+K440+K451+K488+K516+K527+K552+K559+K563+K570+K574+K577</f>
        <v>0</v>
      </c>
      <c r="L410" s="26" t="s">
        <v>52</v>
      </c>
    </row>
    <row r="411" spans="1:47" ht="15">
      <c r="A411" s="23" t="s">
        <v>52</v>
      </c>
      <c r="B411" s="24" t="s">
        <v>893</v>
      </c>
      <c r="C411" s="24" t="s">
        <v>104</v>
      </c>
      <c r="D411" s="164" t="s">
        <v>105</v>
      </c>
      <c r="E411" s="165"/>
      <c r="F411" s="25" t="s">
        <v>4</v>
      </c>
      <c r="G411" s="25" t="s">
        <v>4</v>
      </c>
      <c r="H411" s="25" t="s">
        <v>4</v>
      </c>
      <c r="I411" s="1">
        <f>SUM(I412:I416)</f>
        <v>0</v>
      </c>
      <c r="J411" s="1">
        <f>SUM(J412:J416)</f>
        <v>0</v>
      </c>
      <c r="K411" s="1">
        <f>SUM(K412:K416)</f>
        <v>0</v>
      </c>
      <c r="L411" s="26" t="s">
        <v>52</v>
      </c>
      <c r="AI411" s="9" t="s">
        <v>893</v>
      </c>
      <c r="AS411" s="1">
        <f>SUM(AJ412:AJ416)</f>
        <v>0</v>
      </c>
      <c r="AT411" s="1">
        <f>SUM(AK412:AK416)</f>
        <v>0</v>
      </c>
      <c r="AU411" s="1">
        <f>SUM(AL412:AL416)</f>
        <v>0</v>
      </c>
    </row>
    <row r="412" spans="1:75" ht="13.5" customHeight="1">
      <c r="A412" s="2" t="s">
        <v>895</v>
      </c>
      <c r="B412" s="3" t="s">
        <v>893</v>
      </c>
      <c r="C412" s="3" t="s">
        <v>896</v>
      </c>
      <c r="D412" s="148" t="s">
        <v>897</v>
      </c>
      <c r="E412" s="143"/>
      <c r="F412" s="3" t="s">
        <v>109</v>
      </c>
      <c r="G412" s="27">
        <v>21.225</v>
      </c>
      <c r="H412" s="27">
        <v>0</v>
      </c>
      <c r="I412" s="27">
        <f>G412*AO412</f>
        <v>0</v>
      </c>
      <c r="J412" s="27">
        <f>G412*AP412</f>
        <v>0</v>
      </c>
      <c r="K412" s="27">
        <f>G412*H412</f>
        <v>0</v>
      </c>
      <c r="L412" s="28" t="s">
        <v>137</v>
      </c>
      <c r="Z412" s="27">
        <f>IF(AQ412="5",BJ412,0)</f>
        <v>0</v>
      </c>
      <c r="AB412" s="27">
        <f>IF(AQ412="1",BH412,0)</f>
        <v>0</v>
      </c>
      <c r="AC412" s="27">
        <f>IF(AQ412="1",BI412,0)</f>
        <v>0</v>
      </c>
      <c r="AD412" s="27">
        <f>IF(AQ412="7",BH412,0)</f>
        <v>0</v>
      </c>
      <c r="AE412" s="27">
        <f>IF(AQ412="7",BI412,0)</f>
        <v>0</v>
      </c>
      <c r="AF412" s="27">
        <f>IF(AQ412="2",BH412,0)</f>
        <v>0</v>
      </c>
      <c r="AG412" s="27">
        <f>IF(AQ412="2",BI412,0)</f>
        <v>0</v>
      </c>
      <c r="AH412" s="27">
        <f>IF(AQ412="0",BJ412,0)</f>
        <v>0</v>
      </c>
      <c r="AI412" s="9" t="s">
        <v>893</v>
      </c>
      <c r="AJ412" s="27">
        <f>IF(AN412=0,K412,0)</f>
        <v>0</v>
      </c>
      <c r="AK412" s="27">
        <f>IF(AN412=12,K412,0)</f>
        <v>0</v>
      </c>
      <c r="AL412" s="27">
        <f>IF(AN412=21,K412,0)</f>
        <v>0</v>
      </c>
      <c r="AN412" s="27">
        <v>21</v>
      </c>
      <c r="AO412" s="27">
        <f>H412*0.626152381</f>
        <v>0</v>
      </c>
      <c r="AP412" s="27">
        <f>H412*(1-0.626152381)</f>
        <v>0</v>
      </c>
      <c r="AQ412" s="29" t="s">
        <v>57</v>
      </c>
      <c r="AV412" s="27">
        <f>AW412+AX412</f>
        <v>0</v>
      </c>
      <c r="AW412" s="27">
        <f>G412*AO412</f>
        <v>0</v>
      </c>
      <c r="AX412" s="27">
        <f>G412*AP412</f>
        <v>0</v>
      </c>
      <c r="AY412" s="29" t="s">
        <v>110</v>
      </c>
      <c r="AZ412" s="29" t="s">
        <v>898</v>
      </c>
      <c r="BA412" s="9" t="s">
        <v>899</v>
      </c>
      <c r="BC412" s="27">
        <f>AW412+AX412</f>
        <v>0</v>
      </c>
      <c r="BD412" s="27">
        <f>H412/(100-BE412)*100</f>
        <v>0</v>
      </c>
      <c r="BE412" s="27">
        <v>0</v>
      </c>
      <c r="BF412" s="27">
        <f>412</f>
        <v>412</v>
      </c>
      <c r="BH412" s="27">
        <f>G412*AO412</f>
        <v>0</v>
      </c>
      <c r="BI412" s="27">
        <f>G412*AP412</f>
        <v>0</v>
      </c>
      <c r="BJ412" s="27">
        <f>G412*H412</f>
        <v>0</v>
      </c>
      <c r="BK412" s="27"/>
      <c r="BL412" s="27">
        <v>34</v>
      </c>
      <c r="BW412" s="27">
        <v>21</v>
      </c>
    </row>
    <row r="413" spans="1:12" ht="13.5" customHeight="1">
      <c r="A413" s="30"/>
      <c r="D413" s="166" t="s">
        <v>900</v>
      </c>
      <c r="E413" s="167"/>
      <c r="F413" s="167"/>
      <c r="G413" s="167"/>
      <c r="H413" s="167"/>
      <c r="I413" s="167"/>
      <c r="J413" s="167"/>
      <c r="K413" s="167"/>
      <c r="L413" s="168"/>
    </row>
    <row r="414" spans="1:12" ht="15">
      <c r="A414" s="30"/>
      <c r="D414" s="32" t="s">
        <v>901</v>
      </c>
      <c r="E414" s="31" t="s">
        <v>902</v>
      </c>
      <c r="G414" s="33">
        <v>21.225</v>
      </c>
      <c r="L414" s="34"/>
    </row>
    <row r="415" spans="1:12" ht="27" customHeight="1">
      <c r="A415" s="30"/>
      <c r="C415" s="35" t="s">
        <v>102</v>
      </c>
      <c r="D415" s="166" t="s">
        <v>903</v>
      </c>
      <c r="E415" s="167"/>
      <c r="F415" s="167"/>
      <c r="G415" s="167"/>
      <c r="H415" s="167"/>
      <c r="I415" s="167"/>
      <c r="J415" s="167"/>
      <c r="K415" s="167"/>
      <c r="L415" s="168"/>
    </row>
    <row r="416" spans="1:75" ht="13.5" customHeight="1">
      <c r="A416" s="2" t="s">
        <v>904</v>
      </c>
      <c r="B416" s="3" t="s">
        <v>893</v>
      </c>
      <c r="C416" s="3" t="s">
        <v>905</v>
      </c>
      <c r="D416" s="148" t="s">
        <v>906</v>
      </c>
      <c r="E416" s="143"/>
      <c r="F416" s="3" t="s">
        <v>109</v>
      </c>
      <c r="G416" s="27">
        <v>5.76</v>
      </c>
      <c r="H416" s="27">
        <v>0</v>
      </c>
      <c r="I416" s="27">
        <f>G416*AO416</f>
        <v>0</v>
      </c>
      <c r="J416" s="27">
        <f>G416*AP416</f>
        <v>0</v>
      </c>
      <c r="K416" s="27">
        <f>G416*H416</f>
        <v>0</v>
      </c>
      <c r="L416" s="28" t="s">
        <v>137</v>
      </c>
      <c r="Z416" s="27">
        <f>IF(AQ416="5",BJ416,0)</f>
        <v>0</v>
      </c>
      <c r="AB416" s="27">
        <f>IF(AQ416="1",BH416,0)</f>
        <v>0</v>
      </c>
      <c r="AC416" s="27">
        <f>IF(AQ416="1",BI416,0)</f>
        <v>0</v>
      </c>
      <c r="AD416" s="27">
        <f>IF(AQ416="7",BH416,0)</f>
        <v>0</v>
      </c>
      <c r="AE416" s="27">
        <f>IF(AQ416="7",BI416,0)</f>
        <v>0</v>
      </c>
      <c r="AF416" s="27">
        <f>IF(AQ416="2",BH416,0)</f>
        <v>0</v>
      </c>
      <c r="AG416" s="27">
        <f>IF(AQ416="2",BI416,0)</f>
        <v>0</v>
      </c>
      <c r="AH416" s="27">
        <f>IF(AQ416="0",BJ416,0)</f>
        <v>0</v>
      </c>
      <c r="AI416" s="9" t="s">
        <v>893</v>
      </c>
      <c r="AJ416" s="27">
        <f>IF(AN416=0,K416,0)</f>
        <v>0</v>
      </c>
      <c r="AK416" s="27">
        <f>IF(AN416=12,K416,0)</f>
        <v>0</v>
      </c>
      <c r="AL416" s="27">
        <f>IF(AN416=21,K416,0)</f>
        <v>0</v>
      </c>
      <c r="AN416" s="27">
        <v>21</v>
      </c>
      <c r="AO416" s="27">
        <f>H416*0.511149826</f>
        <v>0</v>
      </c>
      <c r="AP416" s="27">
        <f>H416*(1-0.511149826)</f>
        <v>0</v>
      </c>
      <c r="AQ416" s="29" t="s">
        <v>57</v>
      </c>
      <c r="AV416" s="27">
        <f>AW416+AX416</f>
        <v>0</v>
      </c>
      <c r="AW416" s="27">
        <f>G416*AO416</f>
        <v>0</v>
      </c>
      <c r="AX416" s="27">
        <f>G416*AP416</f>
        <v>0</v>
      </c>
      <c r="AY416" s="29" t="s">
        <v>110</v>
      </c>
      <c r="AZ416" s="29" t="s">
        <v>898</v>
      </c>
      <c r="BA416" s="9" t="s">
        <v>899</v>
      </c>
      <c r="BC416" s="27">
        <f>AW416+AX416</f>
        <v>0</v>
      </c>
      <c r="BD416" s="27">
        <f>H416/(100-BE416)*100</f>
        <v>0</v>
      </c>
      <c r="BE416" s="27">
        <v>0</v>
      </c>
      <c r="BF416" s="27">
        <f>416</f>
        <v>416</v>
      </c>
      <c r="BH416" s="27">
        <f>G416*AO416</f>
        <v>0</v>
      </c>
      <c r="BI416" s="27">
        <f>G416*AP416</f>
        <v>0</v>
      </c>
      <c r="BJ416" s="27">
        <f>G416*H416</f>
        <v>0</v>
      </c>
      <c r="BK416" s="27"/>
      <c r="BL416" s="27">
        <v>34</v>
      </c>
      <c r="BW416" s="27">
        <v>21</v>
      </c>
    </row>
    <row r="417" spans="1:12" ht="27" customHeight="1">
      <c r="A417" s="30"/>
      <c r="D417" s="166" t="s">
        <v>907</v>
      </c>
      <c r="E417" s="167"/>
      <c r="F417" s="167"/>
      <c r="G417" s="167"/>
      <c r="H417" s="167"/>
      <c r="I417" s="167"/>
      <c r="J417" s="167"/>
      <c r="K417" s="167"/>
      <c r="L417" s="168"/>
    </row>
    <row r="418" spans="1:12" ht="15">
      <c r="A418" s="30"/>
      <c r="D418" s="32" t="s">
        <v>908</v>
      </c>
      <c r="E418" s="31" t="s">
        <v>909</v>
      </c>
      <c r="G418" s="33">
        <v>5.76</v>
      </c>
      <c r="L418" s="34"/>
    </row>
    <row r="419" spans="1:12" ht="27" customHeight="1">
      <c r="A419" s="30"/>
      <c r="C419" s="35" t="s">
        <v>102</v>
      </c>
      <c r="D419" s="166" t="s">
        <v>910</v>
      </c>
      <c r="E419" s="167"/>
      <c r="F419" s="167"/>
      <c r="G419" s="167"/>
      <c r="H419" s="167"/>
      <c r="I419" s="167"/>
      <c r="J419" s="167"/>
      <c r="K419" s="167"/>
      <c r="L419" s="168"/>
    </row>
    <row r="420" spans="1:47" ht="15">
      <c r="A420" s="23" t="s">
        <v>52</v>
      </c>
      <c r="B420" s="24" t="s">
        <v>893</v>
      </c>
      <c r="C420" s="24" t="s">
        <v>121</v>
      </c>
      <c r="D420" s="164" t="s">
        <v>122</v>
      </c>
      <c r="E420" s="165"/>
      <c r="F420" s="25" t="s">
        <v>4</v>
      </c>
      <c r="G420" s="25" t="s">
        <v>4</v>
      </c>
      <c r="H420" s="25" t="s">
        <v>4</v>
      </c>
      <c r="I420" s="1">
        <f>SUM(I421:I423)</f>
        <v>0</v>
      </c>
      <c r="J420" s="1">
        <f>SUM(J421:J423)</f>
        <v>0</v>
      </c>
      <c r="K420" s="1">
        <f>SUM(K421:K423)</f>
        <v>0</v>
      </c>
      <c r="L420" s="26" t="s">
        <v>52</v>
      </c>
      <c r="AI420" s="9" t="s">
        <v>893</v>
      </c>
      <c r="AS420" s="1">
        <f>SUM(AJ421:AJ423)</f>
        <v>0</v>
      </c>
      <c r="AT420" s="1">
        <f>SUM(AK421:AK423)</f>
        <v>0</v>
      </c>
      <c r="AU420" s="1">
        <f>SUM(AL421:AL423)</f>
        <v>0</v>
      </c>
    </row>
    <row r="421" spans="1:75" ht="13.5" customHeight="1">
      <c r="A421" s="2" t="s">
        <v>911</v>
      </c>
      <c r="B421" s="3" t="s">
        <v>893</v>
      </c>
      <c r="C421" s="3" t="s">
        <v>145</v>
      </c>
      <c r="D421" s="148" t="s">
        <v>146</v>
      </c>
      <c r="E421" s="143"/>
      <c r="F421" s="3" t="s">
        <v>109</v>
      </c>
      <c r="G421" s="27">
        <v>8.954</v>
      </c>
      <c r="H421" s="27">
        <v>0</v>
      </c>
      <c r="I421" s="27">
        <f>G421*AO421</f>
        <v>0</v>
      </c>
      <c r="J421" s="27">
        <f>G421*AP421</f>
        <v>0</v>
      </c>
      <c r="K421" s="27">
        <f>G421*H421</f>
        <v>0</v>
      </c>
      <c r="L421" s="28" t="s">
        <v>137</v>
      </c>
      <c r="Z421" s="27">
        <f>IF(AQ421="5",BJ421,0)</f>
        <v>0</v>
      </c>
      <c r="AB421" s="27">
        <f>IF(AQ421="1",BH421,0)</f>
        <v>0</v>
      </c>
      <c r="AC421" s="27">
        <f>IF(AQ421="1",BI421,0)</f>
        <v>0</v>
      </c>
      <c r="AD421" s="27">
        <f>IF(AQ421="7",BH421,0)</f>
        <v>0</v>
      </c>
      <c r="AE421" s="27">
        <f>IF(AQ421="7",BI421,0)</f>
        <v>0</v>
      </c>
      <c r="AF421" s="27">
        <f>IF(AQ421="2",BH421,0)</f>
        <v>0</v>
      </c>
      <c r="AG421" s="27">
        <f>IF(AQ421="2",BI421,0)</f>
        <v>0</v>
      </c>
      <c r="AH421" s="27">
        <f>IF(AQ421="0",BJ421,0)</f>
        <v>0</v>
      </c>
      <c r="AI421" s="9" t="s">
        <v>893</v>
      </c>
      <c r="AJ421" s="27">
        <f>IF(AN421=0,K421,0)</f>
        <v>0</v>
      </c>
      <c r="AK421" s="27">
        <f>IF(AN421=12,K421,0)</f>
        <v>0</v>
      </c>
      <c r="AL421" s="27">
        <f>IF(AN421=21,K421,0)</f>
        <v>0</v>
      </c>
      <c r="AN421" s="27">
        <v>21</v>
      </c>
      <c r="AO421" s="27">
        <f>H421*0.33408382</f>
        <v>0</v>
      </c>
      <c r="AP421" s="27">
        <f>H421*(1-0.33408382)</f>
        <v>0</v>
      </c>
      <c r="AQ421" s="29" t="s">
        <v>57</v>
      </c>
      <c r="AV421" s="27">
        <f>AW421+AX421</f>
        <v>0</v>
      </c>
      <c r="AW421" s="27">
        <f>G421*AO421</f>
        <v>0</v>
      </c>
      <c r="AX421" s="27">
        <f>G421*AP421</f>
        <v>0</v>
      </c>
      <c r="AY421" s="29" t="s">
        <v>127</v>
      </c>
      <c r="AZ421" s="29" t="s">
        <v>912</v>
      </c>
      <c r="BA421" s="9" t="s">
        <v>899</v>
      </c>
      <c r="BC421" s="27">
        <f>AW421+AX421</f>
        <v>0</v>
      </c>
      <c r="BD421" s="27">
        <f>H421/(100-BE421)*100</f>
        <v>0</v>
      </c>
      <c r="BE421" s="27">
        <v>0</v>
      </c>
      <c r="BF421" s="27">
        <f>421</f>
        <v>421</v>
      </c>
      <c r="BH421" s="27">
        <f>G421*AO421</f>
        <v>0</v>
      </c>
      <c r="BI421" s="27">
        <f>G421*AP421</f>
        <v>0</v>
      </c>
      <c r="BJ421" s="27">
        <f>G421*H421</f>
        <v>0</v>
      </c>
      <c r="BK421" s="27"/>
      <c r="BL421" s="27">
        <v>61</v>
      </c>
      <c r="BW421" s="27">
        <v>21</v>
      </c>
    </row>
    <row r="422" spans="1:12" ht="15">
      <c r="A422" s="30"/>
      <c r="D422" s="32" t="s">
        <v>913</v>
      </c>
      <c r="E422" s="31" t="s">
        <v>914</v>
      </c>
      <c r="G422" s="33">
        <v>8.954</v>
      </c>
      <c r="L422" s="34"/>
    </row>
    <row r="423" spans="1:75" ht="13.5" customHeight="1">
      <c r="A423" s="2" t="s">
        <v>915</v>
      </c>
      <c r="B423" s="3" t="s">
        <v>893</v>
      </c>
      <c r="C423" s="3" t="s">
        <v>916</v>
      </c>
      <c r="D423" s="148" t="s">
        <v>917</v>
      </c>
      <c r="E423" s="143"/>
      <c r="F423" s="3" t="s">
        <v>95</v>
      </c>
      <c r="G423" s="27">
        <v>1.09253</v>
      </c>
      <c r="H423" s="27">
        <v>0</v>
      </c>
      <c r="I423" s="27">
        <f>G423*AO423</f>
        <v>0</v>
      </c>
      <c r="J423" s="27">
        <f>G423*AP423</f>
        <v>0</v>
      </c>
      <c r="K423" s="27">
        <f>G423*H423</f>
        <v>0</v>
      </c>
      <c r="L423" s="28" t="s">
        <v>137</v>
      </c>
      <c r="Z423" s="27">
        <f>IF(AQ423="5",BJ423,0)</f>
        <v>0</v>
      </c>
      <c r="AB423" s="27">
        <f>IF(AQ423="1",BH423,0)</f>
        <v>0</v>
      </c>
      <c r="AC423" s="27">
        <f>IF(AQ423="1",BI423,0)</f>
        <v>0</v>
      </c>
      <c r="AD423" s="27">
        <f>IF(AQ423="7",BH423,0)</f>
        <v>0</v>
      </c>
      <c r="AE423" s="27">
        <f>IF(AQ423="7",BI423,0)</f>
        <v>0</v>
      </c>
      <c r="AF423" s="27">
        <f>IF(AQ423="2",BH423,0)</f>
        <v>0</v>
      </c>
      <c r="AG423" s="27">
        <f>IF(AQ423="2",BI423,0)</f>
        <v>0</v>
      </c>
      <c r="AH423" s="27">
        <f>IF(AQ423="0",BJ423,0)</f>
        <v>0</v>
      </c>
      <c r="AI423" s="9" t="s">
        <v>893</v>
      </c>
      <c r="AJ423" s="27">
        <f>IF(AN423=0,K423,0)</f>
        <v>0</v>
      </c>
      <c r="AK423" s="27">
        <f>IF(AN423=12,K423,0)</f>
        <v>0</v>
      </c>
      <c r="AL423" s="27">
        <f>IF(AN423=21,K423,0)</f>
        <v>0</v>
      </c>
      <c r="AN423" s="27">
        <v>21</v>
      </c>
      <c r="AO423" s="27">
        <f>H423*0</f>
        <v>0</v>
      </c>
      <c r="AP423" s="27">
        <f>H423*(1-0)</f>
        <v>0</v>
      </c>
      <c r="AQ423" s="29" t="s">
        <v>78</v>
      </c>
      <c r="AV423" s="27">
        <f>AW423+AX423</f>
        <v>0</v>
      </c>
      <c r="AW423" s="27">
        <f>G423*AO423</f>
        <v>0</v>
      </c>
      <c r="AX423" s="27">
        <f>G423*AP423</f>
        <v>0</v>
      </c>
      <c r="AY423" s="29" t="s">
        <v>127</v>
      </c>
      <c r="AZ423" s="29" t="s">
        <v>912</v>
      </c>
      <c r="BA423" s="9" t="s">
        <v>899</v>
      </c>
      <c r="BC423" s="27">
        <f>AW423+AX423</f>
        <v>0</v>
      </c>
      <c r="BD423" s="27">
        <f>H423/(100-BE423)*100</f>
        <v>0</v>
      </c>
      <c r="BE423" s="27">
        <v>0</v>
      </c>
      <c r="BF423" s="27">
        <f>423</f>
        <v>423</v>
      </c>
      <c r="BH423" s="27">
        <f>G423*AO423</f>
        <v>0</v>
      </c>
      <c r="BI423" s="27">
        <f>G423*AP423</f>
        <v>0</v>
      </c>
      <c r="BJ423" s="27">
        <f>G423*H423</f>
        <v>0</v>
      </c>
      <c r="BK423" s="27"/>
      <c r="BL423" s="27">
        <v>61</v>
      </c>
      <c r="BW423" s="27">
        <v>21</v>
      </c>
    </row>
    <row r="424" spans="1:47" ht="15">
      <c r="A424" s="23" t="s">
        <v>52</v>
      </c>
      <c r="B424" s="24" t="s">
        <v>893</v>
      </c>
      <c r="C424" s="24" t="s">
        <v>532</v>
      </c>
      <c r="D424" s="164" t="s">
        <v>533</v>
      </c>
      <c r="E424" s="165"/>
      <c r="F424" s="25" t="s">
        <v>4</v>
      </c>
      <c r="G424" s="25" t="s">
        <v>4</v>
      </c>
      <c r="H424" s="25" t="s">
        <v>4</v>
      </c>
      <c r="I424" s="1">
        <f>SUM(I425:I432)</f>
        <v>0</v>
      </c>
      <c r="J424" s="1">
        <f>SUM(J425:J432)</f>
        <v>0</v>
      </c>
      <c r="K424" s="1">
        <f>SUM(K425:K432)</f>
        <v>0</v>
      </c>
      <c r="L424" s="26" t="s">
        <v>52</v>
      </c>
      <c r="AI424" s="9" t="s">
        <v>893</v>
      </c>
      <c r="AS424" s="1">
        <f>SUM(AJ425:AJ432)</f>
        <v>0</v>
      </c>
      <c r="AT424" s="1">
        <f>SUM(AK425:AK432)</f>
        <v>0</v>
      </c>
      <c r="AU424" s="1">
        <f>SUM(AL425:AL432)</f>
        <v>0</v>
      </c>
    </row>
    <row r="425" spans="1:75" ht="13.5" customHeight="1">
      <c r="A425" s="2" t="s">
        <v>918</v>
      </c>
      <c r="B425" s="3" t="s">
        <v>893</v>
      </c>
      <c r="C425" s="3" t="s">
        <v>919</v>
      </c>
      <c r="D425" s="148" t="s">
        <v>920</v>
      </c>
      <c r="E425" s="143"/>
      <c r="F425" s="3" t="s">
        <v>126</v>
      </c>
      <c r="G425" s="27">
        <v>21.41</v>
      </c>
      <c r="H425" s="27">
        <v>0</v>
      </c>
      <c r="I425" s="27">
        <f>G425*AO425</f>
        <v>0</v>
      </c>
      <c r="J425" s="27">
        <f>G425*AP425</f>
        <v>0</v>
      </c>
      <c r="K425" s="27">
        <f>G425*H425</f>
        <v>0</v>
      </c>
      <c r="L425" s="28" t="s">
        <v>137</v>
      </c>
      <c r="Z425" s="27">
        <f>IF(AQ425="5",BJ425,0)</f>
        <v>0</v>
      </c>
      <c r="AB425" s="27">
        <f>IF(AQ425="1",BH425,0)</f>
        <v>0</v>
      </c>
      <c r="AC425" s="27">
        <f>IF(AQ425="1",BI425,0)</f>
        <v>0</v>
      </c>
      <c r="AD425" s="27">
        <f>IF(AQ425="7",BH425,0)</f>
        <v>0</v>
      </c>
      <c r="AE425" s="27">
        <f>IF(AQ425="7",BI425,0)</f>
        <v>0</v>
      </c>
      <c r="AF425" s="27">
        <f>IF(AQ425="2",BH425,0)</f>
        <v>0</v>
      </c>
      <c r="AG425" s="27">
        <f>IF(AQ425="2",BI425,0)</f>
        <v>0</v>
      </c>
      <c r="AH425" s="27">
        <f>IF(AQ425="0",BJ425,0)</f>
        <v>0</v>
      </c>
      <c r="AI425" s="9" t="s">
        <v>893</v>
      </c>
      <c r="AJ425" s="27">
        <f>IF(AN425=0,K425,0)</f>
        <v>0</v>
      </c>
      <c r="AK425" s="27">
        <f>IF(AN425=12,K425,0)</f>
        <v>0</v>
      </c>
      <c r="AL425" s="27">
        <f>IF(AN425=21,K425,0)</f>
        <v>0</v>
      </c>
      <c r="AN425" s="27">
        <v>21</v>
      </c>
      <c r="AO425" s="27">
        <f>H425*0</f>
        <v>0</v>
      </c>
      <c r="AP425" s="27">
        <f>H425*(1-0)</f>
        <v>0</v>
      </c>
      <c r="AQ425" s="29" t="s">
        <v>84</v>
      </c>
      <c r="AV425" s="27">
        <f>AW425+AX425</f>
        <v>0</v>
      </c>
      <c r="AW425" s="27">
        <f>G425*AO425</f>
        <v>0</v>
      </c>
      <c r="AX425" s="27">
        <f>G425*AP425</f>
        <v>0</v>
      </c>
      <c r="AY425" s="29" t="s">
        <v>537</v>
      </c>
      <c r="AZ425" s="29" t="s">
        <v>921</v>
      </c>
      <c r="BA425" s="9" t="s">
        <v>899</v>
      </c>
      <c r="BC425" s="27">
        <f>AW425+AX425</f>
        <v>0</v>
      </c>
      <c r="BD425" s="27">
        <f>H425/(100-BE425)*100</f>
        <v>0</v>
      </c>
      <c r="BE425" s="27">
        <v>0</v>
      </c>
      <c r="BF425" s="27">
        <f>425</f>
        <v>425</v>
      </c>
      <c r="BH425" s="27">
        <f>G425*AO425</f>
        <v>0</v>
      </c>
      <c r="BI425" s="27">
        <f>G425*AP425</f>
        <v>0</v>
      </c>
      <c r="BJ425" s="27">
        <f>G425*H425</f>
        <v>0</v>
      </c>
      <c r="BK425" s="27"/>
      <c r="BL425" s="27">
        <v>713</v>
      </c>
      <c r="BW425" s="27">
        <v>21</v>
      </c>
    </row>
    <row r="426" spans="1:12" ht="13.5" customHeight="1">
      <c r="A426" s="30"/>
      <c r="D426" s="166" t="s">
        <v>922</v>
      </c>
      <c r="E426" s="167"/>
      <c r="F426" s="167"/>
      <c r="G426" s="167"/>
      <c r="H426" s="167"/>
      <c r="I426" s="167"/>
      <c r="J426" s="167"/>
      <c r="K426" s="167"/>
      <c r="L426" s="168"/>
    </row>
    <row r="427" spans="1:12" ht="15">
      <c r="A427" s="30"/>
      <c r="D427" s="32" t="s">
        <v>923</v>
      </c>
      <c r="E427" s="31" t="s">
        <v>924</v>
      </c>
      <c r="G427" s="33">
        <v>21.41</v>
      </c>
      <c r="L427" s="34"/>
    </row>
    <row r="428" spans="1:75" ht="13.5" customHeight="1">
      <c r="A428" s="60" t="s">
        <v>925</v>
      </c>
      <c r="B428" s="61" t="s">
        <v>893</v>
      </c>
      <c r="C428" s="61" t="s">
        <v>926</v>
      </c>
      <c r="D428" s="179" t="s">
        <v>927</v>
      </c>
      <c r="E428" s="180"/>
      <c r="F428" s="61" t="s">
        <v>126</v>
      </c>
      <c r="G428" s="62">
        <v>23.551</v>
      </c>
      <c r="H428" s="62">
        <v>0</v>
      </c>
      <c r="I428" s="62">
        <f>G428*AO428</f>
        <v>0</v>
      </c>
      <c r="J428" s="62">
        <f>G428*AP428</f>
        <v>0</v>
      </c>
      <c r="K428" s="62">
        <f>G428*H428</f>
        <v>0</v>
      </c>
      <c r="L428" s="63" t="s">
        <v>137</v>
      </c>
      <c r="Z428" s="27">
        <f>IF(AQ428="5",BJ428,0)</f>
        <v>0</v>
      </c>
      <c r="AB428" s="27">
        <f>IF(AQ428="1",BH428,0)</f>
        <v>0</v>
      </c>
      <c r="AC428" s="27">
        <f>IF(AQ428="1",BI428,0)</f>
        <v>0</v>
      </c>
      <c r="AD428" s="27">
        <f>IF(AQ428="7",BH428,0)</f>
        <v>0</v>
      </c>
      <c r="AE428" s="27">
        <f>IF(AQ428="7",BI428,0)</f>
        <v>0</v>
      </c>
      <c r="AF428" s="27">
        <f>IF(AQ428="2",BH428,0)</f>
        <v>0</v>
      </c>
      <c r="AG428" s="27">
        <f>IF(AQ428="2",BI428,0)</f>
        <v>0</v>
      </c>
      <c r="AH428" s="27">
        <f>IF(AQ428="0",BJ428,0)</f>
        <v>0</v>
      </c>
      <c r="AI428" s="9" t="s">
        <v>893</v>
      </c>
      <c r="AJ428" s="62">
        <f>IF(AN428=0,K428,0)</f>
        <v>0</v>
      </c>
      <c r="AK428" s="62">
        <f>IF(AN428=12,K428,0)</f>
        <v>0</v>
      </c>
      <c r="AL428" s="62">
        <f>IF(AN428=21,K428,0)</f>
        <v>0</v>
      </c>
      <c r="AN428" s="27">
        <v>21</v>
      </c>
      <c r="AO428" s="27">
        <f>H428*1</f>
        <v>0</v>
      </c>
      <c r="AP428" s="27">
        <f>H428*(1-1)</f>
        <v>0</v>
      </c>
      <c r="AQ428" s="64" t="s">
        <v>84</v>
      </c>
      <c r="AV428" s="27">
        <f>AW428+AX428</f>
        <v>0</v>
      </c>
      <c r="AW428" s="27">
        <f>G428*AO428</f>
        <v>0</v>
      </c>
      <c r="AX428" s="27">
        <f>G428*AP428</f>
        <v>0</v>
      </c>
      <c r="AY428" s="29" t="s">
        <v>537</v>
      </c>
      <c r="AZ428" s="29" t="s">
        <v>921</v>
      </c>
      <c r="BA428" s="9" t="s">
        <v>899</v>
      </c>
      <c r="BC428" s="27">
        <f>AW428+AX428</f>
        <v>0</v>
      </c>
      <c r="BD428" s="27">
        <f>H428/(100-BE428)*100</f>
        <v>0</v>
      </c>
      <c r="BE428" s="27">
        <v>0</v>
      </c>
      <c r="BF428" s="27">
        <f>428</f>
        <v>428</v>
      </c>
      <c r="BH428" s="62">
        <f>G428*AO428</f>
        <v>0</v>
      </c>
      <c r="BI428" s="62">
        <f>G428*AP428</f>
        <v>0</v>
      </c>
      <c r="BJ428" s="62">
        <f>G428*H428</f>
        <v>0</v>
      </c>
      <c r="BK428" s="62"/>
      <c r="BL428" s="27">
        <v>713</v>
      </c>
      <c r="BW428" s="27">
        <v>21</v>
      </c>
    </row>
    <row r="429" spans="1:12" ht="15">
      <c r="A429" s="30"/>
      <c r="D429" s="32" t="s">
        <v>923</v>
      </c>
      <c r="E429" s="31" t="s">
        <v>924</v>
      </c>
      <c r="G429" s="33">
        <v>21.41</v>
      </c>
      <c r="L429" s="34"/>
    </row>
    <row r="430" spans="1:12" ht="15">
      <c r="A430" s="30"/>
      <c r="D430" s="32" t="s">
        <v>928</v>
      </c>
      <c r="E430" s="31" t="s">
        <v>52</v>
      </c>
      <c r="G430" s="33">
        <v>2.141</v>
      </c>
      <c r="L430" s="34"/>
    </row>
    <row r="431" spans="1:12" ht="13.5" customHeight="1">
      <c r="A431" s="30"/>
      <c r="C431" s="35" t="s">
        <v>102</v>
      </c>
      <c r="D431" s="166" t="s">
        <v>929</v>
      </c>
      <c r="E431" s="167"/>
      <c r="F431" s="167"/>
      <c r="G431" s="167"/>
      <c r="H431" s="167"/>
      <c r="I431" s="167"/>
      <c r="J431" s="167"/>
      <c r="K431" s="167"/>
      <c r="L431" s="168"/>
    </row>
    <row r="432" spans="1:75" ht="13.5" customHeight="1">
      <c r="A432" s="2" t="s">
        <v>930</v>
      </c>
      <c r="B432" s="3" t="s">
        <v>893</v>
      </c>
      <c r="C432" s="3" t="s">
        <v>931</v>
      </c>
      <c r="D432" s="148" t="s">
        <v>932</v>
      </c>
      <c r="E432" s="143"/>
      <c r="F432" s="3" t="s">
        <v>154</v>
      </c>
      <c r="G432" s="27">
        <v>1</v>
      </c>
      <c r="H432" s="27">
        <v>0</v>
      </c>
      <c r="I432" s="27">
        <f>G432*AO432</f>
        <v>0</v>
      </c>
      <c r="J432" s="27">
        <f>G432*AP432</f>
        <v>0</v>
      </c>
      <c r="K432" s="27">
        <f>G432*H432</f>
        <v>0</v>
      </c>
      <c r="L432" s="28" t="s">
        <v>137</v>
      </c>
      <c r="Z432" s="27">
        <f>IF(AQ432="5",BJ432,0)</f>
        <v>0</v>
      </c>
      <c r="AB432" s="27">
        <f>IF(AQ432="1",BH432,0)</f>
        <v>0</v>
      </c>
      <c r="AC432" s="27">
        <f>IF(AQ432="1",BI432,0)</f>
        <v>0</v>
      </c>
      <c r="AD432" s="27">
        <f>IF(AQ432="7",BH432,0)</f>
        <v>0</v>
      </c>
      <c r="AE432" s="27">
        <f>IF(AQ432="7",BI432,0)</f>
        <v>0</v>
      </c>
      <c r="AF432" s="27">
        <f>IF(AQ432="2",BH432,0)</f>
        <v>0</v>
      </c>
      <c r="AG432" s="27">
        <f>IF(AQ432="2",BI432,0)</f>
        <v>0</v>
      </c>
      <c r="AH432" s="27">
        <f>IF(AQ432="0",BJ432,0)</f>
        <v>0</v>
      </c>
      <c r="AI432" s="9" t="s">
        <v>893</v>
      </c>
      <c r="AJ432" s="27">
        <f>IF(AN432=0,K432,0)</f>
        <v>0</v>
      </c>
      <c r="AK432" s="27">
        <f>IF(AN432=12,K432,0)</f>
        <v>0</v>
      </c>
      <c r="AL432" s="27">
        <f>IF(AN432=21,K432,0)</f>
        <v>0</v>
      </c>
      <c r="AN432" s="27">
        <v>21</v>
      </c>
      <c r="AO432" s="27">
        <f>H432*0.76852917</f>
        <v>0</v>
      </c>
      <c r="AP432" s="27">
        <f>H432*(1-0.76852917)</f>
        <v>0</v>
      </c>
      <c r="AQ432" s="29" t="s">
        <v>84</v>
      </c>
      <c r="AV432" s="27">
        <f>AW432+AX432</f>
        <v>0</v>
      </c>
      <c r="AW432" s="27">
        <f>G432*AO432</f>
        <v>0</v>
      </c>
      <c r="AX432" s="27">
        <f>G432*AP432</f>
        <v>0</v>
      </c>
      <c r="AY432" s="29" t="s">
        <v>537</v>
      </c>
      <c r="AZ432" s="29" t="s">
        <v>921</v>
      </c>
      <c r="BA432" s="9" t="s">
        <v>899</v>
      </c>
      <c r="BC432" s="27">
        <f>AW432+AX432</f>
        <v>0</v>
      </c>
      <c r="BD432" s="27">
        <f>H432/(100-BE432)*100</f>
        <v>0</v>
      </c>
      <c r="BE432" s="27">
        <v>0</v>
      </c>
      <c r="BF432" s="27">
        <f>432</f>
        <v>432</v>
      </c>
      <c r="BH432" s="27">
        <f>G432*AO432</f>
        <v>0</v>
      </c>
      <c r="BI432" s="27">
        <f>G432*AP432</f>
        <v>0</v>
      </c>
      <c r="BJ432" s="27">
        <f>G432*H432</f>
        <v>0</v>
      </c>
      <c r="BK432" s="27"/>
      <c r="BL432" s="27">
        <v>713</v>
      </c>
      <c r="BW432" s="27">
        <v>21</v>
      </c>
    </row>
    <row r="433" spans="1:12" ht="13.5" customHeight="1">
      <c r="A433" s="30"/>
      <c r="D433" s="166" t="s">
        <v>933</v>
      </c>
      <c r="E433" s="167"/>
      <c r="F433" s="167"/>
      <c r="G433" s="167"/>
      <c r="H433" s="167"/>
      <c r="I433" s="167"/>
      <c r="J433" s="167"/>
      <c r="K433" s="167"/>
      <c r="L433" s="168"/>
    </row>
    <row r="434" spans="1:12" ht="15">
      <c r="A434" s="30"/>
      <c r="D434" s="32" t="s">
        <v>57</v>
      </c>
      <c r="E434" s="31" t="s">
        <v>934</v>
      </c>
      <c r="G434" s="33">
        <v>1</v>
      </c>
      <c r="L434" s="34"/>
    </row>
    <row r="435" spans="1:47" ht="15">
      <c r="A435" s="23" t="s">
        <v>52</v>
      </c>
      <c r="B435" s="24" t="s">
        <v>893</v>
      </c>
      <c r="C435" s="24" t="s">
        <v>935</v>
      </c>
      <c r="D435" s="164" t="s">
        <v>936</v>
      </c>
      <c r="E435" s="165"/>
      <c r="F435" s="25" t="s">
        <v>4</v>
      </c>
      <c r="G435" s="25" t="s">
        <v>4</v>
      </c>
      <c r="H435" s="25" t="s">
        <v>4</v>
      </c>
      <c r="I435" s="1">
        <f>SUM(I436:I436)</f>
        <v>0</v>
      </c>
      <c r="J435" s="1">
        <f>SUM(J436:J436)</f>
        <v>0</v>
      </c>
      <c r="K435" s="1">
        <f>SUM(K436:K436)</f>
        <v>0</v>
      </c>
      <c r="L435" s="26" t="s">
        <v>52</v>
      </c>
      <c r="AI435" s="9" t="s">
        <v>893</v>
      </c>
      <c r="AS435" s="1">
        <f>SUM(AJ436:AJ436)</f>
        <v>0</v>
      </c>
      <c r="AT435" s="1">
        <f>SUM(AK436:AK436)</f>
        <v>0</v>
      </c>
      <c r="AU435" s="1">
        <f>SUM(AL436:AL436)</f>
        <v>0</v>
      </c>
    </row>
    <row r="436" spans="1:75" ht="13.5" customHeight="1">
      <c r="A436" s="2" t="s">
        <v>937</v>
      </c>
      <c r="B436" s="3" t="s">
        <v>893</v>
      </c>
      <c r="C436" s="3" t="s">
        <v>938</v>
      </c>
      <c r="D436" s="148" t="s">
        <v>939</v>
      </c>
      <c r="E436" s="143"/>
      <c r="F436" s="3" t="s">
        <v>940</v>
      </c>
      <c r="G436" s="27">
        <v>1</v>
      </c>
      <c r="H436" s="27">
        <v>0</v>
      </c>
      <c r="I436" s="27">
        <f>G436*AO436</f>
        <v>0</v>
      </c>
      <c r="J436" s="27">
        <f>G436*AP436</f>
        <v>0</v>
      </c>
      <c r="K436" s="27">
        <f>G436*H436</f>
        <v>0</v>
      </c>
      <c r="L436" s="28" t="s">
        <v>70</v>
      </c>
      <c r="Z436" s="27">
        <f>IF(AQ436="5",BJ436,0)</f>
        <v>0</v>
      </c>
      <c r="AB436" s="27">
        <f>IF(AQ436="1",BH436,0)</f>
        <v>0</v>
      </c>
      <c r="AC436" s="27">
        <f>IF(AQ436="1",BI436,0)</f>
        <v>0</v>
      </c>
      <c r="AD436" s="27">
        <f>IF(AQ436="7",BH436,0)</f>
        <v>0</v>
      </c>
      <c r="AE436" s="27">
        <f>IF(AQ436="7",BI436,0)</f>
        <v>0</v>
      </c>
      <c r="AF436" s="27">
        <f>IF(AQ436="2",BH436,0)</f>
        <v>0</v>
      </c>
      <c r="AG436" s="27">
        <f>IF(AQ436="2",BI436,0)</f>
        <v>0</v>
      </c>
      <c r="AH436" s="27">
        <f>IF(AQ436="0",BJ436,0)</f>
        <v>0</v>
      </c>
      <c r="AI436" s="9" t="s">
        <v>893</v>
      </c>
      <c r="AJ436" s="27">
        <f>IF(AN436=0,K436,0)</f>
        <v>0</v>
      </c>
      <c r="AK436" s="27">
        <f>IF(AN436=12,K436,0)</f>
        <v>0</v>
      </c>
      <c r="AL436" s="27">
        <f>IF(AN436=21,K436,0)</f>
        <v>0</v>
      </c>
      <c r="AN436" s="27">
        <v>21</v>
      </c>
      <c r="AO436" s="27">
        <f>H436*0</f>
        <v>0</v>
      </c>
      <c r="AP436" s="27">
        <f>H436*(1-0)</f>
        <v>0</v>
      </c>
      <c r="AQ436" s="29" t="s">
        <v>84</v>
      </c>
      <c r="AV436" s="27">
        <f>AW436+AX436</f>
        <v>0</v>
      </c>
      <c r="AW436" s="27">
        <f>G436*AO436</f>
        <v>0</v>
      </c>
      <c r="AX436" s="27">
        <f>G436*AP436</f>
        <v>0</v>
      </c>
      <c r="AY436" s="29" t="s">
        <v>941</v>
      </c>
      <c r="AZ436" s="29" t="s">
        <v>942</v>
      </c>
      <c r="BA436" s="9" t="s">
        <v>899</v>
      </c>
      <c r="BC436" s="27">
        <f>AW436+AX436</f>
        <v>0</v>
      </c>
      <c r="BD436" s="27">
        <f>H436/(100-BE436)*100</f>
        <v>0</v>
      </c>
      <c r="BE436" s="27">
        <v>0</v>
      </c>
      <c r="BF436" s="27">
        <f>436</f>
        <v>436</v>
      </c>
      <c r="BH436" s="27">
        <f>G436*AO436</f>
        <v>0</v>
      </c>
      <c r="BI436" s="27">
        <f>G436*AP436</f>
        <v>0</v>
      </c>
      <c r="BJ436" s="27">
        <f>G436*H436</f>
        <v>0</v>
      </c>
      <c r="BK436" s="27"/>
      <c r="BL436" s="27">
        <v>728</v>
      </c>
      <c r="BW436" s="27">
        <v>21</v>
      </c>
    </row>
    <row r="437" spans="1:12" ht="27" customHeight="1">
      <c r="A437" s="30"/>
      <c r="D437" s="166" t="s">
        <v>943</v>
      </c>
      <c r="E437" s="167"/>
      <c r="F437" s="167"/>
      <c r="G437" s="167"/>
      <c r="H437" s="167"/>
      <c r="I437" s="167"/>
      <c r="J437" s="167"/>
      <c r="K437" s="167"/>
      <c r="L437" s="168"/>
    </row>
    <row r="438" spans="1:12" ht="15">
      <c r="A438" s="30"/>
      <c r="D438" s="32" t="s">
        <v>57</v>
      </c>
      <c r="E438" s="31" t="s">
        <v>944</v>
      </c>
      <c r="G438" s="33">
        <v>1</v>
      </c>
      <c r="L438" s="34"/>
    </row>
    <row r="439" spans="1:12" ht="13.5" customHeight="1">
      <c r="A439" s="30"/>
      <c r="C439" s="35" t="s">
        <v>102</v>
      </c>
      <c r="D439" s="166" t="s">
        <v>945</v>
      </c>
      <c r="E439" s="167"/>
      <c r="F439" s="167"/>
      <c r="G439" s="167"/>
      <c r="H439" s="167"/>
      <c r="I439" s="167"/>
      <c r="J439" s="167"/>
      <c r="K439" s="167"/>
      <c r="L439" s="168"/>
    </row>
    <row r="440" spans="1:47" ht="15">
      <c r="A440" s="23" t="s">
        <v>52</v>
      </c>
      <c r="B440" s="24" t="s">
        <v>893</v>
      </c>
      <c r="C440" s="24" t="s">
        <v>946</v>
      </c>
      <c r="D440" s="164" t="s">
        <v>947</v>
      </c>
      <c r="E440" s="165"/>
      <c r="F440" s="25" t="s">
        <v>4</v>
      </c>
      <c r="G440" s="25" t="s">
        <v>4</v>
      </c>
      <c r="H440" s="25" t="s">
        <v>4</v>
      </c>
      <c r="I440" s="1">
        <f>SUM(I441:I448)</f>
        <v>0</v>
      </c>
      <c r="J440" s="1">
        <f>SUM(J441:J448)</f>
        <v>0</v>
      </c>
      <c r="K440" s="1">
        <f>SUM(K441:K448)</f>
        <v>0</v>
      </c>
      <c r="L440" s="26" t="s">
        <v>52</v>
      </c>
      <c r="AI440" s="9" t="s">
        <v>893</v>
      </c>
      <c r="AS440" s="1">
        <f>SUM(AJ441:AJ448)</f>
        <v>0</v>
      </c>
      <c r="AT440" s="1">
        <f>SUM(AK441:AK448)</f>
        <v>0</v>
      </c>
      <c r="AU440" s="1">
        <f>SUM(AL441:AL448)</f>
        <v>0</v>
      </c>
    </row>
    <row r="441" spans="1:75" ht="13.5" customHeight="1">
      <c r="A441" s="2" t="s">
        <v>948</v>
      </c>
      <c r="B441" s="3" t="s">
        <v>893</v>
      </c>
      <c r="C441" s="3" t="s">
        <v>949</v>
      </c>
      <c r="D441" s="148" t="s">
        <v>950</v>
      </c>
      <c r="E441" s="143"/>
      <c r="F441" s="3" t="s">
        <v>951</v>
      </c>
      <c r="G441" s="27">
        <v>191.85</v>
      </c>
      <c r="H441" s="27">
        <v>0</v>
      </c>
      <c r="I441" s="27">
        <f>G441*AO441</f>
        <v>0</v>
      </c>
      <c r="J441" s="27">
        <f>G441*AP441</f>
        <v>0</v>
      </c>
      <c r="K441" s="27">
        <f>G441*H441</f>
        <v>0</v>
      </c>
      <c r="L441" s="28" t="s">
        <v>137</v>
      </c>
      <c r="Z441" s="27">
        <f>IF(AQ441="5",BJ441,0)</f>
        <v>0</v>
      </c>
      <c r="AB441" s="27">
        <f>IF(AQ441="1",BH441,0)</f>
        <v>0</v>
      </c>
      <c r="AC441" s="27">
        <f>IF(AQ441="1",BI441,0)</f>
        <v>0</v>
      </c>
      <c r="AD441" s="27">
        <f>IF(AQ441="7",BH441,0)</f>
        <v>0</v>
      </c>
      <c r="AE441" s="27">
        <f>IF(AQ441="7",BI441,0)</f>
        <v>0</v>
      </c>
      <c r="AF441" s="27">
        <f>IF(AQ441="2",BH441,0)</f>
        <v>0</v>
      </c>
      <c r="AG441" s="27">
        <f>IF(AQ441="2",BI441,0)</f>
        <v>0</v>
      </c>
      <c r="AH441" s="27">
        <f>IF(AQ441="0",BJ441,0)</f>
        <v>0</v>
      </c>
      <c r="AI441" s="9" t="s">
        <v>893</v>
      </c>
      <c r="AJ441" s="27">
        <f>IF(AN441=0,K441,0)</f>
        <v>0</v>
      </c>
      <c r="AK441" s="27">
        <f>IF(AN441=12,K441,0)</f>
        <v>0</v>
      </c>
      <c r="AL441" s="27">
        <f>IF(AN441=21,K441,0)</f>
        <v>0</v>
      </c>
      <c r="AN441" s="27">
        <v>21</v>
      </c>
      <c r="AO441" s="27">
        <f>H441*0</f>
        <v>0</v>
      </c>
      <c r="AP441" s="27">
        <f>H441*(1-0)</f>
        <v>0</v>
      </c>
      <c r="AQ441" s="29" t="s">
        <v>78</v>
      </c>
      <c r="AV441" s="27">
        <f>AW441+AX441</f>
        <v>0</v>
      </c>
      <c r="AW441" s="27">
        <f>G441*AO441</f>
        <v>0</v>
      </c>
      <c r="AX441" s="27">
        <f>G441*AP441</f>
        <v>0</v>
      </c>
      <c r="AY441" s="29" t="s">
        <v>952</v>
      </c>
      <c r="AZ441" s="29" t="s">
        <v>953</v>
      </c>
      <c r="BA441" s="9" t="s">
        <v>899</v>
      </c>
      <c r="BC441" s="27">
        <f>AW441+AX441</f>
        <v>0</v>
      </c>
      <c r="BD441" s="27">
        <f>H441/(100-BE441)*100</f>
        <v>0</v>
      </c>
      <c r="BE441" s="27">
        <v>0</v>
      </c>
      <c r="BF441" s="27">
        <f>441</f>
        <v>441</v>
      </c>
      <c r="BH441" s="27">
        <f>G441*AO441</f>
        <v>0</v>
      </c>
      <c r="BI441" s="27">
        <f>G441*AP441</f>
        <v>0</v>
      </c>
      <c r="BJ441" s="27">
        <f>G441*H441</f>
        <v>0</v>
      </c>
      <c r="BK441" s="27"/>
      <c r="BL441" s="27">
        <v>766</v>
      </c>
      <c r="BW441" s="27">
        <v>21</v>
      </c>
    </row>
    <row r="442" spans="1:12" ht="15">
      <c r="A442" s="30"/>
      <c r="D442" s="32" t="s">
        <v>954</v>
      </c>
      <c r="E442" s="31" t="s">
        <v>52</v>
      </c>
      <c r="G442" s="33">
        <v>191.85</v>
      </c>
      <c r="L442" s="34"/>
    </row>
    <row r="443" spans="1:75" ht="13.5" customHeight="1">
      <c r="A443" s="60" t="s">
        <v>955</v>
      </c>
      <c r="B443" s="61" t="s">
        <v>893</v>
      </c>
      <c r="C443" s="61" t="s">
        <v>956</v>
      </c>
      <c r="D443" s="179" t="s">
        <v>957</v>
      </c>
      <c r="E443" s="180"/>
      <c r="F443" s="61" t="s">
        <v>154</v>
      </c>
      <c r="G443" s="62">
        <v>1</v>
      </c>
      <c r="H443" s="62">
        <v>0</v>
      </c>
      <c r="I443" s="62">
        <f>G443*AO443</f>
        <v>0</v>
      </c>
      <c r="J443" s="62">
        <f>G443*AP443</f>
        <v>0</v>
      </c>
      <c r="K443" s="62">
        <f>G443*H443</f>
        <v>0</v>
      </c>
      <c r="L443" s="63" t="s">
        <v>137</v>
      </c>
      <c r="Z443" s="27">
        <f>IF(AQ443="5",BJ443,0)</f>
        <v>0</v>
      </c>
      <c r="AB443" s="27">
        <f>IF(AQ443="1",BH443,0)</f>
        <v>0</v>
      </c>
      <c r="AC443" s="27">
        <f>IF(AQ443="1",BI443,0)</f>
        <v>0</v>
      </c>
      <c r="AD443" s="27">
        <f>IF(AQ443="7",BH443,0)</f>
        <v>0</v>
      </c>
      <c r="AE443" s="27">
        <f>IF(AQ443="7",BI443,0)</f>
        <v>0</v>
      </c>
      <c r="AF443" s="27">
        <f>IF(AQ443="2",BH443,0)</f>
        <v>0</v>
      </c>
      <c r="AG443" s="27">
        <f>IF(AQ443="2",BI443,0)</f>
        <v>0</v>
      </c>
      <c r="AH443" s="27">
        <f>IF(AQ443="0",BJ443,0)</f>
        <v>0</v>
      </c>
      <c r="AI443" s="9" t="s">
        <v>893</v>
      </c>
      <c r="AJ443" s="62">
        <f>IF(AN443=0,K443,0)</f>
        <v>0</v>
      </c>
      <c r="AK443" s="62">
        <f>IF(AN443=12,K443,0)</f>
        <v>0</v>
      </c>
      <c r="AL443" s="62">
        <f>IF(AN443=21,K443,0)</f>
        <v>0</v>
      </c>
      <c r="AN443" s="27">
        <v>21</v>
      </c>
      <c r="AO443" s="27">
        <f>H443*1</f>
        <v>0</v>
      </c>
      <c r="AP443" s="27">
        <f>H443*(1-1)</f>
        <v>0</v>
      </c>
      <c r="AQ443" s="64" t="s">
        <v>84</v>
      </c>
      <c r="AV443" s="27">
        <f>AW443+AX443</f>
        <v>0</v>
      </c>
      <c r="AW443" s="27">
        <f>G443*AO443</f>
        <v>0</v>
      </c>
      <c r="AX443" s="27">
        <f>G443*AP443</f>
        <v>0</v>
      </c>
      <c r="AY443" s="29" t="s">
        <v>952</v>
      </c>
      <c r="AZ443" s="29" t="s">
        <v>953</v>
      </c>
      <c r="BA443" s="9" t="s">
        <v>899</v>
      </c>
      <c r="BC443" s="27">
        <f>AW443+AX443</f>
        <v>0</v>
      </c>
      <c r="BD443" s="27">
        <f>H443/(100-BE443)*100</f>
        <v>0</v>
      </c>
      <c r="BE443" s="27">
        <v>0</v>
      </c>
      <c r="BF443" s="27">
        <f>443</f>
        <v>443</v>
      </c>
      <c r="BH443" s="62">
        <f>G443*AO443</f>
        <v>0</v>
      </c>
      <c r="BI443" s="62">
        <f>G443*AP443</f>
        <v>0</v>
      </c>
      <c r="BJ443" s="62">
        <f>G443*H443</f>
        <v>0</v>
      </c>
      <c r="BK443" s="62"/>
      <c r="BL443" s="27">
        <v>766</v>
      </c>
      <c r="BW443" s="27">
        <v>21</v>
      </c>
    </row>
    <row r="444" spans="1:12" ht="15">
      <c r="A444" s="30"/>
      <c r="D444" s="32" t="s">
        <v>57</v>
      </c>
      <c r="E444" s="31" t="s">
        <v>958</v>
      </c>
      <c r="G444" s="33">
        <v>1</v>
      </c>
      <c r="L444" s="34"/>
    </row>
    <row r="445" spans="1:12" ht="13.5" customHeight="1">
      <c r="A445" s="30"/>
      <c r="C445" s="35" t="s">
        <v>102</v>
      </c>
      <c r="D445" s="166" t="s">
        <v>959</v>
      </c>
      <c r="E445" s="167"/>
      <c r="F445" s="167"/>
      <c r="G445" s="167"/>
      <c r="H445" s="167"/>
      <c r="I445" s="167"/>
      <c r="J445" s="167"/>
      <c r="K445" s="167"/>
      <c r="L445" s="168"/>
    </row>
    <row r="446" spans="1:75" ht="13.5" customHeight="1">
      <c r="A446" s="2" t="s">
        <v>960</v>
      </c>
      <c r="B446" s="3" t="s">
        <v>893</v>
      </c>
      <c r="C446" s="3" t="s">
        <v>961</v>
      </c>
      <c r="D446" s="148" t="s">
        <v>962</v>
      </c>
      <c r="E446" s="143"/>
      <c r="F446" s="3" t="s">
        <v>154</v>
      </c>
      <c r="G446" s="27">
        <v>1</v>
      </c>
      <c r="H446" s="27">
        <v>0</v>
      </c>
      <c r="I446" s="27">
        <f>G446*AO446</f>
        <v>0</v>
      </c>
      <c r="J446" s="27">
        <f>G446*AP446</f>
        <v>0</v>
      </c>
      <c r="K446" s="27">
        <f>G446*H446</f>
        <v>0</v>
      </c>
      <c r="L446" s="28" t="s">
        <v>137</v>
      </c>
      <c r="Z446" s="27">
        <f>IF(AQ446="5",BJ446,0)</f>
        <v>0</v>
      </c>
      <c r="AB446" s="27">
        <f>IF(AQ446="1",BH446,0)</f>
        <v>0</v>
      </c>
      <c r="AC446" s="27">
        <f>IF(AQ446="1",BI446,0)</f>
        <v>0</v>
      </c>
      <c r="AD446" s="27">
        <f>IF(AQ446="7",BH446,0)</f>
        <v>0</v>
      </c>
      <c r="AE446" s="27">
        <f>IF(AQ446="7",BI446,0)</f>
        <v>0</v>
      </c>
      <c r="AF446" s="27">
        <f>IF(AQ446="2",BH446,0)</f>
        <v>0</v>
      </c>
      <c r="AG446" s="27">
        <f>IF(AQ446="2",BI446,0)</f>
        <v>0</v>
      </c>
      <c r="AH446" s="27">
        <f>IF(AQ446="0",BJ446,0)</f>
        <v>0</v>
      </c>
      <c r="AI446" s="9" t="s">
        <v>893</v>
      </c>
      <c r="AJ446" s="27">
        <f>IF(AN446=0,K446,0)</f>
        <v>0</v>
      </c>
      <c r="AK446" s="27">
        <f>IF(AN446=12,K446,0)</f>
        <v>0</v>
      </c>
      <c r="AL446" s="27">
        <f>IF(AN446=21,K446,0)</f>
        <v>0</v>
      </c>
      <c r="AN446" s="27">
        <v>21</v>
      </c>
      <c r="AO446" s="27">
        <f>H446*0</f>
        <v>0</v>
      </c>
      <c r="AP446" s="27">
        <f>H446*(1-0)</f>
        <v>0</v>
      </c>
      <c r="AQ446" s="29" t="s">
        <v>84</v>
      </c>
      <c r="AV446" s="27">
        <f>AW446+AX446</f>
        <v>0</v>
      </c>
      <c r="AW446" s="27">
        <f>G446*AO446</f>
        <v>0</v>
      </c>
      <c r="AX446" s="27">
        <f>G446*AP446</f>
        <v>0</v>
      </c>
      <c r="AY446" s="29" t="s">
        <v>952</v>
      </c>
      <c r="AZ446" s="29" t="s">
        <v>953</v>
      </c>
      <c r="BA446" s="9" t="s">
        <v>899</v>
      </c>
      <c r="BC446" s="27">
        <f>AW446+AX446</f>
        <v>0</v>
      </c>
      <c r="BD446" s="27">
        <f>H446/(100-BE446)*100</f>
        <v>0</v>
      </c>
      <c r="BE446" s="27">
        <v>0</v>
      </c>
      <c r="BF446" s="27">
        <f>446</f>
        <v>446</v>
      </c>
      <c r="BH446" s="27">
        <f>G446*AO446</f>
        <v>0</v>
      </c>
      <c r="BI446" s="27">
        <f>G446*AP446</f>
        <v>0</v>
      </c>
      <c r="BJ446" s="27">
        <f>G446*H446</f>
        <v>0</v>
      </c>
      <c r="BK446" s="27"/>
      <c r="BL446" s="27">
        <v>766</v>
      </c>
      <c r="BW446" s="27">
        <v>21</v>
      </c>
    </row>
    <row r="447" spans="1:12" ht="15">
      <c r="A447" s="30"/>
      <c r="D447" s="32" t="s">
        <v>57</v>
      </c>
      <c r="E447" s="31" t="s">
        <v>963</v>
      </c>
      <c r="G447" s="33">
        <v>1</v>
      </c>
      <c r="L447" s="34"/>
    </row>
    <row r="448" spans="1:75" ht="13.5" customHeight="1">
      <c r="A448" s="60" t="s">
        <v>964</v>
      </c>
      <c r="B448" s="61" t="s">
        <v>893</v>
      </c>
      <c r="C448" s="61" t="s">
        <v>965</v>
      </c>
      <c r="D448" s="179" t="s">
        <v>966</v>
      </c>
      <c r="E448" s="180"/>
      <c r="F448" s="61" t="s">
        <v>154</v>
      </c>
      <c r="G448" s="62">
        <v>1</v>
      </c>
      <c r="H448" s="62">
        <v>0</v>
      </c>
      <c r="I448" s="62">
        <f>G448*AO448</f>
        <v>0</v>
      </c>
      <c r="J448" s="62">
        <f>G448*AP448</f>
        <v>0</v>
      </c>
      <c r="K448" s="62">
        <f>G448*H448</f>
        <v>0</v>
      </c>
      <c r="L448" s="63" t="s">
        <v>137</v>
      </c>
      <c r="Z448" s="27">
        <f>IF(AQ448="5",BJ448,0)</f>
        <v>0</v>
      </c>
      <c r="AB448" s="27">
        <f>IF(AQ448="1",BH448,0)</f>
        <v>0</v>
      </c>
      <c r="AC448" s="27">
        <f>IF(AQ448="1",BI448,0)</f>
        <v>0</v>
      </c>
      <c r="AD448" s="27">
        <f>IF(AQ448="7",BH448,0)</f>
        <v>0</v>
      </c>
      <c r="AE448" s="27">
        <f>IF(AQ448="7",BI448,0)</f>
        <v>0</v>
      </c>
      <c r="AF448" s="27">
        <f>IF(AQ448="2",BH448,0)</f>
        <v>0</v>
      </c>
      <c r="AG448" s="27">
        <f>IF(AQ448="2",BI448,0)</f>
        <v>0</v>
      </c>
      <c r="AH448" s="27">
        <f>IF(AQ448="0",BJ448,0)</f>
        <v>0</v>
      </c>
      <c r="AI448" s="9" t="s">
        <v>893</v>
      </c>
      <c r="AJ448" s="62">
        <f>IF(AN448=0,K448,0)</f>
        <v>0</v>
      </c>
      <c r="AK448" s="62">
        <f>IF(AN448=12,K448,0)</f>
        <v>0</v>
      </c>
      <c r="AL448" s="62">
        <f>IF(AN448=21,K448,0)</f>
        <v>0</v>
      </c>
      <c r="AN448" s="27">
        <v>21</v>
      </c>
      <c r="AO448" s="27">
        <f>H448*1</f>
        <v>0</v>
      </c>
      <c r="AP448" s="27">
        <f>H448*(1-1)</f>
        <v>0</v>
      </c>
      <c r="AQ448" s="64" t="s">
        <v>84</v>
      </c>
      <c r="AV448" s="27">
        <f>AW448+AX448</f>
        <v>0</v>
      </c>
      <c r="AW448" s="27">
        <f>G448*AO448</f>
        <v>0</v>
      </c>
      <c r="AX448" s="27">
        <f>G448*AP448</f>
        <v>0</v>
      </c>
      <c r="AY448" s="29" t="s">
        <v>952</v>
      </c>
      <c r="AZ448" s="29" t="s">
        <v>953</v>
      </c>
      <c r="BA448" s="9" t="s">
        <v>899</v>
      </c>
      <c r="BC448" s="27">
        <f>AW448+AX448</f>
        <v>0</v>
      </c>
      <c r="BD448" s="27">
        <f>H448/(100-BE448)*100</f>
        <v>0</v>
      </c>
      <c r="BE448" s="27">
        <v>0</v>
      </c>
      <c r="BF448" s="27">
        <f>448</f>
        <v>448</v>
      </c>
      <c r="BH448" s="62">
        <f>G448*AO448</f>
        <v>0</v>
      </c>
      <c r="BI448" s="62">
        <f>G448*AP448</f>
        <v>0</v>
      </c>
      <c r="BJ448" s="62">
        <f>G448*H448</f>
        <v>0</v>
      </c>
      <c r="BK448" s="62"/>
      <c r="BL448" s="27">
        <v>766</v>
      </c>
      <c r="BW448" s="27">
        <v>21</v>
      </c>
    </row>
    <row r="449" spans="1:12" ht="15">
      <c r="A449" s="30"/>
      <c r="D449" s="32" t="s">
        <v>57</v>
      </c>
      <c r="E449" s="31" t="s">
        <v>52</v>
      </c>
      <c r="G449" s="33">
        <v>1</v>
      </c>
      <c r="L449" s="34"/>
    </row>
    <row r="450" spans="1:12" ht="13.5" customHeight="1">
      <c r="A450" s="30"/>
      <c r="C450" s="35" t="s">
        <v>102</v>
      </c>
      <c r="D450" s="166" t="s">
        <v>967</v>
      </c>
      <c r="E450" s="167"/>
      <c r="F450" s="167"/>
      <c r="G450" s="167"/>
      <c r="H450" s="167"/>
      <c r="I450" s="167"/>
      <c r="J450" s="167"/>
      <c r="K450" s="167"/>
      <c r="L450" s="168"/>
    </row>
    <row r="451" spans="1:47" ht="15">
      <c r="A451" s="23" t="s">
        <v>52</v>
      </c>
      <c r="B451" s="24" t="s">
        <v>893</v>
      </c>
      <c r="C451" s="24" t="s">
        <v>968</v>
      </c>
      <c r="D451" s="164" t="s">
        <v>969</v>
      </c>
      <c r="E451" s="165"/>
      <c r="F451" s="25" t="s">
        <v>4</v>
      </c>
      <c r="G451" s="25" t="s">
        <v>4</v>
      </c>
      <c r="H451" s="25" t="s">
        <v>4</v>
      </c>
      <c r="I451" s="1">
        <f>SUM(I452:I486)</f>
        <v>0</v>
      </c>
      <c r="J451" s="1">
        <f>SUM(J452:J486)</f>
        <v>0</v>
      </c>
      <c r="K451" s="1">
        <f>SUM(K452:K486)</f>
        <v>0</v>
      </c>
      <c r="L451" s="26" t="s">
        <v>52</v>
      </c>
      <c r="AI451" s="9" t="s">
        <v>893</v>
      </c>
      <c r="AS451" s="1">
        <f>SUM(AJ452:AJ486)</f>
        <v>0</v>
      </c>
      <c r="AT451" s="1">
        <f>SUM(AK452:AK486)</f>
        <v>0</v>
      </c>
      <c r="AU451" s="1">
        <f>SUM(AL452:AL486)</f>
        <v>0</v>
      </c>
    </row>
    <row r="452" spans="1:75" ht="13.5" customHeight="1">
      <c r="A452" s="2" t="s">
        <v>970</v>
      </c>
      <c r="B452" s="3" t="s">
        <v>893</v>
      </c>
      <c r="C452" s="3" t="s">
        <v>971</v>
      </c>
      <c r="D452" s="148" t="s">
        <v>972</v>
      </c>
      <c r="E452" s="143"/>
      <c r="F452" s="3" t="s">
        <v>126</v>
      </c>
      <c r="G452" s="27">
        <v>21.41</v>
      </c>
      <c r="H452" s="27">
        <v>0</v>
      </c>
      <c r="I452" s="27">
        <f>G452*AO452</f>
        <v>0</v>
      </c>
      <c r="J452" s="27">
        <f>G452*AP452</f>
        <v>0</v>
      </c>
      <c r="K452" s="27">
        <f>G452*H452</f>
        <v>0</v>
      </c>
      <c r="L452" s="28" t="s">
        <v>137</v>
      </c>
      <c r="Z452" s="27">
        <f>IF(AQ452="5",BJ452,0)</f>
        <v>0</v>
      </c>
      <c r="AB452" s="27">
        <f>IF(AQ452="1",BH452,0)</f>
        <v>0</v>
      </c>
      <c r="AC452" s="27">
        <f>IF(AQ452="1",BI452,0)</f>
        <v>0</v>
      </c>
      <c r="AD452" s="27">
        <f>IF(AQ452="7",BH452,0)</f>
        <v>0</v>
      </c>
      <c r="AE452" s="27">
        <f>IF(AQ452="7",BI452,0)</f>
        <v>0</v>
      </c>
      <c r="AF452" s="27">
        <f>IF(AQ452="2",BH452,0)</f>
        <v>0</v>
      </c>
      <c r="AG452" s="27">
        <f>IF(AQ452="2",BI452,0)</f>
        <v>0</v>
      </c>
      <c r="AH452" s="27">
        <f>IF(AQ452="0",BJ452,0)</f>
        <v>0</v>
      </c>
      <c r="AI452" s="9" t="s">
        <v>893</v>
      </c>
      <c r="AJ452" s="27">
        <f>IF(AN452=0,K452,0)</f>
        <v>0</v>
      </c>
      <c r="AK452" s="27">
        <f>IF(AN452=12,K452,0)</f>
        <v>0</v>
      </c>
      <c r="AL452" s="27">
        <f>IF(AN452=21,K452,0)</f>
        <v>0</v>
      </c>
      <c r="AN452" s="27">
        <v>21</v>
      </c>
      <c r="AO452" s="27">
        <f>H452*0</f>
        <v>0</v>
      </c>
      <c r="AP452" s="27">
        <f>H452*(1-0)</f>
        <v>0</v>
      </c>
      <c r="AQ452" s="29" t="s">
        <v>84</v>
      </c>
      <c r="AV452" s="27">
        <f>AW452+AX452</f>
        <v>0</v>
      </c>
      <c r="AW452" s="27">
        <f>G452*AO452</f>
        <v>0</v>
      </c>
      <c r="AX452" s="27">
        <f>G452*AP452</f>
        <v>0</v>
      </c>
      <c r="AY452" s="29" t="s">
        <v>973</v>
      </c>
      <c r="AZ452" s="29" t="s">
        <v>974</v>
      </c>
      <c r="BA452" s="9" t="s">
        <v>899</v>
      </c>
      <c r="BC452" s="27">
        <f>AW452+AX452</f>
        <v>0</v>
      </c>
      <c r="BD452" s="27">
        <f>H452/(100-BE452)*100</f>
        <v>0</v>
      </c>
      <c r="BE452" s="27">
        <v>0</v>
      </c>
      <c r="BF452" s="27">
        <f>452</f>
        <v>452</v>
      </c>
      <c r="BH452" s="27">
        <f>G452*AO452</f>
        <v>0</v>
      </c>
      <c r="BI452" s="27">
        <f>G452*AP452</f>
        <v>0</v>
      </c>
      <c r="BJ452" s="27">
        <f>G452*H452</f>
        <v>0</v>
      </c>
      <c r="BK452" s="27"/>
      <c r="BL452" s="27">
        <v>776</v>
      </c>
      <c r="BW452" s="27">
        <v>21</v>
      </c>
    </row>
    <row r="453" spans="1:12" ht="13.5" customHeight="1">
      <c r="A453" s="30"/>
      <c r="D453" s="166" t="s">
        <v>975</v>
      </c>
      <c r="E453" s="167"/>
      <c r="F453" s="167"/>
      <c r="G453" s="167"/>
      <c r="H453" s="167"/>
      <c r="I453" s="167"/>
      <c r="J453" s="167"/>
      <c r="K453" s="167"/>
      <c r="L453" s="168"/>
    </row>
    <row r="454" spans="1:12" ht="15">
      <c r="A454" s="30"/>
      <c r="D454" s="32" t="s">
        <v>923</v>
      </c>
      <c r="E454" s="31" t="s">
        <v>924</v>
      </c>
      <c r="G454" s="33">
        <v>21.41</v>
      </c>
      <c r="L454" s="34"/>
    </row>
    <row r="455" spans="1:75" ht="13.5" customHeight="1">
      <c r="A455" s="2" t="s">
        <v>976</v>
      </c>
      <c r="B455" s="3" t="s">
        <v>893</v>
      </c>
      <c r="C455" s="3" t="s">
        <v>977</v>
      </c>
      <c r="D455" s="148" t="s">
        <v>978</v>
      </c>
      <c r="E455" s="143"/>
      <c r="F455" s="3" t="s">
        <v>109</v>
      </c>
      <c r="G455" s="27">
        <v>30.77</v>
      </c>
      <c r="H455" s="27">
        <v>0</v>
      </c>
      <c r="I455" s="27">
        <f>G455*AO455</f>
        <v>0</v>
      </c>
      <c r="J455" s="27">
        <f>G455*AP455</f>
        <v>0</v>
      </c>
      <c r="K455" s="27">
        <f>G455*H455</f>
        <v>0</v>
      </c>
      <c r="L455" s="28" t="s">
        <v>137</v>
      </c>
      <c r="Z455" s="27">
        <f>IF(AQ455="5",BJ455,0)</f>
        <v>0</v>
      </c>
      <c r="AB455" s="27">
        <f>IF(AQ455="1",BH455,0)</f>
        <v>0</v>
      </c>
      <c r="AC455" s="27">
        <f>IF(AQ455="1",BI455,0)</f>
        <v>0</v>
      </c>
      <c r="AD455" s="27">
        <f>IF(AQ455="7",BH455,0)</f>
        <v>0</v>
      </c>
      <c r="AE455" s="27">
        <f>IF(AQ455="7",BI455,0)</f>
        <v>0</v>
      </c>
      <c r="AF455" s="27">
        <f>IF(AQ455="2",BH455,0)</f>
        <v>0</v>
      </c>
      <c r="AG455" s="27">
        <f>IF(AQ455="2",BI455,0)</f>
        <v>0</v>
      </c>
      <c r="AH455" s="27">
        <f>IF(AQ455="0",BJ455,0)</f>
        <v>0</v>
      </c>
      <c r="AI455" s="9" t="s">
        <v>893</v>
      </c>
      <c r="AJ455" s="27">
        <f>IF(AN455=0,K455,0)</f>
        <v>0</v>
      </c>
      <c r="AK455" s="27">
        <f>IF(AN455=12,K455,0)</f>
        <v>0</v>
      </c>
      <c r="AL455" s="27">
        <f>IF(AN455=21,K455,0)</f>
        <v>0</v>
      </c>
      <c r="AN455" s="27">
        <v>21</v>
      </c>
      <c r="AO455" s="27">
        <f>H455*0</f>
        <v>0</v>
      </c>
      <c r="AP455" s="27">
        <f>H455*(1-0)</f>
        <v>0</v>
      </c>
      <c r="AQ455" s="29" t="s">
        <v>84</v>
      </c>
      <c r="AV455" s="27">
        <f>AW455+AX455</f>
        <v>0</v>
      </c>
      <c r="AW455" s="27">
        <f>G455*AO455</f>
        <v>0</v>
      </c>
      <c r="AX455" s="27">
        <f>G455*AP455</f>
        <v>0</v>
      </c>
      <c r="AY455" s="29" t="s">
        <v>973</v>
      </c>
      <c r="AZ455" s="29" t="s">
        <v>974</v>
      </c>
      <c r="BA455" s="9" t="s">
        <v>899</v>
      </c>
      <c r="BC455" s="27">
        <f>AW455+AX455</f>
        <v>0</v>
      </c>
      <c r="BD455" s="27">
        <f>H455/(100-BE455)*100</f>
        <v>0</v>
      </c>
      <c r="BE455" s="27">
        <v>0</v>
      </c>
      <c r="BF455" s="27">
        <f>455</f>
        <v>455</v>
      </c>
      <c r="BH455" s="27">
        <f>G455*AO455</f>
        <v>0</v>
      </c>
      <c r="BI455" s="27">
        <f>G455*AP455</f>
        <v>0</v>
      </c>
      <c r="BJ455" s="27">
        <f>G455*H455</f>
        <v>0</v>
      </c>
      <c r="BK455" s="27"/>
      <c r="BL455" s="27">
        <v>776</v>
      </c>
      <c r="BW455" s="27">
        <v>21</v>
      </c>
    </row>
    <row r="456" spans="1:12" ht="27" customHeight="1">
      <c r="A456" s="30"/>
      <c r="D456" s="166" t="s">
        <v>979</v>
      </c>
      <c r="E456" s="167"/>
      <c r="F456" s="167"/>
      <c r="G456" s="167"/>
      <c r="H456" s="167"/>
      <c r="I456" s="167"/>
      <c r="J456" s="167"/>
      <c r="K456" s="167"/>
      <c r="L456" s="168"/>
    </row>
    <row r="457" spans="1:12" ht="15">
      <c r="A457" s="30"/>
      <c r="D457" s="32" t="s">
        <v>980</v>
      </c>
      <c r="E457" s="31" t="s">
        <v>924</v>
      </c>
      <c r="G457" s="33">
        <v>30.77</v>
      </c>
      <c r="L457" s="34"/>
    </row>
    <row r="458" spans="1:75" ht="13.5" customHeight="1">
      <c r="A458" s="2" t="s">
        <v>981</v>
      </c>
      <c r="B458" s="3" t="s">
        <v>893</v>
      </c>
      <c r="C458" s="3" t="s">
        <v>982</v>
      </c>
      <c r="D458" s="148" t="s">
        <v>983</v>
      </c>
      <c r="E458" s="143"/>
      <c r="F458" s="3" t="s">
        <v>109</v>
      </c>
      <c r="G458" s="27">
        <v>30.77</v>
      </c>
      <c r="H458" s="27">
        <v>0</v>
      </c>
      <c r="I458" s="27">
        <f>G458*AO458</f>
        <v>0</v>
      </c>
      <c r="J458" s="27">
        <f>G458*AP458</f>
        <v>0</v>
      </c>
      <c r="K458" s="27">
        <f>G458*H458</f>
        <v>0</v>
      </c>
      <c r="L458" s="28" t="s">
        <v>137</v>
      </c>
      <c r="Z458" s="27">
        <f>IF(AQ458="5",BJ458,0)</f>
        <v>0</v>
      </c>
      <c r="AB458" s="27">
        <f>IF(AQ458="1",BH458,0)</f>
        <v>0</v>
      </c>
      <c r="AC458" s="27">
        <f>IF(AQ458="1",BI458,0)</f>
        <v>0</v>
      </c>
      <c r="AD458" s="27">
        <f>IF(AQ458="7",BH458,0)</f>
        <v>0</v>
      </c>
      <c r="AE458" s="27">
        <f>IF(AQ458="7",BI458,0)</f>
        <v>0</v>
      </c>
      <c r="AF458" s="27">
        <f>IF(AQ458="2",BH458,0)</f>
        <v>0</v>
      </c>
      <c r="AG458" s="27">
        <f>IF(AQ458="2",BI458,0)</f>
        <v>0</v>
      </c>
      <c r="AH458" s="27">
        <f>IF(AQ458="0",BJ458,0)</f>
        <v>0</v>
      </c>
      <c r="AI458" s="9" t="s">
        <v>893</v>
      </c>
      <c r="AJ458" s="27">
        <f>IF(AN458=0,K458,0)</f>
        <v>0</v>
      </c>
      <c r="AK458" s="27">
        <f>IF(AN458=12,K458,0)</f>
        <v>0</v>
      </c>
      <c r="AL458" s="27">
        <f>IF(AN458=21,K458,0)</f>
        <v>0</v>
      </c>
      <c r="AN458" s="27">
        <v>21</v>
      </c>
      <c r="AO458" s="27">
        <f>H458*0</f>
        <v>0</v>
      </c>
      <c r="AP458" s="27">
        <f>H458*(1-0)</f>
        <v>0</v>
      </c>
      <c r="AQ458" s="29" t="s">
        <v>84</v>
      </c>
      <c r="AV458" s="27">
        <f>AW458+AX458</f>
        <v>0</v>
      </c>
      <c r="AW458" s="27">
        <f>G458*AO458</f>
        <v>0</v>
      </c>
      <c r="AX458" s="27">
        <f>G458*AP458</f>
        <v>0</v>
      </c>
      <c r="AY458" s="29" t="s">
        <v>973</v>
      </c>
      <c r="AZ458" s="29" t="s">
        <v>974</v>
      </c>
      <c r="BA458" s="9" t="s">
        <v>899</v>
      </c>
      <c r="BC458" s="27">
        <f>AW458+AX458</f>
        <v>0</v>
      </c>
      <c r="BD458" s="27">
        <f>H458/(100-BE458)*100</f>
        <v>0</v>
      </c>
      <c r="BE458" s="27">
        <v>0</v>
      </c>
      <c r="BF458" s="27">
        <f>458</f>
        <v>458</v>
      </c>
      <c r="BH458" s="27">
        <f>G458*AO458</f>
        <v>0</v>
      </c>
      <c r="BI458" s="27">
        <f>G458*AP458</f>
        <v>0</v>
      </c>
      <c r="BJ458" s="27">
        <f>G458*H458</f>
        <v>0</v>
      </c>
      <c r="BK458" s="27"/>
      <c r="BL458" s="27">
        <v>776</v>
      </c>
      <c r="BW458" s="27">
        <v>21</v>
      </c>
    </row>
    <row r="459" spans="1:12" ht="15">
      <c r="A459" s="30"/>
      <c r="D459" s="32" t="s">
        <v>980</v>
      </c>
      <c r="E459" s="31" t="s">
        <v>984</v>
      </c>
      <c r="G459" s="33">
        <v>30.77</v>
      </c>
      <c r="L459" s="34"/>
    </row>
    <row r="460" spans="1:12" ht="27" customHeight="1">
      <c r="A460" s="30"/>
      <c r="C460" s="35" t="s">
        <v>102</v>
      </c>
      <c r="D460" s="166" t="s">
        <v>985</v>
      </c>
      <c r="E460" s="167"/>
      <c r="F460" s="167"/>
      <c r="G460" s="167"/>
      <c r="H460" s="167"/>
      <c r="I460" s="167"/>
      <c r="J460" s="167"/>
      <c r="K460" s="167"/>
      <c r="L460" s="168"/>
    </row>
    <row r="461" spans="1:75" ht="13.5" customHeight="1">
      <c r="A461" s="60" t="s">
        <v>986</v>
      </c>
      <c r="B461" s="61" t="s">
        <v>893</v>
      </c>
      <c r="C461" s="61" t="s">
        <v>987</v>
      </c>
      <c r="D461" s="179" t="s">
        <v>988</v>
      </c>
      <c r="E461" s="180"/>
      <c r="F461" s="61" t="s">
        <v>282</v>
      </c>
      <c r="G461" s="62">
        <v>164.77335</v>
      </c>
      <c r="H461" s="62">
        <v>0</v>
      </c>
      <c r="I461" s="62">
        <f>G461*AO461</f>
        <v>0</v>
      </c>
      <c r="J461" s="62">
        <f>G461*AP461</f>
        <v>0</v>
      </c>
      <c r="K461" s="62">
        <f>G461*H461</f>
        <v>0</v>
      </c>
      <c r="L461" s="63" t="s">
        <v>137</v>
      </c>
      <c r="Z461" s="27">
        <f>IF(AQ461="5",BJ461,0)</f>
        <v>0</v>
      </c>
      <c r="AB461" s="27">
        <f>IF(AQ461="1",BH461,0)</f>
        <v>0</v>
      </c>
      <c r="AC461" s="27">
        <f>IF(AQ461="1",BI461,0)</f>
        <v>0</v>
      </c>
      <c r="AD461" s="27">
        <f>IF(AQ461="7",BH461,0)</f>
        <v>0</v>
      </c>
      <c r="AE461" s="27">
        <f>IF(AQ461="7",BI461,0)</f>
        <v>0</v>
      </c>
      <c r="AF461" s="27">
        <f>IF(AQ461="2",BH461,0)</f>
        <v>0</v>
      </c>
      <c r="AG461" s="27">
        <f>IF(AQ461="2",BI461,0)</f>
        <v>0</v>
      </c>
      <c r="AH461" s="27">
        <f>IF(AQ461="0",BJ461,0)</f>
        <v>0</v>
      </c>
      <c r="AI461" s="9" t="s">
        <v>893</v>
      </c>
      <c r="AJ461" s="62">
        <f>IF(AN461=0,K461,0)</f>
        <v>0</v>
      </c>
      <c r="AK461" s="62">
        <f>IF(AN461=12,K461,0)</f>
        <v>0</v>
      </c>
      <c r="AL461" s="62">
        <f>IF(AN461=21,K461,0)</f>
        <v>0</v>
      </c>
      <c r="AN461" s="27">
        <v>21</v>
      </c>
      <c r="AO461" s="27">
        <f>H461*1</f>
        <v>0</v>
      </c>
      <c r="AP461" s="27">
        <f>H461*(1-1)</f>
        <v>0</v>
      </c>
      <c r="AQ461" s="64" t="s">
        <v>84</v>
      </c>
      <c r="AV461" s="27">
        <f>AW461+AX461</f>
        <v>0</v>
      </c>
      <c r="AW461" s="27">
        <f>G461*AO461</f>
        <v>0</v>
      </c>
      <c r="AX461" s="27">
        <f>G461*AP461</f>
        <v>0</v>
      </c>
      <c r="AY461" s="29" t="s">
        <v>973</v>
      </c>
      <c r="AZ461" s="29" t="s">
        <v>974</v>
      </c>
      <c r="BA461" s="9" t="s">
        <v>899</v>
      </c>
      <c r="BC461" s="27">
        <f>AW461+AX461</f>
        <v>0</v>
      </c>
      <c r="BD461" s="27">
        <f>H461/(100-BE461)*100</f>
        <v>0</v>
      </c>
      <c r="BE461" s="27">
        <v>0</v>
      </c>
      <c r="BF461" s="27">
        <f>461</f>
        <v>461</v>
      </c>
      <c r="BH461" s="62">
        <f>G461*AO461</f>
        <v>0</v>
      </c>
      <c r="BI461" s="62">
        <f>G461*AP461</f>
        <v>0</v>
      </c>
      <c r="BJ461" s="62">
        <f>G461*H461</f>
        <v>0</v>
      </c>
      <c r="BK461" s="62"/>
      <c r="BL461" s="27">
        <v>776</v>
      </c>
      <c r="BW461" s="27">
        <v>21</v>
      </c>
    </row>
    <row r="462" spans="1:12" ht="15">
      <c r="A462" s="30"/>
      <c r="D462" s="32" t="s">
        <v>989</v>
      </c>
      <c r="E462" s="31" t="s">
        <v>52</v>
      </c>
      <c r="G462" s="33">
        <v>156.927</v>
      </c>
      <c r="L462" s="34"/>
    </row>
    <row r="463" spans="1:12" ht="15">
      <c r="A463" s="30"/>
      <c r="D463" s="32" t="s">
        <v>990</v>
      </c>
      <c r="E463" s="31" t="s">
        <v>52</v>
      </c>
      <c r="G463" s="33">
        <v>7.84635</v>
      </c>
      <c r="L463" s="34"/>
    </row>
    <row r="464" spans="1:12" ht="27" customHeight="1">
      <c r="A464" s="30"/>
      <c r="C464" s="35" t="s">
        <v>102</v>
      </c>
      <c r="D464" s="166" t="s">
        <v>991</v>
      </c>
      <c r="E464" s="167"/>
      <c r="F464" s="167"/>
      <c r="G464" s="167"/>
      <c r="H464" s="167"/>
      <c r="I464" s="167"/>
      <c r="J464" s="167"/>
      <c r="K464" s="167"/>
      <c r="L464" s="168"/>
    </row>
    <row r="465" spans="1:75" ht="13.5" customHeight="1">
      <c r="A465" s="2" t="s">
        <v>992</v>
      </c>
      <c r="B465" s="3" t="s">
        <v>893</v>
      </c>
      <c r="C465" s="3" t="s">
        <v>993</v>
      </c>
      <c r="D465" s="148" t="s">
        <v>994</v>
      </c>
      <c r="E465" s="143"/>
      <c r="F465" s="3" t="s">
        <v>109</v>
      </c>
      <c r="G465" s="27">
        <v>61.54</v>
      </c>
      <c r="H465" s="27">
        <v>0</v>
      </c>
      <c r="I465" s="27">
        <f>G465*AO465</f>
        <v>0</v>
      </c>
      <c r="J465" s="27">
        <f>G465*AP465</f>
        <v>0</v>
      </c>
      <c r="K465" s="27">
        <f>G465*H465</f>
        <v>0</v>
      </c>
      <c r="L465" s="28" t="s">
        <v>137</v>
      </c>
      <c r="Z465" s="27">
        <f>IF(AQ465="5",BJ465,0)</f>
        <v>0</v>
      </c>
      <c r="AB465" s="27">
        <f>IF(AQ465="1",BH465,0)</f>
        <v>0</v>
      </c>
      <c r="AC465" s="27">
        <f>IF(AQ465="1",BI465,0)</f>
        <v>0</v>
      </c>
      <c r="AD465" s="27">
        <f>IF(AQ465="7",BH465,0)</f>
        <v>0</v>
      </c>
      <c r="AE465" s="27">
        <f>IF(AQ465="7",BI465,0)</f>
        <v>0</v>
      </c>
      <c r="AF465" s="27">
        <f>IF(AQ465="2",BH465,0)</f>
        <v>0</v>
      </c>
      <c r="AG465" s="27">
        <f>IF(AQ465="2",BI465,0)</f>
        <v>0</v>
      </c>
      <c r="AH465" s="27">
        <f>IF(AQ465="0",BJ465,0)</f>
        <v>0</v>
      </c>
      <c r="AI465" s="9" t="s">
        <v>893</v>
      </c>
      <c r="AJ465" s="27">
        <f>IF(AN465=0,K465,0)</f>
        <v>0</v>
      </c>
      <c r="AK465" s="27">
        <f>IF(AN465=12,K465,0)</f>
        <v>0</v>
      </c>
      <c r="AL465" s="27">
        <f>IF(AN465=21,K465,0)</f>
        <v>0</v>
      </c>
      <c r="AN465" s="27">
        <v>21</v>
      </c>
      <c r="AO465" s="27">
        <f>H465*0</f>
        <v>0</v>
      </c>
      <c r="AP465" s="27">
        <f>H465*(1-0)</f>
        <v>0</v>
      </c>
      <c r="AQ465" s="29" t="s">
        <v>84</v>
      </c>
      <c r="AV465" s="27">
        <f>AW465+AX465</f>
        <v>0</v>
      </c>
      <c r="AW465" s="27">
        <f>G465*AO465</f>
        <v>0</v>
      </c>
      <c r="AX465" s="27">
        <f>G465*AP465</f>
        <v>0</v>
      </c>
      <c r="AY465" s="29" t="s">
        <v>973</v>
      </c>
      <c r="AZ465" s="29" t="s">
        <v>974</v>
      </c>
      <c r="BA465" s="9" t="s">
        <v>899</v>
      </c>
      <c r="BC465" s="27">
        <f>AW465+AX465</f>
        <v>0</v>
      </c>
      <c r="BD465" s="27">
        <f>H465/(100-BE465)*100</f>
        <v>0</v>
      </c>
      <c r="BE465" s="27">
        <v>0</v>
      </c>
      <c r="BF465" s="27">
        <f>465</f>
        <v>465</v>
      </c>
      <c r="BH465" s="27">
        <f>G465*AO465</f>
        <v>0</v>
      </c>
      <c r="BI465" s="27">
        <f>G465*AP465</f>
        <v>0</v>
      </c>
      <c r="BJ465" s="27">
        <f>G465*H465</f>
        <v>0</v>
      </c>
      <c r="BK465" s="27"/>
      <c r="BL465" s="27">
        <v>776</v>
      </c>
      <c r="BW465" s="27">
        <v>21</v>
      </c>
    </row>
    <row r="466" spans="1:12" ht="15">
      <c r="A466" s="30"/>
      <c r="D466" s="32" t="s">
        <v>995</v>
      </c>
      <c r="E466" s="31" t="s">
        <v>996</v>
      </c>
      <c r="G466" s="33">
        <v>61.54</v>
      </c>
      <c r="L466" s="34"/>
    </row>
    <row r="467" spans="1:12" ht="13.5" customHeight="1">
      <c r="A467" s="30"/>
      <c r="C467" s="35" t="s">
        <v>102</v>
      </c>
      <c r="D467" s="166" t="s">
        <v>997</v>
      </c>
      <c r="E467" s="167"/>
      <c r="F467" s="167"/>
      <c r="G467" s="167"/>
      <c r="H467" s="167"/>
      <c r="I467" s="167"/>
      <c r="J467" s="167"/>
      <c r="K467" s="167"/>
      <c r="L467" s="168"/>
    </row>
    <row r="468" spans="1:75" ht="13.5" customHeight="1">
      <c r="A468" s="60" t="s">
        <v>998</v>
      </c>
      <c r="B468" s="61" t="s">
        <v>893</v>
      </c>
      <c r="C468" s="61" t="s">
        <v>999</v>
      </c>
      <c r="D468" s="179" t="s">
        <v>1000</v>
      </c>
      <c r="E468" s="180"/>
      <c r="F468" s="61" t="s">
        <v>282</v>
      </c>
      <c r="G468" s="62">
        <v>12.9234</v>
      </c>
      <c r="H468" s="62">
        <v>0</v>
      </c>
      <c r="I468" s="62">
        <f>G468*AO468</f>
        <v>0</v>
      </c>
      <c r="J468" s="62">
        <f>G468*AP468</f>
        <v>0</v>
      </c>
      <c r="K468" s="62">
        <f>G468*H468</f>
        <v>0</v>
      </c>
      <c r="L468" s="63" t="s">
        <v>137</v>
      </c>
      <c r="Z468" s="27">
        <f>IF(AQ468="5",BJ468,0)</f>
        <v>0</v>
      </c>
      <c r="AB468" s="27">
        <f>IF(AQ468="1",BH468,0)</f>
        <v>0</v>
      </c>
      <c r="AC468" s="27">
        <f>IF(AQ468="1",BI468,0)</f>
        <v>0</v>
      </c>
      <c r="AD468" s="27">
        <f>IF(AQ468="7",BH468,0)</f>
        <v>0</v>
      </c>
      <c r="AE468" s="27">
        <f>IF(AQ468="7",BI468,0)</f>
        <v>0</v>
      </c>
      <c r="AF468" s="27">
        <f>IF(AQ468="2",BH468,0)</f>
        <v>0</v>
      </c>
      <c r="AG468" s="27">
        <f>IF(AQ468="2",BI468,0)</f>
        <v>0</v>
      </c>
      <c r="AH468" s="27">
        <f>IF(AQ468="0",BJ468,0)</f>
        <v>0</v>
      </c>
      <c r="AI468" s="9" t="s">
        <v>893</v>
      </c>
      <c r="AJ468" s="62">
        <f>IF(AN468=0,K468,0)</f>
        <v>0</v>
      </c>
      <c r="AK468" s="62">
        <f>IF(AN468=12,K468,0)</f>
        <v>0</v>
      </c>
      <c r="AL468" s="62">
        <f>IF(AN468=21,K468,0)</f>
        <v>0</v>
      </c>
      <c r="AN468" s="27">
        <v>21</v>
      </c>
      <c r="AO468" s="27">
        <f>H468*1</f>
        <v>0</v>
      </c>
      <c r="AP468" s="27">
        <f>H468*(1-1)</f>
        <v>0</v>
      </c>
      <c r="AQ468" s="64" t="s">
        <v>84</v>
      </c>
      <c r="AV468" s="27">
        <f>AW468+AX468</f>
        <v>0</v>
      </c>
      <c r="AW468" s="27">
        <f>G468*AO468</f>
        <v>0</v>
      </c>
      <c r="AX468" s="27">
        <f>G468*AP468</f>
        <v>0</v>
      </c>
      <c r="AY468" s="29" t="s">
        <v>973</v>
      </c>
      <c r="AZ468" s="29" t="s">
        <v>974</v>
      </c>
      <c r="BA468" s="9" t="s">
        <v>899</v>
      </c>
      <c r="BC468" s="27">
        <f>AW468+AX468</f>
        <v>0</v>
      </c>
      <c r="BD468" s="27">
        <f>H468/(100-BE468)*100</f>
        <v>0</v>
      </c>
      <c r="BE468" s="27">
        <v>0</v>
      </c>
      <c r="BF468" s="27">
        <f>468</f>
        <v>468</v>
      </c>
      <c r="BH468" s="62">
        <f>G468*AO468</f>
        <v>0</v>
      </c>
      <c r="BI468" s="62">
        <f>G468*AP468</f>
        <v>0</v>
      </c>
      <c r="BJ468" s="62">
        <f>G468*H468</f>
        <v>0</v>
      </c>
      <c r="BK468" s="62"/>
      <c r="BL468" s="27">
        <v>776</v>
      </c>
      <c r="BW468" s="27">
        <v>21</v>
      </c>
    </row>
    <row r="469" spans="1:12" ht="15">
      <c r="A469" s="30"/>
      <c r="D469" s="32" t="s">
        <v>1001</v>
      </c>
      <c r="E469" s="31" t="s">
        <v>984</v>
      </c>
      <c r="G469" s="33">
        <v>12.308</v>
      </c>
      <c r="L469" s="34"/>
    </row>
    <row r="470" spans="1:12" ht="15">
      <c r="A470" s="30"/>
      <c r="D470" s="32" t="s">
        <v>1002</v>
      </c>
      <c r="E470" s="31" t="s">
        <v>52</v>
      </c>
      <c r="G470" s="33">
        <v>0.6154</v>
      </c>
      <c r="L470" s="34"/>
    </row>
    <row r="471" spans="1:12" ht="27" customHeight="1">
      <c r="A471" s="30"/>
      <c r="C471" s="35" t="s">
        <v>102</v>
      </c>
      <c r="D471" s="166" t="s">
        <v>1003</v>
      </c>
      <c r="E471" s="167"/>
      <c r="F471" s="167"/>
      <c r="G471" s="167"/>
      <c r="H471" s="167"/>
      <c r="I471" s="167"/>
      <c r="J471" s="167"/>
      <c r="K471" s="167"/>
      <c r="L471" s="168"/>
    </row>
    <row r="472" spans="1:75" ht="13.5" customHeight="1">
      <c r="A472" s="2" t="s">
        <v>1004</v>
      </c>
      <c r="B472" s="3" t="s">
        <v>893</v>
      </c>
      <c r="C472" s="3" t="s">
        <v>1005</v>
      </c>
      <c r="D472" s="148" t="s">
        <v>1006</v>
      </c>
      <c r="E472" s="143"/>
      <c r="F472" s="3" t="s">
        <v>109</v>
      </c>
      <c r="G472" s="27">
        <v>31.77</v>
      </c>
      <c r="H472" s="27">
        <v>0</v>
      </c>
      <c r="I472" s="27">
        <f>G472*AO472</f>
        <v>0</v>
      </c>
      <c r="J472" s="27">
        <f>G472*AP472</f>
        <v>0</v>
      </c>
      <c r="K472" s="27">
        <f>G472*H472</f>
        <v>0</v>
      </c>
      <c r="L472" s="28" t="s">
        <v>137</v>
      </c>
      <c r="Z472" s="27">
        <f>IF(AQ472="5",BJ472,0)</f>
        <v>0</v>
      </c>
      <c r="AB472" s="27">
        <f>IF(AQ472="1",BH472,0)</f>
        <v>0</v>
      </c>
      <c r="AC472" s="27">
        <f>IF(AQ472="1",BI472,0)</f>
        <v>0</v>
      </c>
      <c r="AD472" s="27">
        <f>IF(AQ472="7",BH472,0)</f>
        <v>0</v>
      </c>
      <c r="AE472" s="27">
        <f>IF(AQ472="7",BI472,0)</f>
        <v>0</v>
      </c>
      <c r="AF472" s="27">
        <f>IF(AQ472="2",BH472,0)</f>
        <v>0</v>
      </c>
      <c r="AG472" s="27">
        <f>IF(AQ472="2",BI472,0)</f>
        <v>0</v>
      </c>
      <c r="AH472" s="27">
        <f>IF(AQ472="0",BJ472,0)</f>
        <v>0</v>
      </c>
      <c r="AI472" s="9" t="s">
        <v>893</v>
      </c>
      <c r="AJ472" s="27">
        <f>IF(AN472=0,K472,0)</f>
        <v>0</v>
      </c>
      <c r="AK472" s="27">
        <f>IF(AN472=12,K472,0)</f>
        <v>0</v>
      </c>
      <c r="AL472" s="27">
        <f>IF(AN472=21,K472,0)</f>
        <v>0</v>
      </c>
      <c r="AN472" s="27">
        <v>21</v>
      </c>
      <c r="AO472" s="27">
        <f>H472*0.313878041</f>
        <v>0</v>
      </c>
      <c r="AP472" s="27">
        <f>H472*(1-0.313878041)</f>
        <v>0</v>
      </c>
      <c r="AQ472" s="29" t="s">
        <v>84</v>
      </c>
      <c r="AV472" s="27">
        <f>AW472+AX472</f>
        <v>0</v>
      </c>
      <c r="AW472" s="27">
        <f>G472*AO472</f>
        <v>0</v>
      </c>
      <c r="AX472" s="27">
        <f>G472*AP472</f>
        <v>0</v>
      </c>
      <c r="AY472" s="29" t="s">
        <v>973</v>
      </c>
      <c r="AZ472" s="29" t="s">
        <v>974</v>
      </c>
      <c r="BA472" s="9" t="s">
        <v>899</v>
      </c>
      <c r="BC472" s="27">
        <f>AW472+AX472</f>
        <v>0</v>
      </c>
      <c r="BD472" s="27">
        <f>H472/(100-BE472)*100</f>
        <v>0</v>
      </c>
      <c r="BE472" s="27">
        <v>0</v>
      </c>
      <c r="BF472" s="27">
        <f>472</f>
        <v>472</v>
      </c>
      <c r="BH472" s="27">
        <f>G472*AO472</f>
        <v>0</v>
      </c>
      <c r="BI472" s="27">
        <f>G472*AP472</f>
        <v>0</v>
      </c>
      <c r="BJ472" s="27">
        <f>G472*H472</f>
        <v>0</v>
      </c>
      <c r="BK472" s="27"/>
      <c r="BL472" s="27">
        <v>776</v>
      </c>
      <c r="BW472" s="27">
        <v>21</v>
      </c>
    </row>
    <row r="473" spans="1:12" ht="13.5" customHeight="1">
      <c r="A473" s="30"/>
      <c r="D473" s="166" t="s">
        <v>1007</v>
      </c>
      <c r="E473" s="167"/>
      <c r="F473" s="167"/>
      <c r="G473" s="167"/>
      <c r="H473" s="167"/>
      <c r="I473" s="167"/>
      <c r="J473" s="167"/>
      <c r="K473" s="167"/>
      <c r="L473" s="168"/>
    </row>
    <row r="474" spans="1:12" ht="15">
      <c r="A474" s="30"/>
      <c r="D474" s="32" t="s">
        <v>1008</v>
      </c>
      <c r="E474" s="31" t="s">
        <v>984</v>
      </c>
      <c r="G474" s="33">
        <v>31.77</v>
      </c>
      <c r="L474" s="34"/>
    </row>
    <row r="475" spans="1:75" ht="13.5" customHeight="1">
      <c r="A475" s="60" t="s">
        <v>1009</v>
      </c>
      <c r="B475" s="61" t="s">
        <v>893</v>
      </c>
      <c r="C475" s="61" t="s">
        <v>1010</v>
      </c>
      <c r="D475" s="179" t="s">
        <v>1011</v>
      </c>
      <c r="E475" s="180"/>
      <c r="F475" s="61" t="s">
        <v>109</v>
      </c>
      <c r="G475" s="62">
        <v>32.3085</v>
      </c>
      <c r="H475" s="62">
        <v>0</v>
      </c>
      <c r="I475" s="62">
        <f>G475*AO475</f>
        <v>0</v>
      </c>
      <c r="J475" s="62">
        <f>G475*AP475</f>
        <v>0</v>
      </c>
      <c r="K475" s="62">
        <f>G475*H475</f>
        <v>0</v>
      </c>
      <c r="L475" s="63" t="s">
        <v>137</v>
      </c>
      <c r="Z475" s="27">
        <f>IF(AQ475="5",BJ475,0)</f>
        <v>0</v>
      </c>
      <c r="AB475" s="27">
        <f>IF(AQ475="1",BH475,0)</f>
        <v>0</v>
      </c>
      <c r="AC475" s="27">
        <f>IF(AQ475="1",BI475,0)</f>
        <v>0</v>
      </c>
      <c r="AD475" s="27">
        <f>IF(AQ475="7",BH475,0)</f>
        <v>0</v>
      </c>
      <c r="AE475" s="27">
        <f>IF(AQ475="7",BI475,0)</f>
        <v>0</v>
      </c>
      <c r="AF475" s="27">
        <f>IF(AQ475="2",BH475,0)</f>
        <v>0</v>
      </c>
      <c r="AG475" s="27">
        <f>IF(AQ475="2",BI475,0)</f>
        <v>0</v>
      </c>
      <c r="AH475" s="27">
        <f>IF(AQ475="0",BJ475,0)</f>
        <v>0</v>
      </c>
      <c r="AI475" s="9" t="s">
        <v>893</v>
      </c>
      <c r="AJ475" s="62">
        <f>IF(AN475=0,K475,0)</f>
        <v>0</v>
      </c>
      <c r="AK475" s="62">
        <f>IF(AN475=12,K475,0)</f>
        <v>0</v>
      </c>
      <c r="AL475" s="62">
        <f>IF(AN475=21,K475,0)</f>
        <v>0</v>
      </c>
      <c r="AN475" s="27">
        <v>21</v>
      </c>
      <c r="AO475" s="27">
        <f>H475*1</f>
        <v>0</v>
      </c>
      <c r="AP475" s="27">
        <f>H475*(1-1)</f>
        <v>0</v>
      </c>
      <c r="AQ475" s="64" t="s">
        <v>84</v>
      </c>
      <c r="AV475" s="27">
        <f>AW475+AX475</f>
        <v>0</v>
      </c>
      <c r="AW475" s="27">
        <f>G475*AO475</f>
        <v>0</v>
      </c>
      <c r="AX475" s="27">
        <f>G475*AP475</f>
        <v>0</v>
      </c>
      <c r="AY475" s="29" t="s">
        <v>973</v>
      </c>
      <c r="AZ475" s="29" t="s">
        <v>974</v>
      </c>
      <c r="BA475" s="9" t="s">
        <v>899</v>
      </c>
      <c r="BC475" s="27">
        <f>AW475+AX475</f>
        <v>0</v>
      </c>
      <c r="BD475" s="27">
        <f>H475/(100-BE475)*100</f>
        <v>0</v>
      </c>
      <c r="BE475" s="27">
        <v>0</v>
      </c>
      <c r="BF475" s="27">
        <f>475</f>
        <v>475</v>
      </c>
      <c r="BH475" s="62">
        <f>G475*AO475</f>
        <v>0</v>
      </c>
      <c r="BI475" s="62">
        <f>G475*AP475</f>
        <v>0</v>
      </c>
      <c r="BJ475" s="62">
        <f>G475*H475</f>
        <v>0</v>
      </c>
      <c r="BK475" s="62"/>
      <c r="BL475" s="27">
        <v>776</v>
      </c>
      <c r="BW475" s="27">
        <v>21</v>
      </c>
    </row>
    <row r="476" spans="1:12" ht="15">
      <c r="A476" s="30"/>
      <c r="D476" s="32" t="s">
        <v>980</v>
      </c>
      <c r="E476" s="31" t="s">
        <v>52</v>
      </c>
      <c r="G476" s="33">
        <v>30.77</v>
      </c>
      <c r="L476" s="34"/>
    </row>
    <row r="477" spans="1:12" ht="15">
      <c r="A477" s="30"/>
      <c r="D477" s="32" t="s">
        <v>1012</v>
      </c>
      <c r="E477" s="31" t="s">
        <v>52</v>
      </c>
      <c r="G477" s="33">
        <v>1.5385</v>
      </c>
      <c r="L477" s="34"/>
    </row>
    <row r="478" spans="1:12" ht="13.5" customHeight="1">
      <c r="A478" s="30"/>
      <c r="C478" s="35" t="s">
        <v>102</v>
      </c>
      <c r="D478" s="166" t="s">
        <v>1013</v>
      </c>
      <c r="E478" s="167"/>
      <c r="F478" s="167"/>
      <c r="G478" s="167"/>
      <c r="H478" s="167"/>
      <c r="I478" s="167"/>
      <c r="J478" s="167"/>
      <c r="K478" s="167"/>
      <c r="L478" s="168"/>
    </row>
    <row r="479" spans="1:75" ht="13.5" customHeight="1">
      <c r="A479" s="2" t="s">
        <v>1014</v>
      </c>
      <c r="B479" s="3" t="s">
        <v>893</v>
      </c>
      <c r="C479" s="3" t="s">
        <v>1015</v>
      </c>
      <c r="D479" s="148" t="s">
        <v>1016</v>
      </c>
      <c r="E479" s="143"/>
      <c r="F479" s="3" t="s">
        <v>126</v>
      </c>
      <c r="G479" s="27">
        <v>21.41</v>
      </c>
      <c r="H479" s="27">
        <v>0</v>
      </c>
      <c r="I479" s="27">
        <f>G479*AO479</f>
        <v>0</v>
      </c>
      <c r="J479" s="27">
        <f>G479*AP479</f>
        <v>0</v>
      </c>
      <c r="K479" s="27">
        <f>G479*H479</f>
        <v>0</v>
      </c>
      <c r="L479" s="28" t="s">
        <v>137</v>
      </c>
      <c r="Z479" s="27">
        <f>IF(AQ479="5",BJ479,0)</f>
        <v>0</v>
      </c>
      <c r="AB479" s="27">
        <f>IF(AQ479="1",BH479,0)</f>
        <v>0</v>
      </c>
      <c r="AC479" s="27">
        <f>IF(AQ479="1",BI479,0)</f>
        <v>0</v>
      </c>
      <c r="AD479" s="27">
        <f>IF(AQ479="7",BH479,0)</f>
        <v>0</v>
      </c>
      <c r="AE479" s="27">
        <f>IF(AQ479="7",BI479,0)</f>
        <v>0</v>
      </c>
      <c r="AF479" s="27">
        <f>IF(AQ479="2",BH479,0)</f>
        <v>0</v>
      </c>
      <c r="AG479" s="27">
        <f>IF(AQ479="2",BI479,0)</f>
        <v>0</v>
      </c>
      <c r="AH479" s="27">
        <f>IF(AQ479="0",BJ479,0)</f>
        <v>0</v>
      </c>
      <c r="AI479" s="9" t="s">
        <v>893</v>
      </c>
      <c r="AJ479" s="27">
        <f>IF(AN479=0,K479,0)</f>
        <v>0</v>
      </c>
      <c r="AK479" s="27">
        <f>IF(AN479=12,K479,0)</f>
        <v>0</v>
      </c>
      <c r="AL479" s="27">
        <f>IF(AN479=21,K479,0)</f>
        <v>0</v>
      </c>
      <c r="AN479" s="27">
        <v>21</v>
      </c>
      <c r="AO479" s="27">
        <f>H479*0.35575</f>
        <v>0</v>
      </c>
      <c r="AP479" s="27">
        <f>H479*(1-0.35575)</f>
        <v>0</v>
      </c>
      <c r="AQ479" s="29" t="s">
        <v>84</v>
      </c>
      <c r="AV479" s="27">
        <f>AW479+AX479</f>
        <v>0</v>
      </c>
      <c r="AW479" s="27">
        <f>G479*AO479</f>
        <v>0</v>
      </c>
      <c r="AX479" s="27">
        <f>G479*AP479</f>
        <v>0</v>
      </c>
      <c r="AY479" s="29" t="s">
        <v>973</v>
      </c>
      <c r="AZ479" s="29" t="s">
        <v>974</v>
      </c>
      <c r="BA479" s="9" t="s">
        <v>899</v>
      </c>
      <c r="BC479" s="27">
        <f>AW479+AX479</f>
        <v>0</v>
      </c>
      <c r="BD479" s="27">
        <f>H479/(100-BE479)*100</f>
        <v>0</v>
      </c>
      <c r="BE479" s="27">
        <v>0</v>
      </c>
      <c r="BF479" s="27">
        <f>479</f>
        <v>479</v>
      </c>
      <c r="BH479" s="27">
        <f>G479*AO479</f>
        <v>0</v>
      </c>
      <c r="BI479" s="27">
        <f>G479*AP479</f>
        <v>0</v>
      </c>
      <c r="BJ479" s="27">
        <f>G479*H479</f>
        <v>0</v>
      </c>
      <c r="BK479" s="27"/>
      <c r="BL479" s="27">
        <v>776</v>
      </c>
      <c r="BW479" s="27">
        <v>21</v>
      </c>
    </row>
    <row r="480" spans="1:12" ht="13.5" customHeight="1">
      <c r="A480" s="30"/>
      <c r="D480" s="166" t="s">
        <v>1017</v>
      </c>
      <c r="E480" s="167"/>
      <c r="F480" s="167"/>
      <c r="G480" s="167"/>
      <c r="H480" s="167"/>
      <c r="I480" s="167"/>
      <c r="J480" s="167"/>
      <c r="K480" s="167"/>
      <c r="L480" s="168"/>
    </row>
    <row r="481" spans="1:12" ht="15">
      <c r="A481" s="30"/>
      <c r="D481" s="32" t="s">
        <v>1018</v>
      </c>
      <c r="E481" s="31" t="s">
        <v>1019</v>
      </c>
      <c r="G481" s="33">
        <v>21.41</v>
      </c>
      <c r="L481" s="34"/>
    </row>
    <row r="482" spans="1:75" ht="13.5" customHeight="1">
      <c r="A482" s="2" t="s">
        <v>1020</v>
      </c>
      <c r="B482" s="3" t="s">
        <v>893</v>
      </c>
      <c r="C482" s="3" t="s">
        <v>1021</v>
      </c>
      <c r="D482" s="148" t="s">
        <v>1022</v>
      </c>
      <c r="E482" s="143"/>
      <c r="F482" s="3" t="s">
        <v>126</v>
      </c>
      <c r="G482" s="27">
        <v>0.8</v>
      </c>
      <c r="H482" s="27">
        <v>0</v>
      </c>
      <c r="I482" s="27">
        <f>G482*AO482</f>
        <v>0</v>
      </c>
      <c r="J482" s="27">
        <f>G482*AP482</f>
        <v>0</v>
      </c>
      <c r="K482" s="27">
        <f>G482*H482</f>
        <v>0</v>
      </c>
      <c r="L482" s="28" t="s">
        <v>137</v>
      </c>
      <c r="Z482" s="27">
        <f>IF(AQ482="5",BJ482,0)</f>
        <v>0</v>
      </c>
      <c r="AB482" s="27">
        <f>IF(AQ482="1",BH482,0)</f>
        <v>0</v>
      </c>
      <c r="AC482" s="27">
        <f>IF(AQ482="1",BI482,0)</f>
        <v>0</v>
      </c>
      <c r="AD482" s="27">
        <f>IF(AQ482="7",BH482,0)</f>
        <v>0</v>
      </c>
      <c r="AE482" s="27">
        <f>IF(AQ482="7",BI482,0)</f>
        <v>0</v>
      </c>
      <c r="AF482" s="27">
        <f>IF(AQ482="2",BH482,0)</f>
        <v>0</v>
      </c>
      <c r="AG482" s="27">
        <f>IF(AQ482="2",BI482,0)</f>
        <v>0</v>
      </c>
      <c r="AH482" s="27">
        <f>IF(AQ482="0",BJ482,0)</f>
        <v>0</v>
      </c>
      <c r="AI482" s="9" t="s">
        <v>893</v>
      </c>
      <c r="AJ482" s="27">
        <f>IF(AN482=0,K482,0)</f>
        <v>0</v>
      </c>
      <c r="AK482" s="27">
        <f>IF(AN482=12,K482,0)</f>
        <v>0</v>
      </c>
      <c r="AL482" s="27">
        <f>IF(AN482=21,K482,0)</f>
        <v>0</v>
      </c>
      <c r="AN482" s="27">
        <v>21</v>
      </c>
      <c r="AO482" s="27">
        <f>H482*0.662874016</f>
        <v>0</v>
      </c>
      <c r="AP482" s="27">
        <f>H482*(1-0.662874016)</f>
        <v>0</v>
      </c>
      <c r="AQ482" s="29" t="s">
        <v>84</v>
      </c>
      <c r="AV482" s="27">
        <f>AW482+AX482</f>
        <v>0</v>
      </c>
      <c r="AW482" s="27">
        <f>G482*AO482</f>
        <v>0</v>
      </c>
      <c r="AX482" s="27">
        <f>G482*AP482</f>
        <v>0</v>
      </c>
      <c r="AY482" s="29" t="s">
        <v>973</v>
      </c>
      <c r="AZ482" s="29" t="s">
        <v>974</v>
      </c>
      <c r="BA482" s="9" t="s">
        <v>899</v>
      </c>
      <c r="BC482" s="27">
        <f>AW482+AX482</f>
        <v>0</v>
      </c>
      <c r="BD482" s="27">
        <f>H482/(100-BE482)*100</f>
        <v>0</v>
      </c>
      <c r="BE482" s="27">
        <v>0</v>
      </c>
      <c r="BF482" s="27">
        <f>482</f>
        <v>482</v>
      </c>
      <c r="BH482" s="27">
        <f>G482*AO482</f>
        <v>0</v>
      </c>
      <c r="BI482" s="27">
        <f>G482*AP482</f>
        <v>0</v>
      </c>
      <c r="BJ482" s="27">
        <f>G482*H482</f>
        <v>0</v>
      </c>
      <c r="BK482" s="27"/>
      <c r="BL482" s="27">
        <v>776</v>
      </c>
      <c r="BW482" s="27">
        <v>21</v>
      </c>
    </row>
    <row r="483" spans="1:12" ht="13.5" customHeight="1">
      <c r="A483" s="30"/>
      <c r="D483" s="166" t="s">
        <v>1023</v>
      </c>
      <c r="E483" s="167"/>
      <c r="F483" s="167"/>
      <c r="G483" s="167"/>
      <c r="H483" s="167"/>
      <c r="I483" s="167"/>
      <c r="J483" s="167"/>
      <c r="K483" s="167"/>
      <c r="L483" s="168"/>
    </row>
    <row r="484" spans="1:12" ht="15">
      <c r="A484" s="30"/>
      <c r="D484" s="32" t="s">
        <v>1024</v>
      </c>
      <c r="E484" s="31" t="s">
        <v>963</v>
      </c>
      <c r="G484" s="33">
        <v>0.8</v>
      </c>
      <c r="L484" s="34"/>
    </row>
    <row r="485" spans="1:12" ht="13.5" customHeight="1">
      <c r="A485" s="30"/>
      <c r="C485" s="35" t="s">
        <v>102</v>
      </c>
      <c r="D485" s="166" t="s">
        <v>1025</v>
      </c>
      <c r="E485" s="167"/>
      <c r="F485" s="167"/>
      <c r="G485" s="167"/>
      <c r="H485" s="167"/>
      <c r="I485" s="167"/>
      <c r="J485" s="167"/>
      <c r="K485" s="167"/>
      <c r="L485" s="168"/>
    </row>
    <row r="486" spans="1:75" ht="13.5" customHeight="1">
      <c r="A486" s="2" t="s">
        <v>1026</v>
      </c>
      <c r="B486" s="3" t="s">
        <v>893</v>
      </c>
      <c r="C486" s="3" t="s">
        <v>1027</v>
      </c>
      <c r="D486" s="148" t="s">
        <v>1028</v>
      </c>
      <c r="E486" s="143"/>
      <c r="F486" s="3" t="s">
        <v>951</v>
      </c>
      <c r="G486" s="27">
        <v>407.19</v>
      </c>
      <c r="H486" s="27">
        <v>0</v>
      </c>
      <c r="I486" s="27">
        <f>G486*AO486</f>
        <v>0</v>
      </c>
      <c r="J486" s="27">
        <f>G486*AP486</f>
        <v>0</v>
      </c>
      <c r="K486" s="27">
        <f>G486*H486</f>
        <v>0</v>
      </c>
      <c r="L486" s="28" t="s">
        <v>137</v>
      </c>
      <c r="Z486" s="27">
        <f>IF(AQ486="5",BJ486,0)</f>
        <v>0</v>
      </c>
      <c r="AB486" s="27">
        <f>IF(AQ486="1",BH486,0)</f>
        <v>0</v>
      </c>
      <c r="AC486" s="27">
        <f>IF(AQ486="1",BI486,0)</f>
        <v>0</v>
      </c>
      <c r="AD486" s="27">
        <f>IF(AQ486="7",BH486,0)</f>
        <v>0</v>
      </c>
      <c r="AE486" s="27">
        <f>IF(AQ486="7",BI486,0)</f>
        <v>0</v>
      </c>
      <c r="AF486" s="27">
        <f>IF(AQ486="2",BH486,0)</f>
        <v>0</v>
      </c>
      <c r="AG486" s="27">
        <f>IF(AQ486="2",BI486,0)</f>
        <v>0</v>
      </c>
      <c r="AH486" s="27">
        <f>IF(AQ486="0",BJ486,0)</f>
        <v>0</v>
      </c>
      <c r="AI486" s="9" t="s">
        <v>893</v>
      </c>
      <c r="AJ486" s="27">
        <f>IF(AN486=0,K486,0)</f>
        <v>0</v>
      </c>
      <c r="AK486" s="27">
        <f>IF(AN486=12,K486,0)</f>
        <v>0</v>
      </c>
      <c r="AL486" s="27">
        <f>IF(AN486=21,K486,0)</f>
        <v>0</v>
      </c>
      <c r="AN486" s="27">
        <v>21</v>
      </c>
      <c r="AO486" s="27">
        <f>H486*0</f>
        <v>0</v>
      </c>
      <c r="AP486" s="27">
        <f>H486*(1-0)</f>
        <v>0</v>
      </c>
      <c r="AQ486" s="29" t="s">
        <v>78</v>
      </c>
      <c r="AV486" s="27">
        <f>AW486+AX486</f>
        <v>0</v>
      </c>
      <c r="AW486" s="27">
        <f>G486*AO486</f>
        <v>0</v>
      </c>
      <c r="AX486" s="27">
        <f>G486*AP486</f>
        <v>0</v>
      </c>
      <c r="AY486" s="29" t="s">
        <v>973</v>
      </c>
      <c r="AZ486" s="29" t="s">
        <v>974</v>
      </c>
      <c r="BA486" s="9" t="s">
        <v>899</v>
      </c>
      <c r="BC486" s="27">
        <f>AW486+AX486</f>
        <v>0</v>
      </c>
      <c r="BD486" s="27">
        <f>H486/(100-BE486)*100</f>
        <v>0</v>
      </c>
      <c r="BE486" s="27">
        <v>0</v>
      </c>
      <c r="BF486" s="27">
        <f>486</f>
        <v>486</v>
      </c>
      <c r="BH486" s="27">
        <f>G486*AO486</f>
        <v>0</v>
      </c>
      <c r="BI486" s="27">
        <f>G486*AP486</f>
        <v>0</v>
      </c>
      <c r="BJ486" s="27">
        <f>G486*H486</f>
        <v>0</v>
      </c>
      <c r="BK486" s="27"/>
      <c r="BL486" s="27">
        <v>776</v>
      </c>
      <c r="BW486" s="27">
        <v>21</v>
      </c>
    </row>
    <row r="487" spans="1:12" ht="15">
      <c r="A487" s="30"/>
      <c r="D487" s="32" t="s">
        <v>1029</v>
      </c>
      <c r="E487" s="31" t="s">
        <v>52</v>
      </c>
      <c r="G487" s="33">
        <v>407.19</v>
      </c>
      <c r="L487" s="34"/>
    </row>
    <row r="488" spans="1:47" ht="15">
      <c r="A488" s="23" t="s">
        <v>52</v>
      </c>
      <c r="B488" s="24" t="s">
        <v>893</v>
      </c>
      <c r="C488" s="24" t="s">
        <v>308</v>
      </c>
      <c r="D488" s="164" t="s">
        <v>309</v>
      </c>
      <c r="E488" s="165"/>
      <c r="F488" s="25" t="s">
        <v>4</v>
      </c>
      <c r="G488" s="25" t="s">
        <v>4</v>
      </c>
      <c r="H488" s="25" t="s">
        <v>4</v>
      </c>
      <c r="I488" s="1">
        <f>SUM(I489:I514)</f>
        <v>0</v>
      </c>
      <c r="J488" s="1">
        <f>SUM(J489:J514)</f>
        <v>0</v>
      </c>
      <c r="K488" s="1">
        <f>SUM(K489:K514)</f>
        <v>0</v>
      </c>
      <c r="L488" s="26" t="s">
        <v>52</v>
      </c>
      <c r="AI488" s="9" t="s">
        <v>893</v>
      </c>
      <c r="AS488" s="1">
        <f>SUM(AJ489:AJ514)</f>
        <v>0</v>
      </c>
      <c r="AT488" s="1">
        <f>SUM(AK489:AK514)</f>
        <v>0</v>
      </c>
      <c r="AU488" s="1">
        <f>SUM(AL489:AL514)</f>
        <v>0</v>
      </c>
    </row>
    <row r="489" spans="1:75" ht="13.5" customHeight="1">
      <c r="A489" s="2" t="s">
        <v>1030</v>
      </c>
      <c r="B489" s="3" t="s">
        <v>893</v>
      </c>
      <c r="C489" s="3" t="s">
        <v>324</v>
      </c>
      <c r="D489" s="148" t="s">
        <v>1031</v>
      </c>
      <c r="E489" s="143"/>
      <c r="F489" s="3" t="s">
        <v>109</v>
      </c>
      <c r="G489" s="27">
        <v>2.4</v>
      </c>
      <c r="H489" s="27">
        <v>0</v>
      </c>
      <c r="I489" s="27">
        <f>G489*AO489</f>
        <v>0</v>
      </c>
      <c r="J489" s="27">
        <f>G489*AP489</f>
        <v>0</v>
      </c>
      <c r="K489" s="27">
        <f>G489*H489</f>
        <v>0</v>
      </c>
      <c r="L489" s="28" t="s">
        <v>137</v>
      </c>
      <c r="Z489" s="27">
        <f>IF(AQ489="5",BJ489,0)</f>
        <v>0</v>
      </c>
      <c r="AB489" s="27">
        <f>IF(AQ489="1",BH489,0)</f>
        <v>0</v>
      </c>
      <c r="AC489" s="27">
        <f>IF(AQ489="1",BI489,0)</f>
        <v>0</v>
      </c>
      <c r="AD489" s="27">
        <f>IF(AQ489="7",BH489,0)</f>
        <v>0</v>
      </c>
      <c r="AE489" s="27">
        <f>IF(AQ489="7",BI489,0)</f>
        <v>0</v>
      </c>
      <c r="AF489" s="27">
        <f>IF(AQ489="2",BH489,0)</f>
        <v>0</v>
      </c>
      <c r="AG489" s="27">
        <f>IF(AQ489="2",BI489,0)</f>
        <v>0</v>
      </c>
      <c r="AH489" s="27">
        <f>IF(AQ489="0",BJ489,0)</f>
        <v>0</v>
      </c>
      <c r="AI489" s="9" t="s">
        <v>893</v>
      </c>
      <c r="AJ489" s="27">
        <f>IF(AN489=0,K489,0)</f>
        <v>0</v>
      </c>
      <c r="AK489" s="27">
        <f>IF(AN489=12,K489,0)</f>
        <v>0</v>
      </c>
      <c r="AL489" s="27">
        <f>IF(AN489=21,K489,0)</f>
        <v>0</v>
      </c>
      <c r="AN489" s="27">
        <v>21</v>
      </c>
      <c r="AO489" s="27">
        <f>H489*0.214537634</f>
        <v>0</v>
      </c>
      <c r="AP489" s="27">
        <f>H489*(1-0.214537634)</f>
        <v>0</v>
      </c>
      <c r="AQ489" s="29" t="s">
        <v>84</v>
      </c>
      <c r="AV489" s="27">
        <f>AW489+AX489</f>
        <v>0</v>
      </c>
      <c r="AW489" s="27">
        <f>G489*AO489</f>
        <v>0</v>
      </c>
      <c r="AX489" s="27">
        <f>G489*AP489</f>
        <v>0</v>
      </c>
      <c r="AY489" s="29" t="s">
        <v>313</v>
      </c>
      <c r="AZ489" s="29" t="s">
        <v>1032</v>
      </c>
      <c r="BA489" s="9" t="s">
        <v>899</v>
      </c>
      <c r="BC489" s="27">
        <f>AW489+AX489</f>
        <v>0</v>
      </c>
      <c r="BD489" s="27">
        <f>H489/(100-BE489)*100</f>
        <v>0</v>
      </c>
      <c r="BE489" s="27">
        <v>0</v>
      </c>
      <c r="BF489" s="27">
        <f>489</f>
        <v>489</v>
      </c>
      <c r="BH489" s="27">
        <f>G489*AO489</f>
        <v>0</v>
      </c>
      <c r="BI489" s="27">
        <f>G489*AP489</f>
        <v>0</v>
      </c>
      <c r="BJ489" s="27">
        <f>G489*H489</f>
        <v>0</v>
      </c>
      <c r="BK489" s="27"/>
      <c r="BL489" s="27">
        <v>781</v>
      </c>
      <c r="BW489" s="27">
        <v>21</v>
      </c>
    </row>
    <row r="490" spans="1:12" ht="13.5" customHeight="1">
      <c r="A490" s="30"/>
      <c r="D490" s="166" t="s">
        <v>1033</v>
      </c>
      <c r="E490" s="167"/>
      <c r="F490" s="167"/>
      <c r="G490" s="167"/>
      <c r="H490" s="167"/>
      <c r="I490" s="167"/>
      <c r="J490" s="167"/>
      <c r="K490" s="167"/>
      <c r="L490" s="168"/>
    </row>
    <row r="491" spans="1:12" ht="15">
      <c r="A491" s="30"/>
      <c r="D491" s="32" t="s">
        <v>1034</v>
      </c>
      <c r="E491" s="31" t="s">
        <v>1035</v>
      </c>
      <c r="G491" s="33">
        <v>2.4</v>
      </c>
      <c r="L491" s="34"/>
    </row>
    <row r="492" spans="1:12" ht="13.5" customHeight="1">
      <c r="A492" s="30"/>
      <c r="C492" s="35" t="s">
        <v>102</v>
      </c>
      <c r="D492" s="166" t="s">
        <v>327</v>
      </c>
      <c r="E492" s="167"/>
      <c r="F492" s="167"/>
      <c r="G492" s="167"/>
      <c r="H492" s="167"/>
      <c r="I492" s="167"/>
      <c r="J492" s="167"/>
      <c r="K492" s="167"/>
      <c r="L492" s="168"/>
    </row>
    <row r="493" spans="1:75" ht="13.5" customHeight="1">
      <c r="A493" s="60" t="s">
        <v>1036</v>
      </c>
      <c r="B493" s="61" t="s">
        <v>893</v>
      </c>
      <c r="C493" s="61" t="s">
        <v>1037</v>
      </c>
      <c r="D493" s="179" t="s">
        <v>1038</v>
      </c>
      <c r="E493" s="180"/>
      <c r="F493" s="61" t="s">
        <v>109</v>
      </c>
      <c r="G493" s="62">
        <v>2.52</v>
      </c>
      <c r="H493" s="62">
        <v>0</v>
      </c>
      <c r="I493" s="62">
        <f>G493*AO493</f>
        <v>0</v>
      </c>
      <c r="J493" s="62">
        <f>G493*AP493</f>
        <v>0</v>
      </c>
      <c r="K493" s="62">
        <f>G493*H493</f>
        <v>0</v>
      </c>
      <c r="L493" s="63" t="s">
        <v>137</v>
      </c>
      <c r="Z493" s="27">
        <f>IF(AQ493="5",BJ493,0)</f>
        <v>0</v>
      </c>
      <c r="AB493" s="27">
        <f>IF(AQ493="1",BH493,0)</f>
        <v>0</v>
      </c>
      <c r="AC493" s="27">
        <f>IF(AQ493="1",BI493,0)</f>
        <v>0</v>
      </c>
      <c r="AD493" s="27">
        <f>IF(AQ493="7",BH493,0)</f>
        <v>0</v>
      </c>
      <c r="AE493" s="27">
        <f>IF(AQ493="7",BI493,0)</f>
        <v>0</v>
      </c>
      <c r="AF493" s="27">
        <f>IF(AQ493="2",BH493,0)</f>
        <v>0</v>
      </c>
      <c r="AG493" s="27">
        <f>IF(AQ493="2",BI493,0)</f>
        <v>0</v>
      </c>
      <c r="AH493" s="27">
        <f>IF(AQ493="0",BJ493,0)</f>
        <v>0</v>
      </c>
      <c r="AI493" s="9" t="s">
        <v>893</v>
      </c>
      <c r="AJ493" s="62">
        <f>IF(AN493=0,K493,0)</f>
        <v>0</v>
      </c>
      <c r="AK493" s="62">
        <f>IF(AN493=12,K493,0)</f>
        <v>0</v>
      </c>
      <c r="AL493" s="62">
        <f>IF(AN493=21,K493,0)</f>
        <v>0</v>
      </c>
      <c r="AN493" s="27">
        <v>21</v>
      </c>
      <c r="AO493" s="27">
        <f>H493*1</f>
        <v>0</v>
      </c>
      <c r="AP493" s="27">
        <f>H493*(1-1)</f>
        <v>0</v>
      </c>
      <c r="AQ493" s="64" t="s">
        <v>84</v>
      </c>
      <c r="AV493" s="27">
        <f>AW493+AX493</f>
        <v>0</v>
      </c>
      <c r="AW493" s="27">
        <f>G493*AO493</f>
        <v>0</v>
      </c>
      <c r="AX493" s="27">
        <f>G493*AP493</f>
        <v>0</v>
      </c>
      <c r="AY493" s="29" t="s">
        <v>313</v>
      </c>
      <c r="AZ493" s="29" t="s">
        <v>1032</v>
      </c>
      <c r="BA493" s="9" t="s">
        <v>899</v>
      </c>
      <c r="BC493" s="27">
        <f>AW493+AX493</f>
        <v>0</v>
      </c>
      <c r="BD493" s="27">
        <f>H493/(100-BE493)*100</f>
        <v>0</v>
      </c>
      <c r="BE493" s="27">
        <v>0</v>
      </c>
      <c r="BF493" s="27">
        <f>493</f>
        <v>493</v>
      </c>
      <c r="BH493" s="62">
        <f>G493*AO493</f>
        <v>0</v>
      </c>
      <c r="BI493" s="62">
        <f>G493*AP493</f>
        <v>0</v>
      </c>
      <c r="BJ493" s="62">
        <f>G493*H493</f>
        <v>0</v>
      </c>
      <c r="BK493" s="62"/>
      <c r="BL493" s="27">
        <v>781</v>
      </c>
      <c r="BW493" s="27">
        <v>21</v>
      </c>
    </row>
    <row r="494" spans="1:12" ht="15">
      <c r="A494" s="30"/>
      <c r="D494" s="32" t="s">
        <v>1034</v>
      </c>
      <c r="E494" s="31" t="s">
        <v>1035</v>
      </c>
      <c r="G494" s="33">
        <v>2.4</v>
      </c>
      <c r="L494" s="34"/>
    </row>
    <row r="495" spans="1:12" ht="15">
      <c r="A495" s="30"/>
      <c r="D495" s="32" t="s">
        <v>1039</v>
      </c>
      <c r="E495" s="31" t="s">
        <v>52</v>
      </c>
      <c r="G495" s="33">
        <v>0.12</v>
      </c>
      <c r="L495" s="34"/>
    </row>
    <row r="496" spans="1:12" ht="13.5" customHeight="1">
      <c r="A496" s="30"/>
      <c r="C496" s="35" t="s">
        <v>102</v>
      </c>
      <c r="D496" s="166" t="s">
        <v>1040</v>
      </c>
      <c r="E496" s="167"/>
      <c r="F496" s="167"/>
      <c r="G496" s="167"/>
      <c r="H496" s="167"/>
      <c r="I496" s="167"/>
      <c r="J496" s="167"/>
      <c r="K496" s="167"/>
      <c r="L496" s="168"/>
    </row>
    <row r="497" spans="1:75" ht="13.5" customHeight="1">
      <c r="A497" s="2" t="s">
        <v>1041</v>
      </c>
      <c r="B497" s="3" t="s">
        <v>893</v>
      </c>
      <c r="C497" s="3" t="s">
        <v>1042</v>
      </c>
      <c r="D497" s="148" t="s">
        <v>1043</v>
      </c>
      <c r="E497" s="143"/>
      <c r="F497" s="3" t="s">
        <v>126</v>
      </c>
      <c r="G497" s="27">
        <v>4.7</v>
      </c>
      <c r="H497" s="27">
        <v>0</v>
      </c>
      <c r="I497" s="27">
        <f>G497*AO497</f>
        <v>0</v>
      </c>
      <c r="J497" s="27">
        <f>G497*AP497</f>
        <v>0</v>
      </c>
      <c r="K497" s="27">
        <f>G497*H497</f>
        <v>0</v>
      </c>
      <c r="L497" s="28" t="s">
        <v>137</v>
      </c>
      <c r="Z497" s="27">
        <f>IF(AQ497="5",BJ497,0)</f>
        <v>0</v>
      </c>
      <c r="AB497" s="27">
        <f>IF(AQ497="1",BH497,0)</f>
        <v>0</v>
      </c>
      <c r="AC497" s="27">
        <f>IF(AQ497="1",BI497,0)</f>
        <v>0</v>
      </c>
      <c r="AD497" s="27">
        <f>IF(AQ497="7",BH497,0)</f>
        <v>0</v>
      </c>
      <c r="AE497" s="27">
        <f>IF(AQ497="7",BI497,0)</f>
        <v>0</v>
      </c>
      <c r="AF497" s="27">
        <f>IF(AQ497="2",BH497,0)</f>
        <v>0</v>
      </c>
      <c r="AG497" s="27">
        <f>IF(AQ497="2",BI497,0)</f>
        <v>0</v>
      </c>
      <c r="AH497" s="27">
        <f>IF(AQ497="0",BJ497,0)</f>
        <v>0</v>
      </c>
      <c r="AI497" s="9" t="s">
        <v>893</v>
      </c>
      <c r="AJ497" s="27">
        <f>IF(AN497=0,K497,0)</f>
        <v>0</v>
      </c>
      <c r="AK497" s="27">
        <f>IF(AN497=12,K497,0)</f>
        <v>0</v>
      </c>
      <c r="AL497" s="27">
        <f>IF(AN497=21,K497,0)</f>
        <v>0</v>
      </c>
      <c r="AN497" s="27">
        <v>21</v>
      </c>
      <c r="AO497" s="27">
        <f>H497*0.788056426</f>
        <v>0</v>
      </c>
      <c r="AP497" s="27">
        <f>H497*(1-0.788056426)</f>
        <v>0</v>
      </c>
      <c r="AQ497" s="29" t="s">
        <v>84</v>
      </c>
      <c r="AV497" s="27">
        <f>AW497+AX497</f>
        <v>0</v>
      </c>
      <c r="AW497" s="27">
        <f>G497*AO497</f>
        <v>0</v>
      </c>
      <c r="AX497" s="27">
        <f>G497*AP497</f>
        <v>0</v>
      </c>
      <c r="AY497" s="29" t="s">
        <v>313</v>
      </c>
      <c r="AZ497" s="29" t="s">
        <v>1032</v>
      </c>
      <c r="BA497" s="9" t="s">
        <v>899</v>
      </c>
      <c r="BC497" s="27">
        <f>AW497+AX497</f>
        <v>0</v>
      </c>
      <c r="BD497" s="27">
        <f>H497/(100-BE497)*100</f>
        <v>0</v>
      </c>
      <c r="BE497" s="27">
        <v>0</v>
      </c>
      <c r="BF497" s="27">
        <f>497</f>
        <v>497</v>
      </c>
      <c r="BH497" s="27">
        <f>G497*AO497</f>
        <v>0</v>
      </c>
      <c r="BI497" s="27">
        <f>G497*AP497</f>
        <v>0</v>
      </c>
      <c r="BJ497" s="27">
        <f>G497*H497</f>
        <v>0</v>
      </c>
      <c r="BK497" s="27"/>
      <c r="BL497" s="27">
        <v>781</v>
      </c>
      <c r="BW497" s="27">
        <v>21</v>
      </c>
    </row>
    <row r="498" spans="1:12" ht="13.5" customHeight="1">
      <c r="A498" s="30"/>
      <c r="D498" s="166" t="s">
        <v>337</v>
      </c>
      <c r="E498" s="167"/>
      <c r="F498" s="167"/>
      <c r="G498" s="167"/>
      <c r="H498" s="167"/>
      <c r="I498" s="167"/>
      <c r="J498" s="167"/>
      <c r="K498" s="167"/>
      <c r="L498" s="168"/>
    </row>
    <row r="499" spans="1:12" ht="15">
      <c r="A499" s="30"/>
      <c r="D499" s="32" t="s">
        <v>1044</v>
      </c>
      <c r="E499" s="31" t="s">
        <v>1035</v>
      </c>
      <c r="G499" s="33">
        <v>4.7</v>
      </c>
      <c r="L499" s="34"/>
    </row>
    <row r="500" spans="1:12" ht="13.5" customHeight="1">
      <c r="A500" s="30"/>
      <c r="C500" s="35" t="s">
        <v>102</v>
      </c>
      <c r="D500" s="166" t="s">
        <v>339</v>
      </c>
      <c r="E500" s="167"/>
      <c r="F500" s="167"/>
      <c r="G500" s="167"/>
      <c r="H500" s="167"/>
      <c r="I500" s="167"/>
      <c r="J500" s="167"/>
      <c r="K500" s="167"/>
      <c r="L500" s="168"/>
    </row>
    <row r="501" spans="1:75" ht="13.5" customHeight="1">
      <c r="A501" s="2" t="s">
        <v>1045</v>
      </c>
      <c r="B501" s="3" t="s">
        <v>893</v>
      </c>
      <c r="C501" s="3" t="s">
        <v>356</v>
      </c>
      <c r="D501" s="148" t="s">
        <v>357</v>
      </c>
      <c r="E501" s="143"/>
      <c r="F501" s="3" t="s">
        <v>154</v>
      </c>
      <c r="G501" s="27">
        <v>2</v>
      </c>
      <c r="H501" s="27">
        <v>0</v>
      </c>
      <c r="I501" s="27">
        <f>G501*AO501</f>
        <v>0</v>
      </c>
      <c r="J501" s="27">
        <f>G501*AP501</f>
        <v>0</v>
      </c>
      <c r="K501" s="27">
        <f>G501*H501</f>
        <v>0</v>
      </c>
      <c r="L501" s="28" t="s">
        <v>137</v>
      </c>
      <c r="Z501" s="27">
        <f>IF(AQ501="5",BJ501,0)</f>
        <v>0</v>
      </c>
      <c r="AB501" s="27">
        <f>IF(AQ501="1",BH501,0)</f>
        <v>0</v>
      </c>
      <c r="AC501" s="27">
        <f>IF(AQ501="1",BI501,0)</f>
        <v>0</v>
      </c>
      <c r="AD501" s="27">
        <f>IF(AQ501="7",BH501,0)</f>
        <v>0</v>
      </c>
      <c r="AE501" s="27">
        <f>IF(AQ501="7",BI501,0)</f>
        <v>0</v>
      </c>
      <c r="AF501" s="27">
        <f>IF(AQ501="2",BH501,0)</f>
        <v>0</v>
      </c>
      <c r="AG501" s="27">
        <f>IF(AQ501="2",BI501,0)</f>
        <v>0</v>
      </c>
      <c r="AH501" s="27">
        <f>IF(AQ501="0",BJ501,0)</f>
        <v>0</v>
      </c>
      <c r="AI501" s="9" t="s">
        <v>893</v>
      </c>
      <c r="AJ501" s="27">
        <f>IF(AN501=0,K501,0)</f>
        <v>0</v>
      </c>
      <c r="AK501" s="27">
        <f>IF(AN501=12,K501,0)</f>
        <v>0</v>
      </c>
      <c r="AL501" s="27">
        <f>IF(AN501=21,K501,0)</f>
        <v>0</v>
      </c>
      <c r="AN501" s="27">
        <v>21</v>
      </c>
      <c r="AO501" s="27">
        <f>H501*0.017595819</f>
        <v>0</v>
      </c>
      <c r="AP501" s="27">
        <f>H501*(1-0.017595819)</f>
        <v>0</v>
      </c>
      <c r="AQ501" s="29" t="s">
        <v>84</v>
      </c>
      <c r="AV501" s="27">
        <f>AW501+AX501</f>
        <v>0</v>
      </c>
      <c r="AW501" s="27">
        <f>G501*AO501</f>
        <v>0</v>
      </c>
      <c r="AX501" s="27">
        <f>G501*AP501</f>
        <v>0</v>
      </c>
      <c r="AY501" s="29" t="s">
        <v>313</v>
      </c>
      <c r="AZ501" s="29" t="s">
        <v>1032</v>
      </c>
      <c r="BA501" s="9" t="s">
        <v>899</v>
      </c>
      <c r="BC501" s="27">
        <f>AW501+AX501</f>
        <v>0</v>
      </c>
      <c r="BD501" s="27">
        <f>H501/(100-BE501)*100</f>
        <v>0</v>
      </c>
      <c r="BE501" s="27">
        <v>0</v>
      </c>
      <c r="BF501" s="27">
        <f>501</f>
        <v>501</v>
      </c>
      <c r="BH501" s="27">
        <f>G501*AO501</f>
        <v>0</v>
      </c>
      <c r="BI501" s="27">
        <f>G501*AP501</f>
        <v>0</v>
      </c>
      <c r="BJ501" s="27">
        <f>G501*H501</f>
        <v>0</v>
      </c>
      <c r="BK501" s="27"/>
      <c r="BL501" s="27">
        <v>781</v>
      </c>
      <c r="BW501" s="27">
        <v>21</v>
      </c>
    </row>
    <row r="502" spans="1:12" ht="15">
      <c r="A502" s="30"/>
      <c r="D502" s="32" t="s">
        <v>60</v>
      </c>
      <c r="E502" s="31" t="s">
        <v>52</v>
      </c>
      <c r="G502" s="33">
        <v>2</v>
      </c>
      <c r="L502" s="34"/>
    </row>
    <row r="503" spans="1:75" ht="13.5" customHeight="1">
      <c r="A503" s="2" t="s">
        <v>1046</v>
      </c>
      <c r="B503" s="3" t="s">
        <v>893</v>
      </c>
      <c r="C503" s="3" t="s">
        <v>361</v>
      </c>
      <c r="D503" s="148" t="s">
        <v>362</v>
      </c>
      <c r="E503" s="143"/>
      <c r="F503" s="3" t="s">
        <v>154</v>
      </c>
      <c r="G503" s="27">
        <v>1</v>
      </c>
      <c r="H503" s="27">
        <v>0</v>
      </c>
      <c r="I503" s="27">
        <f>G503*AO503</f>
        <v>0</v>
      </c>
      <c r="J503" s="27">
        <f>G503*AP503</f>
        <v>0</v>
      </c>
      <c r="K503" s="27">
        <f>G503*H503</f>
        <v>0</v>
      </c>
      <c r="L503" s="28" t="s">
        <v>137</v>
      </c>
      <c r="Z503" s="27">
        <f>IF(AQ503="5",BJ503,0)</f>
        <v>0</v>
      </c>
      <c r="AB503" s="27">
        <f>IF(AQ503="1",BH503,0)</f>
        <v>0</v>
      </c>
      <c r="AC503" s="27">
        <f>IF(AQ503="1",BI503,0)</f>
        <v>0</v>
      </c>
      <c r="AD503" s="27">
        <f>IF(AQ503="7",BH503,0)</f>
        <v>0</v>
      </c>
      <c r="AE503" s="27">
        <f>IF(AQ503="7",BI503,0)</f>
        <v>0</v>
      </c>
      <c r="AF503" s="27">
        <f>IF(AQ503="2",BH503,0)</f>
        <v>0</v>
      </c>
      <c r="AG503" s="27">
        <f>IF(AQ503="2",BI503,0)</f>
        <v>0</v>
      </c>
      <c r="AH503" s="27">
        <f>IF(AQ503="0",BJ503,0)</f>
        <v>0</v>
      </c>
      <c r="AI503" s="9" t="s">
        <v>893</v>
      </c>
      <c r="AJ503" s="27">
        <f>IF(AN503=0,K503,0)</f>
        <v>0</v>
      </c>
      <c r="AK503" s="27">
        <f>IF(AN503=12,K503,0)</f>
        <v>0</v>
      </c>
      <c r="AL503" s="27">
        <f>IF(AN503=21,K503,0)</f>
        <v>0</v>
      </c>
      <c r="AN503" s="27">
        <v>21</v>
      </c>
      <c r="AO503" s="27">
        <f>H503*0.058054711</f>
        <v>0</v>
      </c>
      <c r="AP503" s="27">
        <f>H503*(1-0.058054711)</f>
        <v>0</v>
      </c>
      <c r="AQ503" s="29" t="s">
        <v>84</v>
      </c>
      <c r="AV503" s="27">
        <f>AW503+AX503</f>
        <v>0</v>
      </c>
      <c r="AW503" s="27">
        <f>G503*AO503</f>
        <v>0</v>
      </c>
      <c r="AX503" s="27">
        <f>G503*AP503</f>
        <v>0</v>
      </c>
      <c r="AY503" s="29" t="s">
        <v>313</v>
      </c>
      <c r="AZ503" s="29" t="s">
        <v>1032</v>
      </c>
      <c r="BA503" s="9" t="s">
        <v>899</v>
      </c>
      <c r="BC503" s="27">
        <f>AW503+AX503</f>
        <v>0</v>
      </c>
      <c r="BD503" s="27">
        <f>H503/(100-BE503)*100</f>
        <v>0</v>
      </c>
      <c r="BE503" s="27">
        <v>0</v>
      </c>
      <c r="BF503" s="27">
        <f>503</f>
        <v>503</v>
      </c>
      <c r="BH503" s="27">
        <f>G503*AO503</f>
        <v>0</v>
      </c>
      <c r="BI503" s="27">
        <f>G503*AP503</f>
        <v>0</v>
      </c>
      <c r="BJ503" s="27">
        <f>G503*H503</f>
        <v>0</v>
      </c>
      <c r="BK503" s="27"/>
      <c r="BL503" s="27">
        <v>781</v>
      </c>
      <c r="BW503" s="27">
        <v>21</v>
      </c>
    </row>
    <row r="504" spans="1:12" ht="15">
      <c r="A504" s="30"/>
      <c r="D504" s="32" t="s">
        <v>57</v>
      </c>
      <c r="E504" s="31" t="s">
        <v>52</v>
      </c>
      <c r="G504" s="33">
        <v>1</v>
      </c>
      <c r="L504" s="34"/>
    </row>
    <row r="505" spans="1:75" ht="13.5" customHeight="1">
      <c r="A505" s="2" t="s">
        <v>1047</v>
      </c>
      <c r="B505" s="3" t="s">
        <v>893</v>
      </c>
      <c r="C505" s="3" t="s">
        <v>350</v>
      </c>
      <c r="D505" s="148" t="s">
        <v>351</v>
      </c>
      <c r="E505" s="143"/>
      <c r="F505" s="3" t="s">
        <v>109</v>
      </c>
      <c r="G505" s="27">
        <v>2.4</v>
      </c>
      <c r="H505" s="27">
        <v>0</v>
      </c>
      <c r="I505" s="27">
        <f>G505*AO505</f>
        <v>0</v>
      </c>
      <c r="J505" s="27">
        <f>G505*AP505</f>
        <v>0</v>
      </c>
      <c r="K505" s="27">
        <f>G505*H505</f>
        <v>0</v>
      </c>
      <c r="L505" s="28" t="s">
        <v>137</v>
      </c>
      <c r="Z505" s="27">
        <f>IF(AQ505="5",BJ505,0)</f>
        <v>0</v>
      </c>
      <c r="AB505" s="27">
        <f>IF(AQ505="1",BH505,0)</f>
        <v>0</v>
      </c>
      <c r="AC505" s="27">
        <f>IF(AQ505="1",BI505,0)</f>
        <v>0</v>
      </c>
      <c r="AD505" s="27">
        <f>IF(AQ505="7",BH505,0)</f>
        <v>0</v>
      </c>
      <c r="AE505" s="27">
        <f>IF(AQ505="7",BI505,0)</f>
        <v>0</v>
      </c>
      <c r="AF505" s="27">
        <f>IF(AQ505="2",BH505,0)</f>
        <v>0</v>
      </c>
      <c r="AG505" s="27">
        <f>IF(AQ505="2",BI505,0)</f>
        <v>0</v>
      </c>
      <c r="AH505" s="27">
        <f>IF(AQ505="0",BJ505,0)</f>
        <v>0</v>
      </c>
      <c r="AI505" s="9" t="s">
        <v>893</v>
      </c>
      <c r="AJ505" s="27">
        <f>IF(AN505=0,K505,0)</f>
        <v>0</v>
      </c>
      <c r="AK505" s="27">
        <f>IF(AN505=12,K505,0)</f>
        <v>0</v>
      </c>
      <c r="AL505" s="27">
        <f>IF(AN505=21,K505,0)</f>
        <v>0</v>
      </c>
      <c r="AN505" s="27">
        <v>21</v>
      </c>
      <c r="AO505" s="27">
        <f>H505*0</f>
        <v>0</v>
      </c>
      <c r="AP505" s="27">
        <f>H505*(1-0)</f>
        <v>0</v>
      </c>
      <c r="AQ505" s="29" t="s">
        <v>84</v>
      </c>
      <c r="AV505" s="27">
        <f>AW505+AX505</f>
        <v>0</v>
      </c>
      <c r="AW505" s="27">
        <f>G505*AO505</f>
        <v>0</v>
      </c>
      <c r="AX505" s="27">
        <f>G505*AP505</f>
        <v>0</v>
      </c>
      <c r="AY505" s="29" t="s">
        <v>313</v>
      </c>
      <c r="AZ505" s="29" t="s">
        <v>1032</v>
      </c>
      <c r="BA505" s="9" t="s">
        <v>899</v>
      </c>
      <c r="BC505" s="27">
        <f>AW505+AX505</f>
        <v>0</v>
      </c>
      <c r="BD505" s="27">
        <f>H505/(100-BE505)*100</f>
        <v>0</v>
      </c>
      <c r="BE505" s="27">
        <v>0</v>
      </c>
      <c r="BF505" s="27">
        <f>505</f>
        <v>505</v>
      </c>
      <c r="BH505" s="27">
        <f>G505*AO505</f>
        <v>0</v>
      </c>
      <c r="BI505" s="27">
        <f>G505*AP505</f>
        <v>0</v>
      </c>
      <c r="BJ505" s="27">
        <f>G505*H505</f>
        <v>0</v>
      </c>
      <c r="BK505" s="27"/>
      <c r="BL505" s="27">
        <v>781</v>
      </c>
      <c r="BW505" s="27">
        <v>21</v>
      </c>
    </row>
    <row r="506" spans="1:12" ht="15">
      <c r="A506" s="30"/>
      <c r="D506" s="32" t="s">
        <v>1034</v>
      </c>
      <c r="E506" s="31" t="s">
        <v>1035</v>
      </c>
      <c r="G506" s="33">
        <v>2.4</v>
      </c>
      <c r="L506" s="34"/>
    </row>
    <row r="507" spans="1:12" ht="13.5" customHeight="1">
      <c r="A507" s="30"/>
      <c r="C507" s="35" t="s">
        <v>102</v>
      </c>
      <c r="D507" s="166" t="s">
        <v>354</v>
      </c>
      <c r="E507" s="167"/>
      <c r="F507" s="167"/>
      <c r="G507" s="167"/>
      <c r="H507" s="167"/>
      <c r="I507" s="167"/>
      <c r="J507" s="167"/>
      <c r="K507" s="167"/>
      <c r="L507" s="168"/>
    </row>
    <row r="508" spans="1:75" ht="13.5" customHeight="1">
      <c r="A508" s="60" t="s">
        <v>1048</v>
      </c>
      <c r="B508" s="61" t="s">
        <v>893</v>
      </c>
      <c r="C508" s="61" t="s">
        <v>1049</v>
      </c>
      <c r="D508" s="179" t="s">
        <v>1050</v>
      </c>
      <c r="E508" s="180"/>
      <c r="F508" s="61" t="s">
        <v>282</v>
      </c>
      <c r="G508" s="62">
        <v>3.78</v>
      </c>
      <c r="H508" s="62">
        <v>0</v>
      </c>
      <c r="I508" s="62">
        <f>G508*AO508</f>
        <v>0</v>
      </c>
      <c r="J508" s="62">
        <f>G508*AP508</f>
        <v>0</v>
      </c>
      <c r="K508" s="62">
        <f>G508*H508</f>
        <v>0</v>
      </c>
      <c r="L508" s="63" t="s">
        <v>137</v>
      </c>
      <c r="Z508" s="27">
        <f>IF(AQ508="5",BJ508,0)</f>
        <v>0</v>
      </c>
      <c r="AB508" s="27">
        <f>IF(AQ508="1",BH508,0)</f>
        <v>0</v>
      </c>
      <c r="AC508" s="27">
        <f>IF(AQ508="1",BI508,0)</f>
        <v>0</v>
      </c>
      <c r="AD508" s="27">
        <f>IF(AQ508="7",BH508,0)</f>
        <v>0</v>
      </c>
      <c r="AE508" s="27">
        <f>IF(AQ508="7",BI508,0)</f>
        <v>0</v>
      </c>
      <c r="AF508" s="27">
        <f>IF(AQ508="2",BH508,0)</f>
        <v>0</v>
      </c>
      <c r="AG508" s="27">
        <f>IF(AQ508="2",BI508,0)</f>
        <v>0</v>
      </c>
      <c r="AH508" s="27">
        <f>IF(AQ508="0",BJ508,0)</f>
        <v>0</v>
      </c>
      <c r="AI508" s="9" t="s">
        <v>893</v>
      </c>
      <c r="AJ508" s="62">
        <f>IF(AN508=0,K508,0)</f>
        <v>0</v>
      </c>
      <c r="AK508" s="62">
        <f>IF(AN508=12,K508,0)</f>
        <v>0</v>
      </c>
      <c r="AL508" s="62">
        <f>IF(AN508=21,K508,0)</f>
        <v>0</v>
      </c>
      <c r="AN508" s="27">
        <v>21</v>
      </c>
      <c r="AO508" s="27">
        <f>H508*1</f>
        <v>0</v>
      </c>
      <c r="AP508" s="27">
        <f>H508*(1-1)</f>
        <v>0</v>
      </c>
      <c r="AQ508" s="64" t="s">
        <v>84</v>
      </c>
      <c r="AV508" s="27">
        <f>AW508+AX508</f>
        <v>0</v>
      </c>
      <c r="AW508" s="27">
        <f>G508*AO508</f>
        <v>0</v>
      </c>
      <c r="AX508" s="27">
        <f>G508*AP508</f>
        <v>0</v>
      </c>
      <c r="AY508" s="29" t="s">
        <v>313</v>
      </c>
      <c r="AZ508" s="29" t="s">
        <v>1032</v>
      </c>
      <c r="BA508" s="9" t="s">
        <v>899</v>
      </c>
      <c r="BC508" s="27">
        <f>AW508+AX508</f>
        <v>0</v>
      </c>
      <c r="BD508" s="27">
        <f>H508/(100-BE508)*100</f>
        <v>0</v>
      </c>
      <c r="BE508" s="27">
        <v>0</v>
      </c>
      <c r="BF508" s="27">
        <f>508</f>
        <v>508</v>
      </c>
      <c r="BH508" s="62">
        <f>G508*AO508</f>
        <v>0</v>
      </c>
      <c r="BI508" s="62">
        <f>G508*AP508</f>
        <v>0</v>
      </c>
      <c r="BJ508" s="62">
        <f>G508*H508</f>
        <v>0</v>
      </c>
      <c r="BK508" s="62"/>
      <c r="BL508" s="27">
        <v>781</v>
      </c>
      <c r="BW508" s="27">
        <v>21</v>
      </c>
    </row>
    <row r="509" spans="1:12" ht="15">
      <c r="A509" s="30"/>
      <c r="D509" s="32" t="s">
        <v>1051</v>
      </c>
      <c r="E509" s="31" t="s">
        <v>1035</v>
      </c>
      <c r="G509" s="33">
        <v>3.6</v>
      </c>
      <c r="L509" s="34"/>
    </row>
    <row r="510" spans="1:12" ht="15">
      <c r="A510" s="30"/>
      <c r="D510" s="32" t="s">
        <v>1052</v>
      </c>
      <c r="E510" s="31" t="s">
        <v>52</v>
      </c>
      <c r="G510" s="33">
        <v>0.18</v>
      </c>
      <c r="L510" s="34"/>
    </row>
    <row r="511" spans="1:12" ht="27" customHeight="1">
      <c r="A511" s="30"/>
      <c r="C511" s="35" t="s">
        <v>102</v>
      </c>
      <c r="D511" s="166" t="s">
        <v>1053</v>
      </c>
      <c r="E511" s="167"/>
      <c r="F511" s="167"/>
      <c r="G511" s="167"/>
      <c r="H511" s="167"/>
      <c r="I511" s="167"/>
      <c r="J511" s="167"/>
      <c r="K511" s="167"/>
      <c r="L511" s="168"/>
    </row>
    <row r="512" spans="1:75" ht="13.5" customHeight="1">
      <c r="A512" s="2" t="s">
        <v>1054</v>
      </c>
      <c r="B512" s="3" t="s">
        <v>893</v>
      </c>
      <c r="C512" s="3" t="s">
        <v>1055</v>
      </c>
      <c r="D512" s="148" t="s">
        <v>1056</v>
      </c>
      <c r="E512" s="143"/>
      <c r="F512" s="3" t="s">
        <v>109</v>
      </c>
      <c r="G512" s="27">
        <v>2.4</v>
      </c>
      <c r="H512" s="27">
        <v>0</v>
      </c>
      <c r="I512" s="27">
        <f>G512*AO512</f>
        <v>0</v>
      </c>
      <c r="J512" s="27">
        <f>G512*AP512</f>
        <v>0</v>
      </c>
      <c r="K512" s="27">
        <f>G512*H512</f>
        <v>0</v>
      </c>
      <c r="L512" s="28" t="s">
        <v>137</v>
      </c>
      <c r="Z512" s="27">
        <f>IF(AQ512="5",BJ512,0)</f>
        <v>0</v>
      </c>
      <c r="AB512" s="27">
        <f>IF(AQ512="1",BH512,0)</f>
        <v>0</v>
      </c>
      <c r="AC512" s="27">
        <f>IF(AQ512="1",BI512,0)</f>
        <v>0</v>
      </c>
      <c r="AD512" s="27">
        <f>IF(AQ512="7",BH512,0)</f>
        <v>0</v>
      </c>
      <c r="AE512" s="27">
        <f>IF(AQ512="7",BI512,0)</f>
        <v>0</v>
      </c>
      <c r="AF512" s="27">
        <f>IF(AQ512="2",BH512,0)</f>
        <v>0</v>
      </c>
      <c r="AG512" s="27">
        <f>IF(AQ512="2",BI512,0)</f>
        <v>0</v>
      </c>
      <c r="AH512" s="27">
        <f>IF(AQ512="0",BJ512,0)</f>
        <v>0</v>
      </c>
      <c r="AI512" s="9" t="s">
        <v>893</v>
      </c>
      <c r="AJ512" s="27">
        <f>IF(AN512=0,K512,0)</f>
        <v>0</v>
      </c>
      <c r="AK512" s="27">
        <f>IF(AN512=12,K512,0)</f>
        <v>0</v>
      </c>
      <c r="AL512" s="27">
        <f>IF(AN512=21,K512,0)</f>
        <v>0</v>
      </c>
      <c r="AN512" s="27">
        <v>21</v>
      </c>
      <c r="AO512" s="27">
        <f>H512*0</f>
        <v>0</v>
      </c>
      <c r="AP512" s="27">
        <f>H512*(1-0)</f>
        <v>0</v>
      </c>
      <c r="AQ512" s="29" t="s">
        <v>84</v>
      </c>
      <c r="AV512" s="27">
        <f>AW512+AX512</f>
        <v>0</v>
      </c>
      <c r="AW512" s="27">
        <f>G512*AO512</f>
        <v>0</v>
      </c>
      <c r="AX512" s="27">
        <f>G512*AP512</f>
        <v>0</v>
      </c>
      <c r="AY512" s="29" t="s">
        <v>313</v>
      </c>
      <c r="AZ512" s="29" t="s">
        <v>1032</v>
      </c>
      <c r="BA512" s="9" t="s">
        <v>899</v>
      </c>
      <c r="BC512" s="27">
        <f>AW512+AX512</f>
        <v>0</v>
      </c>
      <c r="BD512" s="27">
        <f>H512/(100-BE512)*100</f>
        <v>0</v>
      </c>
      <c r="BE512" s="27">
        <v>0</v>
      </c>
      <c r="BF512" s="27">
        <f>512</f>
        <v>512</v>
      </c>
      <c r="BH512" s="27">
        <f>G512*AO512</f>
        <v>0</v>
      </c>
      <c r="BI512" s="27">
        <f>G512*AP512</f>
        <v>0</v>
      </c>
      <c r="BJ512" s="27">
        <f>G512*H512</f>
        <v>0</v>
      </c>
      <c r="BK512" s="27"/>
      <c r="BL512" s="27">
        <v>781</v>
      </c>
      <c r="BW512" s="27">
        <v>21</v>
      </c>
    </row>
    <row r="513" spans="1:12" ht="15">
      <c r="A513" s="30"/>
      <c r="D513" s="32" t="s">
        <v>1034</v>
      </c>
      <c r="E513" s="31" t="s">
        <v>1035</v>
      </c>
      <c r="G513" s="33">
        <v>2.4</v>
      </c>
      <c r="L513" s="34"/>
    </row>
    <row r="514" spans="1:75" ht="13.5" customHeight="1">
      <c r="A514" s="2" t="s">
        <v>1057</v>
      </c>
      <c r="B514" s="3" t="s">
        <v>893</v>
      </c>
      <c r="C514" s="3" t="s">
        <v>1058</v>
      </c>
      <c r="D514" s="148" t="s">
        <v>1059</v>
      </c>
      <c r="E514" s="143"/>
      <c r="F514" s="3" t="s">
        <v>951</v>
      </c>
      <c r="G514" s="27">
        <v>67.66</v>
      </c>
      <c r="H514" s="27">
        <v>0</v>
      </c>
      <c r="I514" s="27">
        <f>G514*AO514</f>
        <v>0</v>
      </c>
      <c r="J514" s="27">
        <f>G514*AP514</f>
        <v>0</v>
      </c>
      <c r="K514" s="27">
        <f>G514*H514</f>
        <v>0</v>
      </c>
      <c r="L514" s="28" t="s">
        <v>137</v>
      </c>
      <c r="Z514" s="27">
        <f>IF(AQ514="5",BJ514,0)</f>
        <v>0</v>
      </c>
      <c r="AB514" s="27">
        <f>IF(AQ514="1",BH514,0)</f>
        <v>0</v>
      </c>
      <c r="AC514" s="27">
        <f>IF(AQ514="1",BI514,0)</f>
        <v>0</v>
      </c>
      <c r="AD514" s="27">
        <f>IF(AQ514="7",BH514,0)</f>
        <v>0</v>
      </c>
      <c r="AE514" s="27">
        <f>IF(AQ514="7",BI514,0)</f>
        <v>0</v>
      </c>
      <c r="AF514" s="27">
        <f>IF(AQ514="2",BH514,0)</f>
        <v>0</v>
      </c>
      <c r="AG514" s="27">
        <f>IF(AQ514="2",BI514,0)</f>
        <v>0</v>
      </c>
      <c r="AH514" s="27">
        <f>IF(AQ514="0",BJ514,0)</f>
        <v>0</v>
      </c>
      <c r="AI514" s="9" t="s">
        <v>893</v>
      </c>
      <c r="AJ514" s="27">
        <f>IF(AN514=0,K514,0)</f>
        <v>0</v>
      </c>
      <c r="AK514" s="27">
        <f>IF(AN514=12,K514,0)</f>
        <v>0</v>
      </c>
      <c r="AL514" s="27">
        <f>IF(AN514=21,K514,0)</f>
        <v>0</v>
      </c>
      <c r="AN514" s="27">
        <v>21</v>
      </c>
      <c r="AO514" s="27">
        <f>H514*0</f>
        <v>0</v>
      </c>
      <c r="AP514" s="27">
        <f>H514*(1-0)</f>
        <v>0</v>
      </c>
      <c r="AQ514" s="29" t="s">
        <v>78</v>
      </c>
      <c r="AV514" s="27">
        <f>AW514+AX514</f>
        <v>0</v>
      </c>
      <c r="AW514" s="27">
        <f>G514*AO514</f>
        <v>0</v>
      </c>
      <c r="AX514" s="27">
        <f>G514*AP514</f>
        <v>0</v>
      </c>
      <c r="AY514" s="29" t="s">
        <v>313</v>
      </c>
      <c r="AZ514" s="29" t="s">
        <v>1032</v>
      </c>
      <c r="BA514" s="9" t="s">
        <v>899</v>
      </c>
      <c r="BC514" s="27">
        <f>AW514+AX514</f>
        <v>0</v>
      </c>
      <c r="BD514" s="27">
        <f>H514/(100-BE514)*100</f>
        <v>0</v>
      </c>
      <c r="BE514" s="27">
        <v>0</v>
      </c>
      <c r="BF514" s="27">
        <f>514</f>
        <v>514</v>
      </c>
      <c r="BH514" s="27">
        <f>G514*AO514</f>
        <v>0</v>
      </c>
      <c r="BI514" s="27">
        <f>G514*AP514</f>
        <v>0</v>
      </c>
      <c r="BJ514" s="27">
        <f>G514*H514</f>
        <v>0</v>
      </c>
      <c r="BK514" s="27"/>
      <c r="BL514" s="27">
        <v>781</v>
      </c>
      <c r="BW514" s="27">
        <v>21</v>
      </c>
    </row>
    <row r="515" spans="1:12" ht="15">
      <c r="A515" s="30"/>
      <c r="D515" s="32" t="s">
        <v>1060</v>
      </c>
      <c r="E515" s="31" t="s">
        <v>52</v>
      </c>
      <c r="G515" s="33">
        <v>67.66</v>
      </c>
      <c r="L515" s="34"/>
    </row>
    <row r="516" spans="1:47" ht="15">
      <c r="A516" s="23" t="s">
        <v>52</v>
      </c>
      <c r="B516" s="24" t="s">
        <v>893</v>
      </c>
      <c r="C516" s="24" t="s">
        <v>364</v>
      </c>
      <c r="D516" s="164" t="s">
        <v>365</v>
      </c>
      <c r="E516" s="165"/>
      <c r="F516" s="25" t="s">
        <v>4</v>
      </c>
      <c r="G516" s="25" t="s">
        <v>4</v>
      </c>
      <c r="H516" s="25" t="s">
        <v>4</v>
      </c>
      <c r="I516" s="1">
        <f>SUM(I517:I524)</f>
        <v>0</v>
      </c>
      <c r="J516" s="1">
        <f>SUM(J517:J524)</f>
        <v>0</v>
      </c>
      <c r="K516" s="1">
        <f>SUM(K517:K524)</f>
        <v>0</v>
      </c>
      <c r="L516" s="26" t="s">
        <v>52</v>
      </c>
      <c r="AI516" s="9" t="s">
        <v>893</v>
      </c>
      <c r="AS516" s="1">
        <f>SUM(AJ517:AJ524)</f>
        <v>0</v>
      </c>
      <c r="AT516" s="1">
        <f>SUM(AK517:AK524)</f>
        <v>0</v>
      </c>
      <c r="AU516" s="1">
        <f>SUM(AL517:AL524)</f>
        <v>0</v>
      </c>
    </row>
    <row r="517" spans="1:75" ht="13.5" customHeight="1">
      <c r="A517" s="2" t="s">
        <v>1061</v>
      </c>
      <c r="B517" s="3" t="s">
        <v>893</v>
      </c>
      <c r="C517" s="3" t="s">
        <v>1062</v>
      </c>
      <c r="D517" s="148" t="s">
        <v>1063</v>
      </c>
      <c r="E517" s="143"/>
      <c r="F517" s="3" t="s">
        <v>109</v>
      </c>
      <c r="G517" s="27">
        <v>10</v>
      </c>
      <c r="H517" s="27">
        <v>0</v>
      </c>
      <c r="I517" s="27">
        <f>G517*AO517</f>
        <v>0</v>
      </c>
      <c r="J517" s="27">
        <f>G517*AP517</f>
        <v>0</v>
      </c>
      <c r="K517" s="27">
        <f>G517*H517</f>
        <v>0</v>
      </c>
      <c r="L517" s="28" t="s">
        <v>137</v>
      </c>
      <c r="Z517" s="27">
        <f>IF(AQ517="5",BJ517,0)</f>
        <v>0</v>
      </c>
      <c r="AB517" s="27">
        <f>IF(AQ517="1",BH517,0)</f>
        <v>0</v>
      </c>
      <c r="AC517" s="27">
        <f>IF(AQ517="1",BI517,0)</f>
        <v>0</v>
      </c>
      <c r="AD517" s="27">
        <f>IF(AQ517="7",BH517,0)</f>
        <v>0</v>
      </c>
      <c r="AE517" s="27">
        <f>IF(AQ517="7",BI517,0)</f>
        <v>0</v>
      </c>
      <c r="AF517" s="27">
        <f>IF(AQ517="2",BH517,0)</f>
        <v>0</v>
      </c>
      <c r="AG517" s="27">
        <f>IF(AQ517="2",BI517,0)</f>
        <v>0</v>
      </c>
      <c r="AH517" s="27">
        <f>IF(AQ517="0",BJ517,0)</f>
        <v>0</v>
      </c>
      <c r="AI517" s="9" t="s">
        <v>893</v>
      </c>
      <c r="AJ517" s="27">
        <f>IF(AN517=0,K517,0)</f>
        <v>0</v>
      </c>
      <c r="AK517" s="27">
        <f>IF(AN517=12,K517,0)</f>
        <v>0</v>
      </c>
      <c r="AL517" s="27">
        <f>IF(AN517=21,K517,0)</f>
        <v>0</v>
      </c>
      <c r="AN517" s="27">
        <v>21</v>
      </c>
      <c r="AO517" s="27">
        <f>H517*0.424730053</f>
        <v>0</v>
      </c>
      <c r="AP517" s="27">
        <f>H517*(1-0.424730053)</f>
        <v>0</v>
      </c>
      <c r="AQ517" s="29" t="s">
        <v>84</v>
      </c>
      <c r="AV517" s="27">
        <f>AW517+AX517</f>
        <v>0</v>
      </c>
      <c r="AW517" s="27">
        <f>G517*AO517</f>
        <v>0</v>
      </c>
      <c r="AX517" s="27">
        <f>G517*AP517</f>
        <v>0</v>
      </c>
      <c r="AY517" s="29" t="s">
        <v>369</v>
      </c>
      <c r="AZ517" s="29" t="s">
        <v>1032</v>
      </c>
      <c r="BA517" s="9" t="s">
        <v>899</v>
      </c>
      <c r="BC517" s="27">
        <f>AW517+AX517</f>
        <v>0</v>
      </c>
      <c r="BD517" s="27">
        <f>H517/(100-BE517)*100</f>
        <v>0</v>
      </c>
      <c r="BE517" s="27">
        <v>0</v>
      </c>
      <c r="BF517" s="27">
        <f>517</f>
        <v>517</v>
      </c>
      <c r="BH517" s="27">
        <f>G517*AO517</f>
        <v>0</v>
      </c>
      <c r="BI517" s="27">
        <f>G517*AP517</f>
        <v>0</v>
      </c>
      <c r="BJ517" s="27">
        <f>G517*H517</f>
        <v>0</v>
      </c>
      <c r="BK517" s="27"/>
      <c r="BL517" s="27">
        <v>783</v>
      </c>
      <c r="BW517" s="27">
        <v>21</v>
      </c>
    </row>
    <row r="518" spans="1:12" ht="15">
      <c r="A518" s="30"/>
      <c r="D518" s="32" t="s">
        <v>106</v>
      </c>
      <c r="E518" s="31" t="s">
        <v>52</v>
      </c>
      <c r="G518" s="33">
        <v>10</v>
      </c>
      <c r="L518" s="34"/>
    </row>
    <row r="519" spans="1:75" ht="13.5" customHeight="1">
      <c r="A519" s="2" t="s">
        <v>1064</v>
      </c>
      <c r="B519" s="3" t="s">
        <v>893</v>
      </c>
      <c r="C519" s="3" t="s">
        <v>1065</v>
      </c>
      <c r="D519" s="148" t="s">
        <v>1066</v>
      </c>
      <c r="E519" s="143"/>
      <c r="F519" s="3" t="s">
        <v>126</v>
      </c>
      <c r="G519" s="27">
        <v>11.96</v>
      </c>
      <c r="H519" s="27">
        <v>0</v>
      </c>
      <c r="I519" s="27">
        <f>G519*AO519</f>
        <v>0</v>
      </c>
      <c r="J519" s="27">
        <f>G519*AP519</f>
        <v>0</v>
      </c>
      <c r="K519" s="27">
        <f>G519*H519</f>
        <v>0</v>
      </c>
      <c r="L519" s="28" t="s">
        <v>137</v>
      </c>
      <c r="Z519" s="27">
        <f>IF(AQ519="5",BJ519,0)</f>
        <v>0</v>
      </c>
      <c r="AB519" s="27">
        <f>IF(AQ519="1",BH519,0)</f>
        <v>0</v>
      </c>
      <c r="AC519" s="27">
        <f>IF(AQ519="1",BI519,0)</f>
        <v>0</v>
      </c>
      <c r="AD519" s="27">
        <f>IF(AQ519="7",BH519,0)</f>
        <v>0</v>
      </c>
      <c r="AE519" s="27">
        <f>IF(AQ519="7",BI519,0)</f>
        <v>0</v>
      </c>
      <c r="AF519" s="27">
        <f>IF(AQ519="2",BH519,0)</f>
        <v>0</v>
      </c>
      <c r="AG519" s="27">
        <f>IF(AQ519="2",BI519,0)</f>
        <v>0</v>
      </c>
      <c r="AH519" s="27">
        <f>IF(AQ519="0",BJ519,0)</f>
        <v>0</v>
      </c>
      <c r="AI519" s="9" t="s">
        <v>893</v>
      </c>
      <c r="AJ519" s="27">
        <f>IF(AN519=0,K519,0)</f>
        <v>0</v>
      </c>
      <c r="AK519" s="27">
        <f>IF(AN519=12,K519,0)</f>
        <v>0</v>
      </c>
      <c r="AL519" s="27">
        <f>IF(AN519=21,K519,0)</f>
        <v>0</v>
      </c>
      <c r="AN519" s="27">
        <v>21</v>
      </c>
      <c r="AO519" s="27">
        <f>H519*0.21772355</f>
        <v>0</v>
      </c>
      <c r="AP519" s="27">
        <f>H519*(1-0.21772355)</f>
        <v>0</v>
      </c>
      <c r="AQ519" s="29" t="s">
        <v>84</v>
      </c>
      <c r="AV519" s="27">
        <f>AW519+AX519</f>
        <v>0</v>
      </c>
      <c r="AW519" s="27">
        <f>G519*AO519</f>
        <v>0</v>
      </c>
      <c r="AX519" s="27">
        <f>G519*AP519</f>
        <v>0</v>
      </c>
      <c r="AY519" s="29" t="s">
        <v>369</v>
      </c>
      <c r="AZ519" s="29" t="s">
        <v>1032</v>
      </c>
      <c r="BA519" s="9" t="s">
        <v>899</v>
      </c>
      <c r="BC519" s="27">
        <f>AW519+AX519</f>
        <v>0</v>
      </c>
      <c r="BD519" s="27">
        <f>H519/(100-BE519)*100</f>
        <v>0</v>
      </c>
      <c r="BE519" s="27">
        <v>0</v>
      </c>
      <c r="BF519" s="27">
        <f>519</f>
        <v>519</v>
      </c>
      <c r="BH519" s="27">
        <f>G519*AO519</f>
        <v>0</v>
      </c>
      <c r="BI519" s="27">
        <f>G519*AP519</f>
        <v>0</v>
      </c>
      <c r="BJ519" s="27">
        <f>G519*H519</f>
        <v>0</v>
      </c>
      <c r="BK519" s="27"/>
      <c r="BL519" s="27">
        <v>783</v>
      </c>
      <c r="BW519" s="27">
        <v>21</v>
      </c>
    </row>
    <row r="520" spans="1:12" ht="15">
      <c r="A520" s="30"/>
      <c r="D520" s="32" t="s">
        <v>1067</v>
      </c>
      <c r="E520" s="31" t="s">
        <v>52</v>
      </c>
      <c r="G520" s="33">
        <v>11.96</v>
      </c>
      <c r="L520" s="34"/>
    </row>
    <row r="521" spans="1:75" ht="13.5" customHeight="1">
      <c r="A521" s="2" t="s">
        <v>1068</v>
      </c>
      <c r="B521" s="3" t="s">
        <v>893</v>
      </c>
      <c r="C521" s="3" t="s">
        <v>1069</v>
      </c>
      <c r="D521" s="148" t="s">
        <v>1070</v>
      </c>
      <c r="E521" s="143"/>
      <c r="F521" s="3" t="s">
        <v>109</v>
      </c>
      <c r="G521" s="27">
        <v>10</v>
      </c>
      <c r="H521" s="27">
        <v>0</v>
      </c>
      <c r="I521" s="27">
        <f>G521*AO521</f>
        <v>0</v>
      </c>
      <c r="J521" s="27">
        <f>G521*AP521</f>
        <v>0</v>
      </c>
      <c r="K521" s="27">
        <f>G521*H521</f>
        <v>0</v>
      </c>
      <c r="L521" s="28" t="s">
        <v>137</v>
      </c>
      <c r="Z521" s="27">
        <f>IF(AQ521="5",BJ521,0)</f>
        <v>0</v>
      </c>
      <c r="AB521" s="27">
        <f>IF(AQ521="1",BH521,0)</f>
        <v>0</v>
      </c>
      <c r="AC521" s="27">
        <f>IF(AQ521="1",BI521,0)</f>
        <v>0</v>
      </c>
      <c r="AD521" s="27">
        <f>IF(AQ521="7",BH521,0)</f>
        <v>0</v>
      </c>
      <c r="AE521" s="27">
        <f>IF(AQ521="7",BI521,0)</f>
        <v>0</v>
      </c>
      <c r="AF521" s="27">
        <f>IF(AQ521="2",BH521,0)</f>
        <v>0</v>
      </c>
      <c r="AG521" s="27">
        <f>IF(AQ521="2",BI521,0)</f>
        <v>0</v>
      </c>
      <c r="AH521" s="27">
        <f>IF(AQ521="0",BJ521,0)</f>
        <v>0</v>
      </c>
      <c r="AI521" s="9" t="s">
        <v>893</v>
      </c>
      <c r="AJ521" s="27">
        <f>IF(AN521=0,K521,0)</f>
        <v>0</v>
      </c>
      <c r="AK521" s="27">
        <f>IF(AN521=12,K521,0)</f>
        <v>0</v>
      </c>
      <c r="AL521" s="27">
        <f>IF(AN521=21,K521,0)</f>
        <v>0</v>
      </c>
      <c r="AN521" s="27">
        <v>21</v>
      </c>
      <c r="AO521" s="27">
        <f>H521*0.103076923</f>
        <v>0</v>
      </c>
      <c r="AP521" s="27">
        <f>H521*(1-0.103076923)</f>
        <v>0</v>
      </c>
      <c r="AQ521" s="29" t="s">
        <v>84</v>
      </c>
      <c r="AV521" s="27">
        <f>AW521+AX521</f>
        <v>0</v>
      </c>
      <c r="AW521" s="27">
        <f>G521*AO521</f>
        <v>0</v>
      </c>
      <c r="AX521" s="27">
        <f>G521*AP521</f>
        <v>0</v>
      </c>
      <c r="AY521" s="29" t="s">
        <v>369</v>
      </c>
      <c r="AZ521" s="29" t="s">
        <v>1032</v>
      </c>
      <c r="BA521" s="9" t="s">
        <v>899</v>
      </c>
      <c r="BC521" s="27">
        <f>AW521+AX521</f>
        <v>0</v>
      </c>
      <c r="BD521" s="27">
        <f>H521/(100-BE521)*100</f>
        <v>0</v>
      </c>
      <c r="BE521" s="27">
        <v>0</v>
      </c>
      <c r="BF521" s="27">
        <f>521</f>
        <v>521</v>
      </c>
      <c r="BH521" s="27">
        <f>G521*AO521</f>
        <v>0</v>
      </c>
      <c r="BI521" s="27">
        <f>G521*AP521</f>
        <v>0</v>
      </c>
      <c r="BJ521" s="27">
        <f>G521*H521</f>
        <v>0</v>
      </c>
      <c r="BK521" s="27"/>
      <c r="BL521" s="27">
        <v>783</v>
      </c>
      <c r="BW521" s="27">
        <v>21</v>
      </c>
    </row>
    <row r="522" spans="1:12" ht="13.5" customHeight="1">
      <c r="A522" s="30"/>
      <c r="D522" s="166" t="s">
        <v>1071</v>
      </c>
      <c r="E522" s="167"/>
      <c r="F522" s="167"/>
      <c r="G522" s="167"/>
      <c r="H522" s="167"/>
      <c r="I522" s="167"/>
      <c r="J522" s="167"/>
      <c r="K522" s="167"/>
      <c r="L522" s="168"/>
    </row>
    <row r="523" spans="1:12" ht="15">
      <c r="A523" s="30"/>
      <c r="D523" s="32" t="s">
        <v>106</v>
      </c>
      <c r="E523" s="31" t="s">
        <v>52</v>
      </c>
      <c r="G523" s="33">
        <v>10</v>
      </c>
      <c r="L523" s="34"/>
    </row>
    <row r="524" spans="1:75" ht="13.5" customHeight="1">
      <c r="A524" s="2" t="s">
        <v>1072</v>
      </c>
      <c r="B524" s="3" t="s">
        <v>893</v>
      </c>
      <c r="C524" s="3" t="s">
        <v>367</v>
      </c>
      <c r="D524" s="148" t="s">
        <v>1073</v>
      </c>
      <c r="E524" s="143"/>
      <c r="F524" s="3" t="s">
        <v>109</v>
      </c>
      <c r="G524" s="27">
        <v>1.2375</v>
      </c>
      <c r="H524" s="27">
        <v>0</v>
      </c>
      <c r="I524" s="27">
        <f>G524*AO524</f>
        <v>0</v>
      </c>
      <c r="J524" s="27">
        <f>G524*AP524</f>
        <v>0</v>
      </c>
      <c r="K524" s="27">
        <f>G524*H524</f>
        <v>0</v>
      </c>
      <c r="L524" s="28" t="s">
        <v>137</v>
      </c>
      <c r="Z524" s="27">
        <f>IF(AQ524="5",BJ524,0)</f>
        <v>0</v>
      </c>
      <c r="AB524" s="27">
        <f>IF(AQ524="1",BH524,0)</f>
        <v>0</v>
      </c>
      <c r="AC524" s="27">
        <f>IF(AQ524="1",BI524,0)</f>
        <v>0</v>
      </c>
      <c r="AD524" s="27">
        <f>IF(AQ524="7",BH524,0)</f>
        <v>0</v>
      </c>
      <c r="AE524" s="27">
        <f>IF(AQ524="7",BI524,0)</f>
        <v>0</v>
      </c>
      <c r="AF524" s="27">
        <f>IF(AQ524="2",BH524,0)</f>
        <v>0</v>
      </c>
      <c r="AG524" s="27">
        <f>IF(AQ524="2",BI524,0)</f>
        <v>0</v>
      </c>
      <c r="AH524" s="27">
        <f>IF(AQ524="0",BJ524,0)</f>
        <v>0</v>
      </c>
      <c r="AI524" s="9" t="s">
        <v>893</v>
      </c>
      <c r="AJ524" s="27">
        <f>IF(AN524=0,K524,0)</f>
        <v>0</v>
      </c>
      <c r="AK524" s="27">
        <f>IF(AN524=12,K524,0)</f>
        <v>0</v>
      </c>
      <c r="AL524" s="27">
        <f>IF(AN524=21,K524,0)</f>
        <v>0</v>
      </c>
      <c r="AN524" s="27">
        <v>21</v>
      </c>
      <c r="AO524" s="27">
        <f>H524*0.196672317</f>
        <v>0</v>
      </c>
      <c r="AP524" s="27">
        <f>H524*(1-0.196672317)</f>
        <v>0</v>
      </c>
      <c r="AQ524" s="29" t="s">
        <v>84</v>
      </c>
      <c r="AV524" s="27">
        <f>AW524+AX524</f>
        <v>0</v>
      </c>
      <c r="AW524" s="27">
        <f>G524*AO524</f>
        <v>0</v>
      </c>
      <c r="AX524" s="27">
        <f>G524*AP524</f>
        <v>0</v>
      </c>
      <c r="AY524" s="29" t="s">
        <v>369</v>
      </c>
      <c r="AZ524" s="29" t="s">
        <v>1032</v>
      </c>
      <c r="BA524" s="9" t="s">
        <v>899</v>
      </c>
      <c r="BC524" s="27">
        <f>AW524+AX524</f>
        <v>0</v>
      </c>
      <c r="BD524" s="27">
        <f>H524/(100-BE524)*100</f>
        <v>0</v>
      </c>
      <c r="BE524" s="27">
        <v>0</v>
      </c>
      <c r="BF524" s="27">
        <f>524</f>
        <v>524</v>
      </c>
      <c r="BH524" s="27">
        <f>G524*AO524</f>
        <v>0</v>
      </c>
      <c r="BI524" s="27">
        <f>G524*AP524</f>
        <v>0</v>
      </c>
      <c r="BJ524" s="27">
        <f>G524*H524</f>
        <v>0</v>
      </c>
      <c r="BK524" s="27"/>
      <c r="BL524" s="27">
        <v>783</v>
      </c>
      <c r="BW524" s="27">
        <v>21</v>
      </c>
    </row>
    <row r="525" spans="1:12" ht="13.5" customHeight="1">
      <c r="A525" s="30"/>
      <c r="D525" s="166" t="s">
        <v>1074</v>
      </c>
      <c r="E525" s="167"/>
      <c r="F525" s="167"/>
      <c r="G525" s="167"/>
      <c r="H525" s="167"/>
      <c r="I525" s="167"/>
      <c r="J525" s="167"/>
      <c r="K525" s="167"/>
      <c r="L525" s="168"/>
    </row>
    <row r="526" spans="1:12" ht="15">
      <c r="A526" s="30"/>
      <c r="D526" s="32" t="s">
        <v>1075</v>
      </c>
      <c r="E526" s="31" t="s">
        <v>52</v>
      </c>
      <c r="G526" s="33">
        <v>1.2375</v>
      </c>
      <c r="L526" s="34"/>
    </row>
    <row r="527" spans="1:47" ht="15">
      <c r="A527" s="23" t="s">
        <v>52</v>
      </c>
      <c r="B527" s="24" t="s">
        <v>893</v>
      </c>
      <c r="C527" s="24" t="s">
        <v>374</v>
      </c>
      <c r="D527" s="164" t="s">
        <v>375</v>
      </c>
      <c r="E527" s="165"/>
      <c r="F527" s="25" t="s">
        <v>4</v>
      </c>
      <c r="G527" s="25" t="s">
        <v>4</v>
      </c>
      <c r="H527" s="25" t="s">
        <v>4</v>
      </c>
      <c r="I527" s="1">
        <f>SUM(I528:I549)</f>
        <v>0</v>
      </c>
      <c r="J527" s="1">
        <f>SUM(J528:J549)</f>
        <v>0</v>
      </c>
      <c r="K527" s="1">
        <f>SUM(K528:K549)</f>
        <v>0</v>
      </c>
      <c r="L527" s="26" t="s">
        <v>52</v>
      </c>
      <c r="AI527" s="9" t="s">
        <v>893</v>
      </c>
      <c r="AS527" s="1">
        <f>SUM(AJ528:AJ549)</f>
        <v>0</v>
      </c>
      <c r="AT527" s="1">
        <f>SUM(AK528:AK549)</f>
        <v>0</v>
      </c>
      <c r="AU527" s="1">
        <f>SUM(AL528:AL549)</f>
        <v>0</v>
      </c>
    </row>
    <row r="528" spans="1:75" ht="13.5" customHeight="1">
      <c r="A528" s="2" t="s">
        <v>1076</v>
      </c>
      <c r="B528" s="3" t="s">
        <v>893</v>
      </c>
      <c r="C528" s="3" t="s">
        <v>1077</v>
      </c>
      <c r="D528" s="148" t="s">
        <v>1078</v>
      </c>
      <c r="E528" s="143"/>
      <c r="F528" s="3" t="s">
        <v>154</v>
      </c>
      <c r="G528" s="27">
        <v>40</v>
      </c>
      <c r="H528" s="27">
        <v>0</v>
      </c>
      <c r="I528" s="27">
        <f>G528*AO528</f>
        <v>0</v>
      </c>
      <c r="J528" s="27">
        <f>G528*AP528</f>
        <v>0</v>
      </c>
      <c r="K528" s="27">
        <f>G528*H528</f>
        <v>0</v>
      </c>
      <c r="L528" s="28" t="s">
        <v>137</v>
      </c>
      <c r="Z528" s="27">
        <f>IF(AQ528="5",BJ528,0)</f>
        <v>0</v>
      </c>
      <c r="AB528" s="27">
        <f>IF(AQ528="1",BH528,0)</f>
        <v>0</v>
      </c>
      <c r="AC528" s="27">
        <f>IF(AQ528="1",BI528,0)</f>
        <v>0</v>
      </c>
      <c r="AD528" s="27">
        <f>IF(AQ528="7",BH528,0)</f>
        <v>0</v>
      </c>
      <c r="AE528" s="27">
        <f>IF(AQ528="7",BI528,0)</f>
        <v>0</v>
      </c>
      <c r="AF528" s="27">
        <f>IF(AQ528="2",BH528,0)</f>
        <v>0</v>
      </c>
      <c r="AG528" s="27">
        <f>IF(AQ528="2",BI528,0)</f>
        <v>0</v>
      </c>
      <c r="AH528" s="27">
        <f>IF(AQ528="0",BJ528,0)</f>
        <v>0</v>
      </c>
      <c r="AI528" s="9" t="s">
        <v>893</v>
      </c>
      <c r="AJ528" s="27">
        <f>IF(AN528=0,K528,0)</f>
        <v>0</v>
      </c>
      <c r="AK528" s="27">
        <f>IF(AN528=12,K528,0)</f>
        <v>0</v>
      </c>
      <c r="AL528" s="27">
        <f>IF(AN528=21,K528,0)</f>
        <v>0</v>
      </c>
      <c r="AN528" s="27">
        <v>21</v>
      </c>
      <c r="AO528" s="27">
        <f>H528*0.137539432</f>
        <v>0</v>
      </c>
      <c r="AP528" s="27">
        <f>H528*(1-0.137539432)</f>
        <v>0</v>
      </c>
      <c r="AQ528" s="29" t="s">
        <v>84</v>
      </c>
      <c r="AV528" s="27">
        <f>AW528+AX528</f>
        <v>0</v>
      </c>
      <c r="AW528" s="27">
        <f>G528*AO528</f>
        <v>0</v>
      </c>
      <c r="AX528" s="27">
        <f>G528*AP528</f>
        <v>0</v>
      </c>
      <c r="AY528" s="29" t="s">
        <v>379</v>
      </c>
      <c r="AZ528" s="29" t="s">
        <v>1032</v>
      </c>
      <c r="BA528" s="9" t="s">
        <v>899</v>
      </c>
      <c r="BC528" s="27">
        <f>AW528+AX528</f>
        <v>0</v>
      </c>
      <c r="BD528" s="27">
        <f>H528/(100-BE528)*100</f>
        <v>0</v>
      </c>
      <c r="BE528" s="27">
        <v>0</v>
      </c>
      <c r="BF528" s="27">
        <f>528</f>
        <v>528</v>
      </c>
      <c r="BH528" s="27">
        <f>G528*AO528</f>
        <v>0</v>
      </c>
      <c r="BI528" s="27">
        <f>G528*AP528</f>
        <v>0</v>
      </c>
      <c r="BJ528" s="27">
        <f>G528*H528</f>
        <v>0</v>
      </c>
      <c r="BK528" s="27"/>
      <c r="BL528" s="27">
        <v>784</v>
      </c>
      <c r="BW528" s="27">
        <v>21</v>
      </c>
    </row>
    <row r="529" spans="1:12" ht="27" customHeight="1">
      <c r="A529" s="30"/>
      <c r="D529" s="166" t="s">
        <v>1079</v>
      </c>
      <c r="E529" s="167"/>
      <c r="F529" s="167"/>
      <c r="G529" s="167"/>
      <c r="H529" s="167"/>
      <c r="I529" s="167"/>
      <c r="J529" s="167"/>
      <c r="K529" s="167"/>
      <c r="L529" s="168"/>
    </row>
    <row r="530" spans="1:12" ht="15">
      <c r="A530" s="30"/>
      <c r="D530" s="32" t="s">
        <v>298</v>
      </c>
      <c r="E530" s="31" t="s">
        <v>52</v>
      </c>
      <c r="G530" s="33">
        <v>40</v>
      </c>
      <c r="L530" s="34"/>
    </row>
    <row r="531" spans="1:75" ht="13.5" customHeight="1">
      <c r="A531" s="2" t="s">
        <v>1080</v>
      </c>
      <c r="B531" s="3" t="s">
        <v>893</v>
      </c>
      <c r="C531" s="3" t="s">
        <v>1081</v>
      </c>
      <c r="D531" s="148" t="s">
        <v>1082</v>
      </c>
      <c r="E531" s="143"/>
      <c r="F531" s="3" t="s">
        <v>109</v>
      </c>
      <c r="G531" s="27">
        <v>77.982</v>
      </c>
      <c r="H531" s="27">
        <v>0</v>
      </c>
      <c r="I531" s="27">
        <f>G531*AO531</f>
        <v>0</v>
      </c>
      <c r="J531" s="27">
        <f>G531*AP531</f>
        <v>0</v>
      </c>
      <c r="K531" s="27">
        <f>G531*H531</f>
        <v>0</v>
      </c>
      <c r="L531" s="28" t="s">
        <v>137</v>
      </c>
      <c r="Z531" s="27">
        <f>IF(AQ531="5",BJ531,0)</f>
        <v>0</v>
      </c>
      <c r="AB531" s="27">
        <f>IF(AQ531="1",BH531,0)</f>
        <v>0</v>
      </c>
      <c r="AC531" s="27">
        <f>IF(AQ531="1",BI531,0)</f>
        <v>0</v>
      </c>
      <c r="AD531" s="27">
        <f>IF(AQ531="7",BH531,0)</f>
        <v>0</v>
      </c>
      <c r="AE531" s="27">
        <f>IF(AQ531="7",BI531,0)</f>
        <v>0</v>
      </c>
      <c r="AF531" s="27">
        <f>IF(AQ531="2",BH531,0)</f>
        <v>0</v>
      </c>
      <c r="AG531" s="27">
        <f>IF(AQ531="2",BI531,0)</f>
        <v>0</v>
      </c>
      <c r="AH531" s="27">
        <f>IF(AQ531="0",BJ531,0)</f>
        <v>0</v>
      </c>
      <c r="AI531" s="9" t="s">
        <v>893</v>
      </c>
      <c r="AJ531" s="27">
        <f>IF(AN531=0,K531,0)</f>
        <v>0</v>
      </c>
      <c r="AK531" s="27">
        <f>IF(AN531=12,K531,0)</f>
        <v>0</v>
      </c>
      <c r="AL531" s="27">
        <f>IF(AN531=21,K531,0)</f>
        <v>0</v>
      </c>
      <c r="AN531" s="27">
        <v>21</v>
      </c>
      <c r="AO531" s="27">
        <f>H531*0</f>
        <v>0</v>
      </c>
      <c r="AP531" s="27">
        <f>H531*(1-0)</f>
        <v>0</v>
      </c>
      <c r="AQ531" s="29" t="s">
        <v>84</v>
      </c>
      <c r="AV531" s="27">
        <f>AW531+AX531</f>
        <v>0</v>
      </c>
      <c r="AW531" s="27">
        <f>G531*AO531</f>
        <v>0</v>
      </c>
      <c r="AX531" s="27">
        <f>G531*AP531</f>
        <v>0</v>
      </c>
      <c r="AY531" s="29" t="s">
        <v>379</v>
      </c>
      <c r="AZ531" s="29" t="s">
        <v>1032</v>
      </c>
      <c r="BA531" s="9" t="s">
        <v>899</v>
      </c>
      <c r="BC531" s="27">
        <f>AW531+AX531</f>
        <v>0</v>
      </c>
      <c r="BD531" s="27">
        <f>H531/(100-BE531)*100</f>
        <v>0</v>
      </c>
      <c r="BE531" s="27">
        <v>0</v>
      </c>
      <c r="BF531" s="27">
        <f>531</f>
        <v>531</v>
      </c>
      <c r="BH531" s="27">
        <f>G531*AO531</f>
        <v>0</v>
      </c>
      <c r="BI531" s="27">
        <f>G531*AP531</f>
        <v>0</v>
      </c>
      <c r="BJ531" s="27">
        <f>G531*H531</f>
        <v>0</v>
      </c>
      <c r="BK531" s="27"/>
      <c r="BL531" s="27">
        <v>784</v>
      </c>
      <c r="BW531" s="27">
        <v>21</v>
      </c>
    </row>
    <row r="532" spans="1:12" ht="15">
      <c r="A532" s="30"/>
      <c r="D532" s="32" t="s">
        <v>1083</v>
      </c>
      <c r="E532" s="31" t="s">
        <v>1084</v>
      </c>
      <c r="G532" s="33">
        <v>44.2042</v>
      </c>
      <c r="L532" s="34"/>
    </row>
    <row r="533" spans="1:12" ht="15">
      <c r="A533" s="30"/>
      <c r="D533" s="32" t="s">
        <v>1085</v>
      </c>
      <c r="E533" s="31" t="s">
        <v>1086</v>
      </c>
      <c r="G533" s="33">
        <v>34.5046</v>
      </c>
      <c r="L533" s="34"/>
    </row>
    <row r="534" spans="1:12" ht="15">
      <c r="A534" s="30"/>
      <c r="D534" s="32" t="s">
        <v>1087</v>
      </c>
      <c r="E534" s="31" t="s">
        <v>1088</v>
      </c>
      <c r="G534" s="33">
        <v>13.9872</v>
      </c>
      <c r="L534" s="34"/>
    </row>
    <row r="535" spans="1:12" ht="15">
      <c r="A535" s="30"/>
      <c r="D535" s="32" t="s">
        <v>1089</v>
      </c>
      <c r="E535" s="31" t="s">
        <v>1090</v>
      </c>
      <c r="G535" s="33">
        <v>-14.714</v>
      </c>
      <c r="L535" s="34"/>
    </row>
    <row r="536" spans="1:12" ht="13.5" customHeight="1">
      <c r="A536" s="30"/>
      <c r="C536" s="35" t="s">
        <v>102</v>
      </c>
      <c r="D536" s="166" t="s">
        <v>1091</v>
      </c>
      <c r="E536" s="167"/>
      <c r="F536" s="167"/>
      <c r="G536" s="167"/>
      <c r="H536" s="167"/>
      <c r="I536" s="167"/>
      <c r="J536" s="167"/>
      <c r="K536" s="167"/>
      <c r="L536" s="168"/>
    </row>
    <row r="537" spans="1:75" ht="13.5" customHeight="1">
      <c r="A537" s="2" t="s">
        <v>1092</v>
      </c>
      <c r="B537" s="3" t="s">
        <v>893</v>
      </c>
      <c r="C537" s="3" t="s">
        <v>1093</v>
      </c>
      <c r="D537" s="148" t="s">
        <v>1094</v>
      </c>
      <c r="E537" s="143"/>
      <c r="F537" s="3" t="s">
        <v>109</v>
      </c>
      <c r="G537" s="27">
        <v>77.982</v>
      </c>
      <c r="H537" s="27">
        <v>0</v>
      </c>
      <c r="I537" s="27">
        <f>G537*AO537</f>
        <v>0</v>
      </c>
      <c r="J537" s="27">
        <f>G537*AP537</f>
        <v>0</v>
      </c>
      <c r="K537" s="27">
        <f>G537*H537</f>
        <v>0</v>
      </c>
      <c r="L537" s="28" t="s">
        <v>137</v>
      </c>
      <c r="Z537" s="27">
        <f>IF(AQ537="5",BJ537,0)</f>
        <v>0</v>
      </c>
      <c r="AB537" s="27">
        <f>IF(AQ537="1",BH537,0)</f>
        <v>0</v>
      </c>
      <c r="AC537" s="27">
        <f>IF(AQ537="1",BI537,0)</f>
        <v>0</v>
      </c>
      <c r="AD537" s="27">
        <f>IF(AQ537="7",BH537,0)</f>
        <v>0</v>
      </c>
      <c r="AE537" s="27">
        <f>IF(AQ537="7",BI537,0)</f>
        <v>0</v>
      </c>
      <c r="AF537" s="27">
        <f>IF(AQ537="2",BH537,0)</f>
        <v>0</v>
      </c>
      <c r="AG537" s="27">
        <f>IF(AQ537="2",BI537,0)</f>
        <v>0</v>
      </c>
      <c r="AH537" s="27">
        <f>IF(AQ537="0",BJ537,0)</f>
        <v>0</v>
      </c>
      <c r="AI537" s="9" t="s">
        <v>893</v>
      </c>
      <c r="AJ537" s="27">
        <f>IF(AN537=0,K537,0)</f>
        <v>0</v>
      </c>
      <c r="AK537" s="27">
        <f>IF(AN537=12,K537,0)</f>
        <v>0</v>
      </c>
      <c r="AL537" s="27">
        <f>IF(AN537=21,K537,0)</f>
        <v>0</v>
      </c>
      <c r="AN537" s="27">
        <v>21</v>
      </c>
      <c r="AO537" s="27">
        <f>H537*0.289961936</f>
        <v>0</v>
      </c>
      <c r="AP537" s="27">
        <f>H537*(1-0.289961936)</f>
        <v>0</v>
      </c>
      <c r="AQ537" s="29" t="s">
        <v>84</v>
      </c>
      <c r="AV537" s="27">
        <f>AW537+AX537</f>
        <v>0</v>
      </c>
      <c r="AW537" s="27">
        <f>G537*AO537</f>
        <v>0</v>
      </c>
      <c r="AX537" s="27">
        <f>G537*AP537</f>
        <v>0</v>
      </c>
      <c r="AY537" s="29" t="s">
        <v>379</v>
      </c>
      <c r="AZ537" s="29" t="s">
        <v>1032</v>
      </c>
      <c r="BA537" s="9" t="s">
        <v>899</v>
      </c>
      <c r="BC537" s="27">
        <f>AW537+AX537</f>
        <v>0</v>
      </c>
      <c r="BD537" s="27">
        <f>H537/(100-BE537)*100</f>
        <v>0</v>
      </c>
      <c r="BE537" s="27">
        <v>0</v>
      </c>
      <c r="BF537" s="27">
        <f>537</f>
        <v>537</v>
      </c>
      <c r="BH537" s="27">
        <f>G537*AO537</f>
        <v>0</v>
      </c>
      <c r="BI537" s="27">
        <f>G537*AP537</f>
        <v>0</v>
      </c>
      <c r="BJ537" s="27">
        <f>G537*H537</f>
        <v>0</v>
      </c>
      <c r="BK537" s="27"/>
      <c r="BL537" s="27">
        <v>784</v>
      </c>
      <c r="BW537" s="27">
        <v>21</v>
      </c>
    </row>
    <row r="538" spans="1:12" ht="15">
      <c r="A538" s="30"/>
      <c r="D538" s="32" t="s">
        <v>1095</v>
      </c>
      <c r="E538" s="31" t="s">
        <v>1096</v>
      </c>
      <c r="G538" s="33">
        <v>77.982</v>
      </c>
      <c r="L538" s="34"/>
    </row>
    <row r="539" spans="1:12" ht="27" customHeight="1">
      <c r="A539" s="30"/>
      <c r="C539" s="35" t="s">
        <v>102</v>
      </c>
      <c r="D539" s="166" t="s">
        <v>1097</v>
      </c>
      <c r="E539" s="167"/>
      <c r="F539" s="167"/>
      <c r="G539" s="167"/>
      <c r="H539" s="167"/>
      <c r="I539" s="167"/>
      <c r="J539" s="167"/>
      <c r="K539" s="167"/>
      <c r="L539" s="168"/>
    </row>
    <row r="540" spans="1:75" ht="13.5" customHeight="1">
      <c r="A540" s="2" t="s">
        <v>1098</v>
      </c>
      <c r="B540" s="3" t="s">
        <v>893</v>
      </c>
      <c r="C540" s="3" t="s">
        <v>388</v>
      </c>
      <c r="D540" s="148" t="s">
        <v>1099</v>
      </c>
      <c r="E540" s="143"/>
      <c r="F540" s="3" t="s">
        <v>109</v>
      </c>
      <c r="G540" s="27">
        <v>77.982</v>
      </c>
      <c r="H540" s="27">
        <v>0</v>
      </c>
      <c r="I540" s="27">
        <f>G540*AO540</f>
        <v>0</v>
      </c>
      <c r="J540" s="27">
        <f>G540*AP540</f>
        <v>0</v>
      </c>
      <c r="K540" s="27">
        <f>G540*H540</f>
        <v>0</v>
      </c>
      <c r="L540" s="28" t="s">
        <v>137</v>
      </c>
      <c r="Z540" s="27">
        <f>IF(AQ540="5",BJ540,0)</f>
        <v>0</v>
      </c>
      <c r="AB540" s="27">
        <f>IF(AQ540="1",BH540,0)</f>
        <v>0</v>
      </c>
      <c r="AC540" s="27">
        <f>IF(AQ540="1",BI540,0)</f>
        <v>0</v>
      </c>
      <c r="AD540" s="27">
        <f>IF(AQ540="7",BH540,0)</f>
        <v>0</v>
      </c>
      <c r="AE540" s="27">
        <f>IF(AQ540="7",BI540,0)</f>
        <v>0</v>
      </c>
      <c r="AF540" s="27">
        <f>IF(AQ540="2",BH540,0)</f>
        <v>0</v>
      </c>
      <c r="AG540" s="27">
        <f>IF(AQ540="2",BI540,0)</f>
        <v>0</v>
      </c>
      <c r="AH540" s="27">
        <f>IF(AQ540="0",BJ540,0)</f>
        <v>0</v>
      </c>
      <c r="AI540" s="9" t="s">
        <v>893</v>
      </c>
      <c r="AJ540" s="27">
        <f>IF(AN540=0,K540,0)</f>
        <v>0</v>
      </c>
      <c r="AK540" s="27">
        <f>IF(AN540=12,K540,0)</f>
        <v>0</v>
      </c>
      <c r="AL540" s="27">
        <f>IF(AN540=21,K540,0)</f>
        <v>0</v>
      </c>
      <c r="AN540" s="27">
        <v>21</v>
      </c>
      <c r="AO540" s="27">
        <f>H540*0.104361462</f>
        <v>0</v>
      </c>
      <c r="AP540" s="27">
        <f>H540*(1-0.104361462)</f>
        <v>0</v>
      </c>
      <c r="AQ540" s="29" t="s">
        <v>84</v>
      </c>
      <c r="AV540" s="27">
        <f>AW540+AX540</f>
        <v>0</v>
      </c>
      <c r="AW540" s="27">
        <f>G540*AO540</f>
        <v>0</v>
      </c>
      <c r="AX540" s="27">
        <f>G540*AP540</f>
        <v>0</v>
      </c>
      <c r="AY540" s="29" t="s">
        <v>379</v>
      </c>
      <c r="AZ540" s="29" t="s">
        <v>1032</v>
      </c>
      <c r="BA540" s="9" t="s">
        <v>899</v>
      </c>
      <c r="BC540" s="27">
        <f>AW540+AX540</f>
        <v>0</v>
      </c>
      <c r="BD540" s="27">
        <f>H540/(100-BE540)*100</f>
        <v>0</v>
      </c>
      <c r="BE540" s="27">
        <v>0</v>
      </c>
      <c r="BF540" s="27">
        <f>540</f>
        <v>540</v>
      </c>
      <c r="BH540" s="27">
        <f>G540*AO540</f>
        <v>0</v>
      </c>
      <c r="BI540" s="27">
        <f>G540*AP540</f>
        <v>0</v>
      </c>
      <c r="BJ540" s="27">
        <f>G540*H540</f>
        <v>0</v>
      </c>
      <c r="BK540" s="27"/>
      <c r="BL540" s="27">
        <v>784</v>
      </c>
      <c r="BW540" s="27">
        <v>21</v>
      </c>
    </row>
    <row r="541" spans="1:12" ht="15">
      <c r="A541" s="30"/>
      <c r="D541" s="32" t="s">
        <v>1095</v>
      </c>
      <c r="E541" s="31" t="s">
        <v>1096</v>
      </c>
      <c r="G541" s="33">
        <v>77.982</v>
      </c>
      <c r="L541" s="34"/>
    </row>
    <row r="542" spans="1:12" ht="13.5" customHeight="1">
      <c r="A542" s="30"/>
      <c r="C542" s="35" t="s">
        <v>102</v>
      </c>
      <c r="D542" s="166" t="s">
        <v>392</v>
      </c>
      <c r="E542" s="167"/>
      <c r="F542" s="167"/>
      <c r="G542" s="167"/>
      <c r="H542" s="167"/>
      <c r="I542" s="167"/>
      <c r="J542" s="167"/>
      <c r="K542" s="167"/>
      <c r="L542" s="168"/>
    </row>
    <row r="543" spans="1:75" ht="13.5" customHeight="1">
      <c r="A543" s="2" t="s">
        <v>1100</v>
      </c>
      <c r="B543" s="3" t="s">
        <v>893</v>
      </c>
      <c r="C543" s="3" t="s">
        <v>1101</v>
      </c>
      <c r="D543" s="148" t="s">
        <v>1102</v>
      </c>
      <c r="E543" s="143"/>
      <c r="F543" s="3" t="s">
        <v>109</v>
      </c>
      <c r="G543" s="27">
        <v>30.77</v>
      </c>
      <c r="H543" s="27">
        <v>0</v>
      </c>
      <c r="I543" s="27">
        <f>G543*AO543</f>
        <v>0</v>
      </c>
      <c r="J543" s="27">
        <f>G543*AP543</f>
        <v>0</v>
      </c>
      <c r="K543" s="27">
        <f>G543*H543</f>
        <v>0</v>
      </c>
      <c r="L543" s="28" t="s">
        <v>137</v>
      </c>
      <c r="Z543" s="27">
        <f>IF(AQ543="5",BJ543,0)</f>
        <v>0</v>
      </c>
      <c r="AB543" s="27">
        <f>IF(AQ543="1",BH543,0)</f>
        <v>0</v>
      </c>
      <c r="AC543" s="27">
        <f>IF(AQ543="1",BI543,0)</f>
        <v>0</v>
      </c>
      <c r="AD543" s="27">
        <f>IF(AQ543="7",BH543,0)</f>
        <v>0</v>
      </c>
      <c r="AE543" s="27">
        <f>IF(AQ543="7",BI543,0)</f>
        <v>0</v>
      </c>
      <c r="AF543" s="27">
        <f>IF(AQ543="2",BH543,0)</f>
        <v>0</v>
      </c>
      <c r="AG543" s="27">
        <f>IF(AQ543="2",BI543,0)</f>
        <v>0</v>
      </c>
      <c r="AH543" s="27">
        <f>IF(AQ543="0",BJ543,0)</f>
        <v>0</v>
      </c>
      <c r="AI543" s="9" t="s">
        <v>893</v>
      </c>
      <c r="AJ543" s="27">
        <f>IF(AN543=0,K543,0)</f>
        <v>0</v>
      </c>
      <c r="AK543" s="27">
        <f>IF(AN543=12,K543,0)</f>
        <v>0</v>
      </c>
      <c r="AL543" s="27">
        <f>IF(AN543=21,K543,0)</f>
        <v>0</v>
      </c>
      <c r="AN543" s="27">
        <v>21</v>
      </c>
      <c r="AO543" s="27">
        <f>H543*0.642235036</f>
        <v>0</v>
      </c>
      <c r="AP543" s="27">
        <f>H543*(1-0.642235036)</f>
        <v>0</v>
      </c>
      <c r="AQ543" s="29" t="s">
        <v>84</v>
      </c>
      <c r="AV543" s="27">
        <f>AW543+AX543</f>
        <v>0</v>
      </c>
      <c r="AW543" s="27">
        <f>G543*AO543</f>
        <v>0</v>
      </c>
      <c r="AX543" s="27">
        <f>G543*AP543</f>
        <v>0</v>
      </c>
      <c r="AY543" s="29" t="s">
        <v>379</v>
      </c>
      <c r="AZ543" s="29" t="s">
        <v>1032</v>
      </c>
      <c r="BA543" s="9" t="s">
        <v>899</v>
      </c>
      <c r="BC543" s="27">
        <f>AW543+AX543</f>
        <v>0</v>
      </c>
      <c r="BD543" s="27">
        <f>H543/(100-BE543)*100</f>
        <v>0</v>
      </c>
      <c r="BE543" s="27">
        <v>0</v>
      </c>
      <c r="BF543" s="27">
        <f>543</f>
        <v>543</v>
      </c>
      <c r="BH543" s="27">
        <f>G543*AO543</f>
        <v>0</v>
      </c>
      <c r="BI543" s="27">
        <f>G543*AP543</f>
        <v>0</v>
      </c>
      <c r="BJ543" s="27">
        <f>G543*H543</f>
        <v>0</v>
      </c>
      <c r="BK543" s="27"/>
      <c r="BL543" s="27">
        <v>784</v>
      </c>
      <c r="BW543" s="27">
        <v>21</v>
      </c>
    </row>
    <row r="544" spans="1:12" ht="13.5" customHeight="1">
      <c r="A544" s="30"/>
      <c r="D544" s="166" t="s">
        <v>1103</v>
      </c>
      <c r="E544" s="167"/>
      <c r="F544" s="167"/>
      <c r="G544" s="167"/>
      <c r="H544" s="167"/>
      <c r="I544" s="167"/>
      <c r="J544" s="167"/>
      <c r="K544" s="167"/>
      <c r="L544" s="168"/>
    </row>
    <row r="545" spans="1:12" ht="15">
      <c r="A545" s="30"/>
      <c r="D545" s="32" t="s">
        <v>980</v>
      </c>
      <c r="E545" s="31" t="s">
        <v>52</v>
      </c>
      <c r="G545" s="33">
        <v>30.77</v>
      </c>
      <c r="L545" s="34"/>
    </row>
    <row r="546" spans="1:75" ht="13.5" customHeight="1">
      <c r="A546" s="2" t="s">
        <v>1104</v>
      </c>
      <c r="B546" s="3" t="s">
        <v>893</v>
      </c>
      <c r="C546" s="3" t="s">
        <v>1105</v>
      </c>
      <c r="D546" s="148" t="s">
        <v>1106</v>
      </c>
      <c r="E546" s="143"/>
      <c r="F546" s="3" t="s">
        <v>109</v>
      </c>
      <c r="G546" s="27">
        <v>3</v>
      </c>
      <c r="H546" s="27">
        <v>0</v>
      </c>
      <c r="I546" s="27">
        <f>G546*AO546</f>
        <v>0</v>
      </c>
      <c r="J546" s="27">
        <f>G546*AP546</f>
        <v>0</v>
      </c>
      <c r="K546" s="27">
        <f>G546*H546</f>
        <v>0</v>
      </c>
      <c r="L546" s="28" t="s">
        <v>137</v>
      </c>
      <c r="Z546" s="27">
        <f>IF(AQ546="5",BJ546,0)</f>
        <v>0</v>
      </c>
      <c r="AB546" s="27">
        <f>IF(AQ546="1",BH546,0)</f>
        <v>0</v>
      </c>
      <c r="AC546" s="27">
        <f>IF(AQ546="1",BI546,0)</f>
        <v>0</v>
      </c>
      <c r="AD546" s="27">
        <f>IF(AQ546="7",BH546,0)</f>
        <v>0</v>
      </c>
      <c r="AE546" s="27">
        <f>IF(AQ546="7",BI546,0)</f>
        <v>0</v>
      </c>
      <c r="AF546" s="27">
        <f>IF(AQ546="2",BH546,0)</f>
        <v>0</v>
      </c>
      <c r="AG546" s="27">
        <f>IF(AQ546="2",BI546,0)</f>
        <v>0</v>
      </c>
      <c r="AH546" s="27">
        <f>IF(AQ546="0",BJ546,0)</f>
        <v>0</v>
      </c>
      <c r="AI546" s="9" t="s">
        <v>893</v>
      </c>
      <c r="AJ546" s="27">
        <f>IF(AN546=0,K546,0)</f>
        <v>0</v>
      </c>
      <c r="AK546" s="27">
        <f>IF(AN546=12,K546,0)</f>
        <v>0</v>
      </c>
      <c r="AL546" s="27">
        <f>IF(AN546=21,K546,0)</f>
        <v>0</v>
      </c>
      <c r="AN546" s="27">
        <v>21</v>
      </c>
      <c r="AO546" s="27">
        <f>H546*0.248584906</f>
        <v>0</v>
      </c>
      <c r="AP546" s="27">
        <f>H546*(1-0.248584906)</f>
        <v>0</v>
      </c>
      <c r="AQ546" s="29" t="s">
        <v>84</v>
      </c>
      <c r="AV546" s="27">
        <f>AW546+AX546</f>
        <v>0</v>
      </c>
      <c r="AW546" s="27">
        <f>G546*AO546</f>
        <v>0</v>
      </c>
      <c r="AX546" s="27">
        <f>G546*AP546</f>
        <v>0</v>
      </c>
      <c r="AY546" s="29" t="s">
        <v>379</v>
      </c>
      <c r="AZ546" s="29" t="s">
        <v>1032</v>
      </c>
      <c r="BA546" s="9" t="s">
        <v>899</v>
      </c>
      <c r="BC546" s="27">
        <f>AW546+AX546</f>
        <v>0</v>
      </c>
      <c r="BD546" s="27">
        <f>H546/(100-BE546)*100</f>
        <v>0</v>
      </c>
      <c r="BE546" s="27">
        <v>0</v>
      </c>
      <c r="BF546" s="27">
        <f>546</f>
        <v>546</v>
      </c>
      <c r="BH546" s="27">
        <f>G546*AO546</f>
        <v>0</v>
      </c>
      <c r="BI546" s="27">
        <f>G546*AP546</f>
        <v>0</v>
      </c>
      <c r="BJ546" s="27">
        <f>G546*H546</f>
        <v>0</v>
      </c>
      <c r="BK546" s="27"/>
      <c r="BL546" s="27">
        <v>784</v>
      </c>
      <c r="BW546" s="27">
        <v>21</v>
      </c>
    </row>
    <row r="547" spans="1:12" ht="13.5" customHeight="1">
      <c r="A547" s="30"/>
      <c r="D547" s="166" t="s">
        <v>1107</v>
      </c>
      <c r="E547" s="167"/>
      <c r="F547" s="167"/>
      <c r="G547" s="167"/>
      <c r="H547" s="167"/>
      <c r="I547" s="167"/>
      <c r="J547" s="167"/>
      <c r="K547" s="167"/>
      <c r="L547" s="168"/>
    </row>
    <row r="548" spans="1:12" ht="15">
      <c r="A548" s="30"/>
      <c r="D548" s="32" t="s">
        <v>1108</v>
      </c>
      <c r="E548" s="31" t="s">
        <v>52</v>
      </c>
      <c r="G548" s="33">
        <v>3</v>
      </c>
      <c r="L548" s="34"/>
    </row>
    <row r="549" spans="1:75" ht="13.5" customHeight="1">
      <c r="A549" s="2" t="s">
        <v>1109</v>
      </c>
      <c r="B549" s="3" t="s">
        <v>893</v>
      </c>
      <c r="C549" s="3" t="s">
        <v>394</v>
      </c>
      <c r="D549" s="148" t="s">
        <v>395</v>
      </c>
      <c r="E549" s="143"/>
      <c r="F549" s="3" t="s">
        <v>109</v>
      </c>
      <c r="G549" s="27">
        <v>77.982</v>
      </c>
      <c r="H549" s="27">
        <v>0</v>
      </c>
      <c r="I549" s="27">
        <f>G549*AO549</f>
        <v>0</v>
      </c>
      <c r="J549" s="27">
        <f>G549*AP549</f>
        <v>0</v>
      </c>
      <c r="K549" s="27">
        <f>G549*H549</f>
        <v>0</v>
      </c>
      <c r="L549" s="28" t="s">
        <v>137</v>
      </c>
      <c r="Z549" s="27">
        <f>IF(AQ549="5",BJ549,0)</f>
        <v>0</v>
      </c>
      <c r="AB549" s="27">
        <f>IF(AQ549="1",BH549,0)</f>
        <v>0</v>
      </c>
      <c r="AC549" s="27">
        <f>IF(AQ549="1",BI549,0)</f>
        <v>0</v>
      </c>
      <c r="AD549" s="27">
        <f>IF(AQ549="7",BH549,0)</f>
        <v>0</v>
      </c>
      <c r="AE549" s="27">
        <f>IF(AQ549="7",BI549,0)</f>
        <v>0</v>
      </c>
      <c r="AF549" s="27">
        <f>IF(AQ549="2",BH549,0)</f>
        <v>0</v>
      </c>
      <c r="AG549" s="27">
        <f>IF(AQ549="2",BI549,0)</f>
        <v>0</v>
      </c>
      <c r="AH549" s="27">
        <f>IF(AQ549="0",BJ549,0)</f>
        <v>0</v>
      </c>
      <c r="AI549" s="9" t="s">
        <v>893</v>
      </c>
      <c r="AJ549" s="27">
        <f>IF(AN549=0,K549,0)</f>
        <v>0</v>
      </c>
      <c r="AK549" s="27">
        <f>IF(AN549=12,K549,0)</f>
        <v>0</v>
      </c>
      <c r="AL549" s="27">
        <f>IF(AN549=21,K549,0)</f>
        <v>0</v>
      </c>
      <c r="AN549" s="27">
        <v>21</v>
      </c>
      <c r="AO549" s="27">
        <f>H549*0.00421456</f>
        <v>0</v>
      </c>
      <c r="AP549" s="27">
        <f>H549*(1-0.00421456)</f>
        <v>0</v>
      </c>
      <c r="AQ549" s="29" t="s">
        <v>84</v>
      </c>
      <c r="AV549" s="27">
        <f>AW549+AX549</f>
        <v>0</v>
      </c>
      <c r="AW549" s="27">
        <f>G549*AO549</f>
        <v>0</v>
      </c>
      <c r="AX549" s="27">
        <f>G549*AP549</f>
        <v>0</v>
      </c>
      <c r="AY549" s="29" t="s">
        <v>379</v>
      </c>
      <c r="AZ549" s="29" t="s">
        <v>1032</v>
      </c>
      <c r="BA549" s="9" t="s">
        <v>899</v>
      </c>
      <c r="BC549" s="27">
        <f>AW549+AX549</f>
        <v>0</v>
      </c>
      <c r="BD549" s="27">
        <f>H549/(100-BE549)*100</f>
        <v>0</v>
      </c>
      <c r="BE549" s="27">
        <v>0</v>
      </c>
      <c r="BF549" s="27">
        <f>549</f>
        <v>549</v>
      </c>
      <c r="BH549" s="27">
        <f>G549*AO549</f>
        <v>0</v>
      </c>
      <c r="BI549" s="27">
        <f>G549*AP549</f>
        <v>0</v>
      </c>
      <c r="BJ549" s="27">
        <f>G549*H549</f>
        <v>0</v>
      </c>
      <c r="BK549" s="27"/>
      <c r="BL549" s="27">
        <v>784</v>
      </c>
      <c r="BW549" s="27">
        <v>21</v>
      </c>
    </row>
    <row r="550" spans="1:12" ht="15">
      <c r="A550" s="30"/>
      <c r="D550" s="32" t="s">
        <v>1095</v>
      </c>
      <c r="E550" s="31" t="s">
        <v>1096</v>
      </c>
      <c r="G550" s="33">
        <v>77.982</v>
      </c>
      <c r="L550" s="34"/>
    </row>
    <row r="551" spans="1:12" ht="13.5" customHeight="1">
      <c r="A551" s="30"/>
      <c r="C551" s="35" t="s">
        <v>102</v>
      </c>
      <c r="D551" s="166" t="s">
        <v>396</v>
      </c>
      <c r="E551" s="167"/>
      <c r="F551" s="167"/>
      <c r="G551" s="167"/>
      <c r="H551" s="167"/>
      <c r="I551" s="167"/>
      <c r="J551" s="167"/>
      <c r="K551" s="167"/>
      <c r="L551" s="168"/>
    </row>
    <row r="552" spans="1:47" ht="15">
      <c r="A552" s="23" t="s">
        <v>52</v>
      </c>
      <c r="B552" s="24" t="s">
        <v>893</v>
      </c>
      <c r="C552" s="24" t="s">
        <v>409</v>
      </c>
      <c r="D552" s="164" t="s">
        <v>410</v>
      </c>
      <c r="E552" s="165"/>
      <c r="F552" s="25" t="s">
        <v>4</v>
      </c>
      <c r="G552" s="25" t="s">
        <v>4</v>
      </c>
      <c r="H552" s="25" t="s">
        <v>4</v>
      </c>
      <c r="I552" s="1">
        <f>SUM(I553:I556)</f>
        <v>0</v>
      </c>
      <c r="J552" s="1">
        <f>SUM(J553:J556)</f>
        <v>0</v>
      </c>
      <c r="K552" s="1">
        <f>SUM(K553:K556)</f>
        <v>0</v>
      </c>
      <c r="L552" s="26" t="s">
        <v>52</v>
      </c>
      <c r="AI552" s="9" t="s">
        <v>893</v>
      </c>
      <c r="AS552" s="1">
        <f>SUM(AJ553:AJ556)</f>
        <v>0</v>
      </c>
      <c r="AT552" s="1">
        <f>SUM(AK553:AK556)</f>
        <v>0</v>
      </c>
      <c r="AU552" s="1">
        <f>SUM(AL553:AL556)</f>
        <v>0</v>
      </c>
    </row>
    <row r="553" spans="1:75" ht="13.5" customHeight="1">
      <c r="A553" s="2" t="s">
        <v>1110</v>
      </c>
      <c r="B553" s="3" t="s">
        <v>893</v>
      </c>
      <c r="C553" s="3" t="s">
        <v>412</v>
      </c>
      <c r="D553" s="148" t="s">
        <v>413</v>
      </c>
      <c r="E553" s="143"/>
      <c r="F553" s="3" t="s">
        <v>109</v>
      </c>
      <c r="G553" s="27">
        <v>30.77</v>
      </c>
      <c r="H553" s="27">
        <v>0</v>
      </c>
      <c r="I553" s="27">
        <f>G553*AO553</f>
        <v>0</v>
      </c>
      <c r="J553" s="27">
        <f>G553*AP553</f>
        <v>0</v>
      </c>
      <c r="K553" s="27">
        <f>G553*H553</f>
        <v>0</v>
      </c>
      <c r="L553" s="28" t="s">
        <v>137</v>
      </c>
      <c r="Z553" s="27">
        <f>IF(AQ553="5",BJ553,0)</f>
        <v>0</v>
      </c>
      <c r="AB553" s="27">
        <f>IF(AQ553="1",BH553,0)</f>
        <v>0</v>
      </c>
      <c r="AC553" s="27">
        <f>IF(AQ553="1",BI553,0)</f>
        <v>0</v>
      </c>
      <c r="AD553" s="27">
        <f>IF(AQ553="7",BH553,0)</f>
        <v>0</v>
      </c>
      <c r="AE553" s="27">
        <f>IF(AQ553="7",BI553,0)</f>
        <v>0</v>
      </c>
      <c r="AF553" s="27">
        <f>IF(AQ553="2",BH553,0)</f>
        <v>0</v>
      </c>
      <c r="AG553" s="27">
        <f>IF(AQ553="2",BI553,0)</f>
        <v>0</v>
      </c>
      <c r="AH553" s="27">
        <f>IF(AQ553="0",BJ553,0)</f>
        <v>0</v>
      </c>
      <c r="AI553" s="9" t="s">
        <v>893</v>
      </c>
      <c r="AJ553" s="27">
        <f>IF(AN553=0,K553,0)</f>
        <v>0</v>
      </c>
      <c r="AK553" s="27">
        <f>IF(AN553=12,K553,0)</f>
        <v>0</v>
      </c>
      <c r="AL553" s="27">
        <f>IF(AN553=21,K553,0)</f>
        <v>0</v>
      </c>
      <c r="AN553" s="27">
        <v>21</v>
      </c>
      <c r="AO553" s="27">
        <f>H553*0.407753735</f>
        <v>0</v>
      </c>
      <c r="AP553" s="27">
        <f>H553*(1-0.407753735)</f>
        <v>0</v>
      </c>
      <c r="AQ553" s="29" t="s">
        <v>57</v>
      </c>
      <c r="AV553" s="27">
        <f>AW553+AX553</f>
        <v>0</v>
      </c>
      <c r="AW553" s="27">
        <f>G553*AO553</f>
        <v>0</v>
      </c>
      <c r="AX553" s="27">
        <f>G553*AP553</f>
        <v>0</v>
      </c>
      <c r="AY553" s="29" t="s">
        <v>414</v>
      </c>
      <c r="AZ553" s="29" t="s">
        <v>1111</v>
      </c>
      <c r="BA553" s="9" t="s">
        <v>899</v>
      </c>
      <c r="BC553" s="27">
        <f>AW553+AX553</f>
        <v>0</v>
      </c>
      <c r="BD553" s="27">
        <f>H553/(100-BE553)*100</f>
        <v>0</v>
      </c>
      <c r="BE553" s="27">
        <v>0</v>
      </c>
      <c r="BF553" s="27">
        <f>553</f>
        <v>553</v>
      </c>
      <c r="BH553" s="27">
        <f>G553*AO553</f>
        <v>0</v>
      </c>
      <c r="BI553" s="27">
        <f>G553*AP553</f>
        <v>0</v>
      </c>
      <c r="BJ553" s="27">
        <f>G553*H553</f>
        <v>0</v>
      </c>
      <c r="BK553" s="27"/>
      <c r="BL553" s="27">
        <v>94</v>
      </c>
      <c r="BW553" s="27">
        <v>21</v>
      </c>
    </row>
    <row r="554" spans="1:12" ht="13.5" customHeight="1">
      <c r="A554" s="30"/>
      <c r="D554" s="166" t="s">
        <v>415</v>
      </c>
      <c r="E554" s="167"/>
      <c r="F554" s="167"/>
      <c r="G554" s="167"/>
      <c r="H554" s="167"/>
      <c r="I554" s="167"/>
      <c r="J554" s="167"/>
      <c r="K554" s="167"/>
      <c r="L554" s="168"/>
    </row>
    <row r="555" spans="1:12" ht="15">
      <c r="A555" s="30"/>
      <c r="D555" s="32" t="s">
        <v>980</v>
      </c>
      <c r="E555" s="31" t="s">
        <v>944</v>
      </c>
      <c r="G555" s="33">
        <v>30.77</v>
      </c>
      <c r="L555" s="34"/>
    </row>
    <row r="556" spans="1:75" ht="13.5" customHeight="1">
      <c r="A556" s="2" t="s">
        <v>1112</v>
      </c>
      <c r="B556" s="3" t="s">
        <v>893</v>
      </c>
      <c r="C556" s="3" t="s">
        <v>1113</v>
      </c>
      <c r="D556" s="148" t="s">
        <v>1114</v>
      </c>
      <c r="E556" s="143"/>
      <c r="F556" s="3" t="s">
        <v>154</v>
      </c>
      <c r="G556" s="27">
        <v>2</v>
      </c>
      <c r="H556" s="27">
        <v>0</v>
      </c>
      <c r="I556" s="27">
        <f>G556*AO556</f>
        <v>0</v>
      </c>
      <c r="J556" s="27">
        <f>G556*AP556</f>
        <v>0</v>
      </c>
      <c r="K556" s="27">
        <f>G556*H556</f>
        <v>0</v>
      </c>
      <c r="L556" s="28" t="s">
        <v>137</v>
      </c>
      <c r="Z556" s="27">
        <f>IF(AQ556="5",BJ556,0)</f>
        <v>0</v>
      </c>
      <c r="AB556" s="27">
        <f>IF(AQ556="1",BH556,0)</f>
        <v>0</v>
      </c>
      <c r="AC556" s="27">
        <f>IF(AQ556="1",BI556,0)</f>
        <v>0</v>
      </c>
      <c r="AD556" s="27">
        <f>IF(AQ556="7",BH556,0)</f>
        <v>0</v>
      </c>
      <c r="AE556" s="27">
        <f>IF(AQ556="7",BI556,0)</f>
        <v>0</v>
      </c>
      <c r="AF556" s="27">
        <f>IF(AQ556="2",BH556,0)</f>
        <v>0</v>
      </c>
      <c r="AG556" s="27">
        <f>IF(AQ556="2",BI556,0)</f>
        <v>0</v>
      </c>
      <c r="AH556" s="27">
        <f>IF(AQ556="0",BJ556,0)</f>
        <v>0</v>
      </c>
      <c r="AI556" s="9" t="s">
        <v>893</v>
      </c>
      <c r="AJ556" s="27">
        <f>IF(AN556=0,K556,0)</f>
        <v>0</v>
      </c>
      <c r="AK556" s="27">
        <f>IF(AN556=12,K556,0)</f>
        <v>0</v>
      </c>
      <c r="AL556" s="27">
        <f>IF(AN556=21,K556,0)</f>
        <v>0</v>
      </c>
      <c r="AN556" s="27">
        <v>21</v>
      </c>
      <c r="AO556" s="27">
        <f>H556*0.118628319</f>
        <v>0</v>
      </c>
      <c r="AP556" s="27">
        <f>H556*(1-0.118628319)</f>
        <v>0</v>
      </c>
      <c r="AQ556" s="29" t="s">
        <v>57</v>
      </c>
      <c r="AV556" s="27">
        <f>AW556+AX556</f>
        <v>0</v>
      </c>
      <c r="AW556" s="27">
        <f>G556*AO556</f>
        <v>0</v>
      </c>
      <c r="AX556" s="27">
        <f>G556*AP556</f>
        <v>0</v>
      </c>
      <c r="AY556" s="29" t="s">
        <v>414</v>
      </c>
      <c r="AZ556" s="29" t="s">
        <v>1111</v>
      </c>
      <c r="BA556" s="9" t="s">
        <v>899</v>
      </c>
      <c r="BC556" s="27">
        <f>AW556+AX556</f>
        <v>0</v>
      </c>
      <c r="BD556" s="27">
        <f>H556/(100-BE556)*100</f>
        <v>0</v>
      </c>
      <c r="BE556" s="27">
        <v>0</v>
      </c>
      <c r="BF556" s="27">
        <f>556</f>
        <v>556</v>
      </c>
      <c r="BH556" s="27">
        <f>G556*AO556</f>
        <v>0</v>
      </c>
      <c r="BI556" s="27">
        <f>G556*AP556</f>
        <v>0</v>
      </c>
      <c r="BJ556" s="27">
        <f>G556*H556</f>
        <v>0</v>
      </c>
      <c r="BK556" s="27"/>
      <c r="BL556" s="27">
        <v>94</v>
      </c>
      <c r="BW556" s="27">
        <v>21</v>
      </c>
    </row>
    <row r="557" spans="1:12" ht="15">
      <c r="A557" s="30"/>
      <c r="D557" s="32" t="s">
        <v>60</v>
      </c>
      <c r="E557" s="31" t="s">
        <v>1115</v>
      </c>
      <c r="G557" s="33">
        <v>2</v>
      </c>
      <c r="L557" s="34"/>
    </row>
    <row r="558" spans="1:12" ht="13.5" customHeight="1">
      <c r="A558" s="30"/>
      <c r="C558" s="35" t="s">
        <v>102</v>
      </c>
      <c r="D558" s="166" t="s">
        <v>1116</v>
      </c>
      <c r="E558" s="167"/>
      <c r="F558" s="167"/>
      <c r="G558" s="167"/>
      <c r="H558" s="167"/>
      <c r="I558" s="167"/>
      <c r="J558" s="167"/>
      <c r="K558" s="167"/>
      <c r="L558" s="168"/>
    </row>
    <row r="559" spans="1:47" ht="15">
      <c r="A559" s="23" t="s">
        <v>52</v>
      </c>
      <c r="B559" s="24" t="s">
        <v>893</v>
      </c>
      <c r="C559" s="24" t="s">
        <v>422</v>
      </c>
      <c r="D559" s="164" t="s">
        <v>423</v>
      </c>
      <c r="E559" s="165"/>
      <c r="F559" s="25" t="s">
        <v>4</v>
      </c>
      <c r="G559" s="25" t="s">
        <v>4</v>
      </c>
      <c r="H559" s="25" t="s">
        <v>4</v>
      </c>
      <c r="I559" s="1">
        <f>SUM(I560:I560)</f>
        <v>0</v>
      </c>
      <c r="J559" s="1">
        <f>SUM(J560:J560)</f>
        <v>0</v>
      </c>
      <c r="K559" s="1">
        <f>SUM(K560:K560)</f>
        <v>0</v>
      </c>
      <c r="L559" s="26" t="s">
        <v>52</v>
      </c>
      <c r="AI559" s="9" t="s">
        <v>893</v>
      </c>
      <c r="AS559" s="1">
        <f>SUM(AJ560:AJ560)</f>
        <v>0</v>
      </c>
      <c r="AT559" s="1">
        <f>SUM(AK560:AK560)</f>
        <v>0</v>
      </c>
      <c r="AU559" s="1">
        <f>SUM(AL560:AL560)</f>
        <v>0</v>
      </c>
    </row>
    <row r="560" spans="1:75" ht="13.5" customHeight="1">
      <c r="A560" s="2" t="s">
        <v>1117</v>
      </c>
      <c r="B560" s="3" t="s">
        <v>893</v>
      </c>
      <c r="C560" s="3" t="s">
        <v>432</v>
      </c>
      <c r="D560" s="148" t="s">
        <v>433</v>
      </c>
      <c r="E560" s="143"/>
      <c r="F560" s="3" t="s">
        <v>109</v>
      </c>
      <c r="G560" s="27">
        <v>30.77</v>
      </c>
      <c r="H560" s="27">
        <v>0</v>
      </c>
      <c r="I560" s="27">
        <f>G560*AO560</f>
        <v>0</v>
      </c>
      <c r="J560" s="27">
        <f>G560*AP560</f>
        <v>0</v>
      </c>
      <c r="K560" s="27">
        <f>G560*H560</f>
        <v>0</v>
      </c>
      <c r="L560" s="28" t="s">
        <v>137</v>
      </c>
      <c r="Z560" s="27">
        <f>IF(AQ560="5",BJ560,0)</f>
        <v>0</v>
      </c>
      <c r="AB560" s="27">
        <f>IF(AQ560="1",BH560,0)</f>
        <v>0</v>
      </c>
      <c r="AC560" s="27">
        <f>IF(AQ560="1",BI560,0)</f>
        <v>0</v>
      </c>
      <c r="AD560" s="27">
        <f>IF(AQ560="7",BH560,0)</f>
        <v>0</v>
      </c>
      <c r="AE560" s="27">
        <f>IF(AQ560="7",BI560,0)</f>
        <v>0</v>
      </c>
      <c r="AF560" s="27">
        <f>IF(AQ560="2",BH560,0)</f>
        <v>0</v>
      </c>
      <c r="AG560" s="27">
        <f>IF(AQ560="2",BI560,0)</f>
        <v>0</v>
      </c>
      <c r="AH560" s="27">
        <f>IF(AQ560="0",BJ560,0)</f>
        <v>0</v>
      </c>
      <c r="AI560" s="9" t="s">
        <v>893</v>
      </c>
      <c r="AJ560" s="27">
        <f>IF(AN560=0,K560,0)</f>
        <v>0</v>
      </c>
      <c r="AK560" s="27">
        <f>IF(AN560=12,K560,0)</f>
        <v>0</v>
      </c>
      <c r="AL560" s="27">
        <f>IF(AN560=21,K560,0)</f>
        <v>0</v>
      </c>
      <c r="AN560" s="27">
        <v>21</v>
      </c>
      <c r="AO560" s="27">
        <f>H560*0.013885899</f>
        <v>0</v>
      </c>
      <c r="AP560" s="27">
        <f>H560*(1-0.013885899)</f>
        <v>0</v>
      </c>
      <c r="AQ560" s="29" t="s">
        <v>57</v>
      </c>
      <c r="AV560" s="27">
        <f>AW560+AX560</f>
        <v>0</v>
      </c>
      <c r="AW560" s="27">
        <f>G560*AO560</f>
        <v>0</v>
      </c>
      <c r="AX560" s="27">
        <f>G560*AP560</f>
        <v>0</v>
      </c>
      <c r="AY560" s="29" t="s">
        <v>427</v>
      </c>
      <c r="AZ560" s="29" t="s">
        <v>1111</v>
      </c>
      <c r="BA560" s="9" t="s">
        <v>899</v>
      </c>
      <c r="BC560" s="27">
        <f>AW560+AX560</f>
        <v>0</v>
      </c>
      <c r="BD560" s="27">
        <f>H560/(100-BE560)*100</f>
        <v>0</v>
      </c>
      <c r="BE560" s="27">
        <v>0</v>
      </c>
      <c r="BF560" s="27">
        <f>560</f>
        <v>560</v>
      </c>
      <c r="BH560" s="27">
        <f>G560*AO560</f>
        <v>0</v>
      </c>
      <c r="BI560" s="27">
        <f>G560*AP560</f>
        <v>0</v>
      </c>
      <c r="BJ560" s="27">
        <f>G560*H560</f>
        <v>0</v>
      </c>
      <c r="BK560" s="27"/>
      <c r="BL560" s="27">
        <v>95</v>
      </c>
      <c r="BW560" s="27">
        <v>21</v>
      </c>
    </row>
    <row r="561" spans="1:12" ht="15">
      <c r="A561" s="30"/>
      <c r="D561" s="32" t="s">
        <v>980</v>
      </c>
      <c r="E561" s="31" t="s">
        <v>52</v>
      </c>
      <c r="G561" s="33">
        <v>30.77</v>
      </c>
      <c r="L561" s="34"/>
    </row>
    <row r="562" spans="1:12" ht="27" customHeight="1">
      <c r="A562" s="30"/>
      <c r="C562" s="35" t="s">
        <v>102</v>
      </c>
      <c r="D562" s="166" t="s">
        <v>1118</v>
      </c>
      <c r="E562" s="167"/>
      <c r="F562" s="167"/>
      <c r="G562" s="167"/>
      <c r="H562" s="167"/>
      <c r="I562" s="167"/>
      <c r="J562" s="167"/>
      <c r="K562" s="167"/>
      <c r="L562" s="168"/>
    </row>
    <row r="563" spans="1:47" ht="15">
      <c r="A563" s="23" t="s">
        <v>52</v>
      </c>
      <c r="B563" s="24" t="s">
        <v>893</v>
      </c>
      <c r="C563" s="24" t="s">
        <v>434</v>
      </c>
      <c r="D563" s="164" t="s">
        <v>435</v>
      </c>
      <c r="E563" s="165"/>
      <c r="F563" s="25" t="s">
        <v>4</v>
      </c>
      <c r="G563" s="25" t="s">
        <v>4</v>
      </c>
      <c r="H563" s="25" t="s">
        <v>4</v>
      </c>
      <c r="I563" s="1">
        <f>SUM(I564:I567)</f>
        <v>0</v>
      </c>
      <c r="J563" s="1">
        <f>SUM(J564:J567)</f>
        <v>0</v>
      </c>
      <c r="K563" s="1">
        <f>SUM(K564:K567)</f>
        <v>0</v>
      </c>
      <c r="L563" s="26" t="s">
        <v>52</v>
      </c>
      <c r="AI563" s="9" t="s">
        <v>893</v>
      </c>
      <c r="AS563" s="1">
        <f>SUM(AJ564:AJ567)</f>
        <v>0</v>
      </c>
      <c r="AT563" s="1">
        <f>SUM(AK564:AK567)</f>
        <v>0</v>
      </c>
      <c r="AU563" s="1">
        <f>SUM(AL564:AL567)</f>
        <v>0</v>
      </c>
    </row>
    <row r="564" spans="1:75" ht="13.5" customHeight="1">
      <c r="A564" s="2" t="s">
        <v>1119</v>
      </c>
      <c r="B564" s="3" t="s">
        <v>893</v>
      </c>
      <c r="C564" s="3" t="s">
        <v>447</v>
      </c>
      <c r="D564" s="148" t="s">
        <v>1120</v>
      </c>
      <c r="E564" s="143"/>
      <c r="F564" s="3" t="s">
        <v>154</v>
      </c>
      <c r="G564" s="27">
        <v>1</v>
      </c>
      <c r="H564" s="27">
        <v>0</v>
      </c>
      <c r="I564" s="27">
        <f>G564*AO564</f>
        <v>0</v>
      </c>
      <c r="J564" s="27">
        <f>G564*AP564</f>
        <v>0</v>
      </c>
      <c r="K564" s="27">
        <f>G564*H564</f>
        <v>0</v>
      </c>
      <c r="L564" s="28" t="s">
        <v>137</v>
      </c>
      <c r="Z564" s="27">
        <f>IF(AQ564="5",BJ564,0)</f>
        <v>0</v>
      </c>
      <c r="AB564" s="27">
        <f>IF(AQ564="1",BH564,0)</f>
        <v>0</v>
      </c>
      <c r="AC564" s="27">
        <f>IF(AQ564="1",BI564,0)</f>
        <v>0</v>
      </c>
      <c r="AD564" s="27">
        <f>IF(AQ564="7",BH564,0)</f>
        <v>0</v>
      </c>
      <c r="AE564" s="27">
        <f>IF(AQ564="7",BI564,0)</f>
        <v>0</v>
      </c>
      <c r="AF564" s="27">
        <f>IF(AQ564="2",BH564,0)</f>
        <v>0</v>
      </c>
      <c r="AG564" s="27">
        <f>IF(AQ564="2",BI564,0)</f>
        <v>0</v>
      </c>
      <c r="AH564" s="27">
        <f>IF(AQ564="0",BJ564,0)</f>
        <v>0</v>
      </c>
      <c r="AI564" s="9" t="s">
        <v>893</v>
      </c>
      <c r="AJ564" s="27">
        <f>IF(AN564=0,K564,0)</f>
        <v>0</v>
      </c>
      <c r="AK564" s="27">
        <f>IF(AN564=12,K564,0)</f>
        <v>0</v>
      </c>
      <c r="AL564" s="27">
        <f>IF(AN564=21,K564,0)</f>
        <v>0</v>
      </c>
      <c r="AN564" s="27">
        <v>21</v>
      </c>
      <c r="AO564" s="27">
        <f>H564*0</f>
        <v>0</v>
      </c>
      <c r="AP564" s="27">
        <f>H564*(1-0)</f>
        <v>0</v>
      </c>
      <c r="AQ564" s="29" t="s">
        <v>57</v>
      </c>
      <c r="AV564" s="27">
        <f>AW564+AX564</f>
        <v>0</v>
      </c>
      <c r="AW564" s="27">
        <f>G564*AO564</f>
        <v>0</v>
      </c>
      <c r="AX564" s="27">
        <f>G564*AP564</f>
        <v>0</v>
      </c>
      <c r="AY564" s="29" t="s">
        <v>438</v>
      </c>
      <c r="AZ564" s="29" t="s">
        <v>1111</v>
      </c>
      <c r="BA564" s="9" t="s">
        <v>899</v>
      </c>
      <c r="BC564" s="27">
        <f>AW564+AX564</f>
        <v>0</v>
      </c>
      <c r="BD564" s="27">
        <f>H564/(100-BE564)*100</f>
        <v>0</v>
      </c>
      <c r="BE564" s="27">
        <v>0</v>
      </c>
      <c r="BF564" s="27">
        <f>564</f>
        <v>564</v>
      </c>
      <c r="BH564" s="27">
        <f>G564*AO564</f>
        <v>0</v>
      </c>
      <c r="BI564" s="27">
        <f>G564*AP564</f>
        <v>0</v>
      </c>
      <c r="BJ564" s="27">
        <f>G564*H564</f>
        <v>0</v>
      </c>
      <c r="BK564" s="27"/>
      <c r="BL564" s="27">
        <v>96</v>
      </c>
      <c r="BW564" s="27">
        <v>21</v>
      </c>
    </row>
    <row r="565" spans="1:12" ht="15">
      <c r="A565" s="30"/>
      <c r="D565" s="32" t="s">
        <v>57</v>
      </c>
      <c r="E565" s="31" t="s">
        <v>1121</v>
      </c>
      <c r="G565" s="33">
        <v>1</v>
      </c>
      <c r="L565" s="34"/>
    </row>
    <row r="566" spans="1:12" ht="13.5" customHeight="1">
      <c r="A566" s="30"/>
      <c r="C566" s="35" t="s">
        <v>102</v>
      </c>
      <c r="D566" s="166" t="s">
        <v>449</v>
      </c>
      <c r="E566" s="167"/>
      <c r="F566" s="167"/>
      <c r="G566" s="167"/>
      <c r="H566" s="167"/>
      <c r="I566" s="167"/>
      <c r="J566" s="167"/>
      <c r="K566" s="167"/>
      <c r="L566" s="168"/>
    </row>
    <row r="567" spans="1:75" ht="13.5" customHeight="1">
      <c r="A567" s="2" t="s">
        <v>1122</v>
      </c>
      <c r="B567" s="3" t="s">
        <v>893</v>
      </c>
      <c r="C567" s="3" t="s">
        <v>1123</v>
      </c>
      <c r="D567" s="148" t="s">
        <v>1124</v>
      </c>
      <c r="E567" s="143"/>
      <c r="F567" s="3" t="s">
        <v>109</v>
      </c>
      <c r="G567" s="27">
        <v>7.075</v>
      </c>
      <c r="H567" s="27">
        <v>0</v>
      </c>
      <c r="I567" s="27">
        <f>G567*AO567</f>
        <v>0</v>
      </c>
      <c r="J567" s="27">
        <f>G567*AP567</f>
        <v>0</v>
      </c>
      <c r="K567" s="27">
        <f>G567*H567</f>
        <v>0</v>
      </c>
      <c r="L567" s="28" t="s">
        <v>137</v>
      </c>
      <c r="Z567" s="27">
        <f>IF(AQ567="5",BJ567,0)</f>
        <v>0</v>
      </c>
      <c r="AB567" s="27">
        <f>IF(AQ567="1",BH567,0)</f>
        <v>0</v>
      </c>
      <c r="AC567" s="27">
        <f>IF(AQ567="1",BI567,0)</f>
        <v>0</v>
      </c>
      <c r="AD567" s="27">
        <f>IF(AQ567="7",BH567,0)</f>
        <v>0</v>
      </c>
      <c r="AE567" s="27">
        <f>IF(AQ567="7",BI567,0)</f>
        <v>0</v>
      </c>
      <c r="AF567" s="27">
        <f>IF(AQ567="2",BH567,0)</f>
        <v>0</v>
      </c>
      <c r="AG567" s="27">
        <f>IF(AQ567="2",BI567,0)</f>
        <v>0</v>
      </c>
      <c r="AH567" s="27">
        <f>IF(AQ567="0",BJ567,0)</f>
        <v>0</v>
      </c>
      <c r="AI567" s="9" t="s">
        <v>893</v>
      </c>
      <c r="AJ567" s="27">
        <f>IF(AN567=0,K567,0)</f>
        <v>0</v>
      </c>
      <c r="AK567" s="27">
        <f>IF(AN567=12,K567,0)</f>
        <v>0</v>
      </c>
      <c r="AL567" s="27">
        <f>IF(AN567=21,K567,0)</f>
        <v>0</v>
      </c>
      <c r="AN567" s="27">
        <v>21</v>
      </c>
      <c r="AO567" s="27">
        <f>H567*0.061269154</f>
        <v>0</v>
      </c>
      <c r="AP567" s="27">
        <f>H567*(1-0.061269154)</f>
        <v>0</v>
      </c>
      <c r="AQ567" s="29" t="s">
        <v>57</v>
      </c>
      <c r="AV567" s="27">
        <f>AW567+AX567</f>
        <v>0</v>
      </c>
      <c r="AW567" s="27">
        <f>G567*AO567</f>
        <v>0</v>
      </c>
      <c r="AX567" s="27">
        <f>G567*AP567</f>
        <v>0</v>
      </c>
      <c r="AY567" s="29" t="s">
        <v>438</v>
      </c>
      <c r="AZ567" s="29" t="s">
        <v>1111</v>
      </c>
      <c r="BA567" s="9" t="s">
        <v>899</v>
      </c>
      <c r="BC567" s="27">
        <f>AW567+AX567</f>
        <v>0</v>
      </c>
      <c r="BD567" s="27">
        <f>H567/(100-BE567)*100</f>
        <v>0</v>
      </c>
      <c r="BE567" s="27">
        <v>0</v>
      </c>
      <c r="BF567" s="27">
        <f>567</f>
        <v>567</v>
      </c>
      <c r="BH567" s="27">
        <f>G567*AO567</f>
        <v>0</v>
      </c>
      <c r="BI567" s="27">
        <f>G567*AP567</f>
        <v>0</v>
      </c>
      <c r="BJ567" s="27">
        <f>G567*H567</f>
        <v>0</v>
      </c>
      <c r="BK567" s="27"/>
      <c r="BL567" s="27">
        <v>96</v>
      </c>
      <c r="BW567" s="27">
        <v>21</v>
      </c>
    </row>
    <row r="568" spans="1:12" ht="15">
      <c r="A568" s="30"/>
      <c r="D568" s="32" t="s">
        <v>1125</v>
      </c>
      <c r="E568" s="31" t="s">
        <v>902</v>
      </c>
      <c r="G568" s="33">
        <v>7.075</v>
      </c>
      <c r="L568" s="34"/>
    </row>
    <row r="569" spans="1:12" ht="13.5" customHeight="1">
      <c r="A569" s="30"/>
      <c r="C569" s="35" t="s">
        <v>102</v>
      </c>
      <c r="D569" s="166" t="s">
        <v>1126</v>
      </c>
      <c r="E569" s="167"/>
      <c r="F569" s="167"/>
      <c r="G569" s="167"/>
      <c r="H569" s="167"/>
      <c r="I569" s="167"/>
      <c r="J569" s="167"/>
      <c r="K569" s="167"/>
      <c r="L569" s="168"/>
    </row>
    <row r="570" spans="1:47" ht="15">
      <c r="A570" s="23" t="s">
        <v>52</v>
      </c>
      <c r="B570" s="24" t="s">
        <v>893</v>
      </c>
      <c r="C570" s="24" t="s">
        <v>471</v>
      </c>
      <c r="D570" s="164" t="s">
        <v>472</v>
      </c>
      <c r="E570" s="165"/>
      <c r="F570" s="25" t="s">
        <v>4</v>
      </c>
      <c r="G570" s="25" t="s">
        <v>4</v>
      </c>
      <c r="H570" s="25" t="s">
        <v>4</v>
      </c>
      <c r="I570" s="1">
        <f>SUM(I571:I571)</f>
        <v>0</v>
      </c>
      <c r="J570" s="1">
        <f>SUM(J571:J571)</f>
        <v>0</v>
      </c>
      <c r="K570" s="1">
        <f>SUM(K571:K571)</f>
        <v>0</v>
      </c>
      <c r="L570" s="26" t="s">
        <v>52</v>
      </c>
      <c r="AI570" s="9" t="s">
        <v>893</v>
      </c>
      <c r="AS570" s="1">
        <f>SUM(AJ571:AJ571)</f>
        <v>0</v>
      </c>
      <c r="AT570" s="1">
        <f>SUM(AK571:AK571)</f>
        <v>0</v>
      </c>
      <c r="AU570" s="1">
        <f>SUM(AL571:AL571)</f>
        <v>0</v>
      </c>
    </row>
    <row r="571" spans="1:75" ht="13.5" customHeight="1">
      <c r="A571" s="2" t="s">
        <v>1127</v>
      </c>
      <c r="B571" s="3" t="s">
        <v>893</v>
      </c>
      <c r="C571" s="3" t="s">
        <v>1128</v>
      </c>
      <c r="D571" s="148" t="s">
        <v>1129</v>
      </c>
      <c r="E571" s="143"/>
      <c r="F571" s="3" t="s">
        <v>109</v>
      </c>
      <c r="G571" s="27">
        <v>2.25</v>
      </c>
      <c r="H571" s="27">
        <v>0</v>
      </c>
      <c r="I571" s="27">
        <f>G571*AO571</f>
        <v>0</v>
      </c>
      <c r="J571" s="27">
        <f>G571*AP571</f>
        <v>0</v>
      </c>
      <c r="K571" s="27">
        <f>G571*H571</f>
        <v>0</v>
      </c>
      <c r="L571" s="28" t="s">
        <v>137</v>
      </c>
      <c r="Z571" s="27">
        <f>IF(AQ571="5",BJ571,0)</f>
        <v>0</v>
      </c>
      <c r="AB571" s="27">
        <f>IF(AQ571="1",BH571,0)</f>
        <v>0</v>
      </c>
      <c r="AC571" s="27">
        <f>IF(AQ571="1",BI571,0)</f>
        <v>0</v>
      </c>
      <c r="AD571" s="27">
        <f>IF(AQ571="7",BH571,0)</f>
        <v>0</v>
      </c>
      <c r="AE571" s="27">
        <f>IF(AQ571="7",BI571,0)</f>
        <v>0</v>
      </c>
      <c r="AF571" s="27">
        <f>IF(AQ571="2",BH571,0)</f>
        <v>0</v>
      </c>
      <c r="AG571" s="27">
        <f>IF(AQ571="2",BI571,0)</f>
        <v>0</v>
      </c>
      <c r="AH571" s="27">
        <f>IF(AQ571="0",BJ571,0)</f>
        <v>0</v>
      </c>
      <c r="AI571" s="9" t="s">
        <v>893</v>
      </c>
      <c r="AJ571" s="27">
        <f>IF(AN571=0,K571,0)</f>
        <v>0</v>
      </c>
      <c r="AK571" s="27">
        <f>IF(AN571=12,K571,0)</f>
        <v>0</v>
      </c>
      <c r="AL571" s="27">
        <f>IF(AN571=21,K571,0)</f>
        <v>0</v>
      </c>
      <c r="AN571" s="27">
        <v>21</v>
      </c>
      <c r="AO571" s="27">
        <f>H571*0</f>
        <v>0</v>
      </c>
      <c r="AP571" s="27">
        <f>H571*(1-0)</f>
        <v>0</v>
      </c>
      <c r="AQ571" s="29" t="s">
        <v>57</v>
      </c>
      <c r="AV571" s="27">
        <f>AW571+AX571</f>
        <v>0</v>
      </c>
      <c r="AW571" s="27">
        <f>G571*AO571</f>
        <v>0</v>
      </c>
      <c r="AX571" s="27">
        <f>G571*AP571</f>
        <v>0</v>
      </c>
      <c r="AY571" s="29" t="s">
        <v>476</v>
      </c>
      <c r="AZ571" s="29" t="s">
        <v>1111</v>
      </c>
      <c r="BA571" s="9" t="s">
        <v>899</v>
      </c>
      <c r="BC571" s="27">
        <f>AW571+AX571</f>
        <v>0</v>
      </c>
      <c r="BD571" s="27">
        <f>H571/(100-BE571)*100</f>
        <v>0</v>
      </c>
      <c r="BE571" s="27">
        <v>0</v>
      </c>
      <c r="BF571" s="27">
        <f>571</f>
        <v>571</v>
      </c>
      <c r="BH571" s="27">
        <f>G571*AO571</f>
        <v>0</v>
      </c>
      <c r="BI571" s="27">
        <f>G571*AP571</f>
        <v>0</v>
      </c>
      <c r="BJ571" s="27">
        <f>G571*H571</f>
        <v>0</v>
      </c>
      <c r="BK571" s="27"/>
      <c r="BL571" s="27">
        <v>97</v>
      </c>
      <c r="BW571" s="27">
        <v>21</v>
      </c>
    </row>
    <row r="572" spans="1:12" ht="15">
      <c r="A572" s="30"/>
      <c r="D572" s="32" t="s">
        <v>1130</v>
      </c>
      <c r="E572" s="31" t="s">
        <v>902</v>
      </c>
      <c r="G572" s="33">
        <v>2.25</v>
      </c>
      <c r="L572" s="34"/>
    </row>
    <row r="573" spans="1:12" ht="13.5" customHeight="1">
      <c r="A573" s="30"/>
      <c r="C573" s="35" t="s">
        <v>102</v>
      </c>
      <c r="D573" s="166" t="s">
        <v>482</v>
      </c>
      <c r="E573" s="167"/>
      <c r="F573" s="167"/>
      <c r="G573" s="167"/>
      <c r="H573" s="167"/>
      <c r="I573" s="167"/>
      <c r="J573" s="167"/>
      <c r="K573" s="167"/>
      <c r="L573" s="168"/>
    </row>
    <row r="574" spans="1:47" ht="15">
      <c r="A574" s="23" t="s">
        <v>52</v>
      </c>
      <c r="B574" s="24" t="s">
        <v>893</v>
      </c>
      <c r="C574" s="24" t="s">
        <v>1131</v>
      </c>
      <c r="D574" s="164" t="s">
        <v>1132</v>
      </c>
      <c r="E574" s="165"/>
      <c r="F574" s="25" t="s">
        <v>4</v>
      </c>
      <c r="G574" s="25" t="s">
        <v>4</v>
      </c>
      <c r="H574" s="25" t="s">
        <v>4</v>
      </c>
      <c r="I574" s="1">
        <f>SUM(I575:I575)</f>
        <v>0</v>
      </c>
      <c r="J574" s="1">
        <f>SUM(J575:J575)</f>
        <v>0</v>
      </c>
      <c r="K574" s="1">
        <f>SUM(K575:K575)</f>
        <v>0</v>
      </c>
      <c r="L574" s="26" t="s">
        <v>52</v>
      </c>
      <c r="AI574" s="9" t="s">
        <v>893</v>
      </c>
      <c r="AS574" s="1">
        <f>SUM(AJ575:AJ575)</f>
        <v>0</v>
      </c>
      <c r="AT574" s="1">
        <f>SUM(AK575:AK575)</f>
        <v>0</v>
      </c>
      <c r="AU574" s="1">
        <f>SUM(AL575:AL575)</f>
        <v>0</v>
      </c>
    </row>
    <row r="575" spans="1:75" ht="13.5" customHeight="1">
      <c r="A575" s="2" t="s">
        <v>1133</v>
      </c>
      <c r="B575" s="3" t="s">
        <v>893</v>
      </c>
      <c r="C575" s="3" t="s">
        <v>1134</v>
      </c>
      <c r="D575" s="148" t="s">
        <v>1135</v>
      </c>
      <c r="E575" s="143"/>
      <c r="F575" s="3" t="s">
        <v>126</v>
      </c>
      <c r="G575" s="27">
        <v>11.96</v>
      </c>
      <c r="H575" s="27">
        <v>0</v>
      </c>
      <c r="I575" s="27">
        <f>G575*AO575</f>
        <v>0</v>
      </c>
      <c r="J575" s="27">
        <f>G575*AP575</f>
        <v>0</v>
      </c>
      <c r="K575" s="27">
        <f>G575*H575</f>
        <v>0</v>
      </c>
      <c r="L575" s="28" t="s">
        <v>137</v>
      </c>
      <c r="Z575" s="27">
        <f>IF(AQ575="5",BJ575,0)</f>
        <v>0</v>
      </c>
      <c r="AB575" s="27">
        <f>IF(AQ575="1",BH575,0)</f>
        <v>0</v>
      </c>
      <c r="AC575" s="27">
        <f>IF(AQ575="1",BI575,0)</f>
        <v>0</v>
      </c>
      <c r="AD575" s="27">
        <f>IF(AQ575="7",BH575,0)</f>
        <v>0</v>
      </c>
      <c r="AE575" s="27">
        <f>IF(AQ575="7",BI575,0)</f>
        <v>0</v>
      </c>
      <c r="AF575" s="27">
        <f>IF(AQ575="2",BH575,0)</f>
        <v>0</v>
      </c>
      <c r="AG575" s="27">
        <f>IF(AQ575="2",BI575,0)</f>
        <v>0</v>
      </c>
      <c r="AH575" s="27">
        <f>IF(AQ575="0",BJ575,0)</f>
        <v>0</v>
      </c>
      <c r="AI575" s="9" t="s">
        <v>893</v>
      </c>
      <c r="AJ575" s="27">
        <f>IF(AN575=0,K575,0)</f>
        <v>0</v>
      </c>
      <c r="AK575" s="27">
        <f>IF(AN575=12,K575,0)</f>
        <v>0</v>
      </c>
      <c r="AL575" s="27">
        <f>IF(AN575=21,K575,0)</f>
        <v>0</v>
      </c>
      <c r="AN575" s="27">
        <v>21</v>
      </c>
      <c r="AO575" s="27">
        <f>H575*0</f>
        <v>0</v>
      </c>
      <c r="AP575" s="27">
        <f>H575*(1-0)</f>
        <v>0</v>
      </c>
      <c r="AQ575" s="29" t="s">
        <v>60</v>
      </c>
      <c r="AV575" s="27">
        <f>AW575+AX575</f>
        <v>0</v>
      </c>
      <c r="AW575" s="27">
        <f>G575*AO575</f>
        <v>0</v>
      </c>
      <c r="AX575" s="27">
        <f>G575*AP575</f>
        <v>0</v>
      </c>
      <c r="AY575" s="29" t="s">
        <v>1136</v>
      </c>
      <c r="AZ575" s="29" t="s">
        <v>1111</v>
      </c>
      <c r="BA575" s="9" t="s">
        <v>899</v>
      </c>
      <c r="BC575" s="27">
        <f>AW575+AX575</f>
        <v>0</v>
      </c>
      <c r="BD575" s="27">
        <f>H575/(100-BE575)*100</f>
        <v>0</v>
      </c>
      <c r="BE575" s="27">
        <v>0</v>
      </c>
      <c r="BF575" s="27">
        <f>575</f>
        <v>575</v>
      </c>
      <c r="BH575" s="27">
        <f>G575*AO575</f>
        <v>0</v>
      </c>
      <c r="BI575" s="27">
        <f>G575*AP575</f>
        <v>0</v>
      </c>
      <c r="BJ575" s="27">
        <f>G575*H575</f>
        <v>0</v>
      </c>
      <c r="BK575" s="27"/>
      <c r="BL575" s="27"/>
      <c r="BW575" s="27">
        <v>21</v>
      </c>
    </row>
    <row r="576" spans="1:12" ht="15">
      <c r="A576" s="30"/>
      <c r="D576" s="32" t="s">
        <v>1067</v>
      </c>
      <c r="E576" s="31" t="s">
        <v>52</v>
      </c>
      <c r="G576" s="33">
        <v>11.96</v>
      </c>
      <c r="L576" s="34"/>
    </row>
    <row r="577" spans="1:47" ht="15">
      <c r="A577" s="36" t="s">
        <v>52</v>
      </c>
      <c r="B577" s="37" t="s">
        <v>893</v>
      </c>
      <c r="C577" s="37" t="s">
        <v>494</v>
      </c>
      <c r="D577" s="169" t="s">
        <v>495</v>
      </c>
      <c r="E577" s="170"/>
      <c r="F577" s="38" t="s">
        <v>4</v>
      </c>
      <c r="G577" s="38" t="s">
        <v>4</v>
      </c>
      <c r="H577" s="38" t="s">
        <v>4</v>
      </c>
      <c r="I577" s="39">
        <f>SUM(I578:I596)</f>
        <v>0</v>
      </c>
      <c r="J577" s="39">
        <f>SUM(J578:J596)</f>
        <v>0</v>
      </c>
      <c r="K577" s="39">
        <f>SUM(K578:K596)</f>
        <v>0</v>
      </c>
      <c r="L577" s="40" t="s">
        <v>52</v>
      </c>
      <c r="AI577" s="9" t="s">
        <v>893</v>
      </c>
      <c r="AS577" s="1">
        <f>SUM(AJ578:AJ596)</f>
        <v>0</v>
      </c>
      <c r="AT577" s="1">
        <f>SUM(AK578:AK596)</f>
        <v>0</v>
      </c>
      <c r="AU577" s="1">
        <f>SUM(AL578:AL596)</f>
        <v>0</v>
      </c>
    </row>
    <row r="578" spans="1:75" ht="13.5" customHeight="1">
      <c r="A578" s="41" t="s">
        <v>1137</v>
      </c>
      <c r="B578" s="42" t="s">
        <v>893</v>
      </c>
      <c r="C578" s="42" t="s">
        <v>497</v>
      </c>
      <c r="D578" s="171" t="s">
        <v>498</v>
      </c>
      <c r="E578" s="172"/>
      <c r="F578" s="42" t="s">
        <v>95</v>
      </c>
      <c r="G578" s="43">
        <v>0.3612</v>
      </c>
      <c r="H578" s="43">
        <v>0</v>
      </c>
      <c r="I578" s="43">
        <f>G578*AO578</f>
        <v>0</v>
      </c>
      <c r="J578" s="43">
        <f>G578*AP578</f>
        <v>0</v>
      </c>
      <c r="K578" s="43">
        <f>G578*H578</f>
        <v>0</v>
      </c>
      <c r="L578" s="44" t="s">
        <v>137</v>
      </c>
      <c r="Z578" s="27">
        <f>IF(AQ578="5",BJ578,0)</f>
        <v>0</v>
      </c>
      <c r="AB578" s="27">
        <f>IF(AQ578="1",BH578,0)</f>
        <v>0</v>
      </c>
      <c r="AC578" s="27">
        <f>IF(AQ578="1",BI578,0)</f>
        <v>0</v>
      </c>
      <c r="AD578" s="27">
        <f>IF(AQ578="7",BH578,0)</f>
        <v>0</v>
      </c>
      <c r="AE578" s="27">
        <f>IF(AQ578="7",BI578,0)</f>
        <v>0</v>
      </c>
      <c r="AF578" s="27">
        <f>IF(AQ578="2",BH578,0)</f>
        <v>0</v>
      </c>
      <c r="AG578" s="27">
        <f>IF(AQ578="2",BI578,0)</f>
        <v>0</v>
      </c>
      <c r="AH578" s="27">
        <f>IF(AQ578="0",BJ578,0)</f>
        <v>0</v>
      </c>
      <c r="AI578" s="9" t="s">
        <v>893</v>
      </c>
      <c r="AJ578" s="27">
        <f>IF(AN578=0,K578,0)</f>
        <v>0</v>
      </c>
      <c r="AK578" s="27">
        <f>IF(AN578=12,K578,0)</f>
        <v>0</v>
      </c>
      <c r="AL578" s="27">
        <f>IF(AN578=21,K578,0)</f>
        <v>0</v>
      </c>
      <c r="AN578" s="27">
        <v>21</v>
      </c>
      <c r="AO578" s="27">
        <f>H578*0</f>
        <v>0</v>
      </c>
      <c r="AP578" s="27">
        <f>H578*(1-0)</f>
        <v>0</v>
      </c>
      <c r="AQ578" s="29" t="s">
        <v>78</v>
      </c>
      <c r="AV578" s="27">
        <f>AW578+AX578</f>
        <v>0</v>
      </c>
      <c r="AW578" s="27">
        <f>G578*AO578</f>
        <v>0</v>
      </c>
      <c r="AX578" s="27">
        <f>G578*AP578</f>
        <v>0</v>
      </c>
      <c r="AY578" s="29" t="s">
        <v>499</v>
      </c>
      <c r="AZ578" s="29" t="s">
        <v>1111</v>
      </c>
      <c r="BA578" s="9" t="s">
        <v>899</v>
      </c>
      <c r="BC578" s="27">
        <f>AW578+AX578</f>
        <v>0</v>
      </c>
      <c r="BD578" s="27">
        <f>H578/(100-BE578)*100</f>
        <v>0</v>
      </c>
      <c r="BE578" s="27">
        <v>0</v>
      </c>
      <c r="BF578" s="27">
        <f>578</f>
        <v>578</v>
      </c>
      <c r="BH578" s="27">
        <f>G578*AO578</f>
        <v>0</v>
      </c>
      <c r="BI578" s="27">
        <f>G578*AP578</f>
        <v>0</v>
      </c>
      <c r="BJ578" s="27">
        <f>G578*H578</f>
        <v>0</v>
      </c>
      <c r="BK578" s="27"/>
      <c r="BL578" s="27"/>
      <c r="BW578" s="27">
        <v>21</v>
      </c>
    </row>
    <row r="579" spans="1:12" ht="13.5" customHeight="1">
      <c r="A579" s="45"/>
      <c r="C579" s="65" t="s">
        <v>102</v>
      </c>
      <c r="D579" s="173" t="s">
        <v>500</v>
      </c>
      <c r="E579" s="174"/>
      <c r="F579" s="174"/>
      <c r="G579" s="174"/>
      <c r="H579" s="174"/>
      <c r="I579" s="174"/>
      <c r="J579" s="174"/>
      <c r="K579" s="174"/>
      <c r="L579" s="175"/>
    </row>
    <row r="580" spans="1:75" ht="13.5" customHeight="1">
      <c r="A580" s="41" t="s">
        <v>1138</v>
      </c>
      <c r="B580" s="42" t="s">
        <v>893</v>
      </c>
      <c r="C580" s="42" t="s">
        <v>502</v>
      </c>
      <c r="D580" s="171" t="s">
        <v>503</v>
      </c>
      <c r="E580" s="172"/>
      <c r="F580" s="42" t="s">
        <v>95</v>
      </c>
      <c r="G580" s="43">
        <v>0.7224</v>
      </c>
      <c r="H580" s="43">
        <v>0</v>
      </c>
      <c r="I580" s="43">
        <f>G580*AO580</f>
        <v>0</v>
      </c>
      <c r="J580" s="43">
        <f>G580*AP580</f>
        <v>0</v>
      </c>
      <c r="K580" s="43">
        <f>G580*H580</f>
        <v>0</v>
      </c>
      <c r="L580" s="44" t="s">
        <v>137</v>
      </c>
      <c r="Z580" s="27">
        <f>IF(AQ580="5",BJ580,0)</f>
        <v>0</v>
      </c>
      <c r="AB580" s="27">
        <f>IF(AQ580="1",BH580,0)</f>
        <v>0</v>
      </c>
      <c r="AC580" s="27">
        <f>IF(AQ580="1",BI580,0)</f>
        <v>0</v>
      </c>
      <c r="AD580" s="27">
        <f>IF(AQ580="7",BH580,0)</f>
        <v>0</v>
      </c>
      <c r="AE580" s="27">
        <f>IF(AQ580="7",BI580,0)</f>
        <v>0</v>
      </c>
      <c r="AF580" s="27">
        <f>IF(AQ580="2",BH580,0)</f>
        <v>0</v>
      </c>
      <c r="AG580" s="27">
        <f>IF(AQ580="2",BI580,0)</f>
        <v>0</v>
      </c>
      <c r="AH580" s="27">
        <f>IF(AQ580="0",BJ580,0)</f>
        <v>0</v>
      </c>
      <c r="AI580" s="9" t="s">
        <v>893</v>
      </c>
      <c r="AJ580" s="27">
        <f>IF(AN580=0,K580,0)</f>
        <v>0</v>
      </c>
      <c r="AK580" s="27">
        <f>IF(AN580=12,K580,0)</f>
        <v>0</v>
      </c>
      <c r="AL580" s="27">
        <f>IF(AN580=21,K580,0)</f>
        <v>0</v>
      </c>
      <c r="AN580" s="27">
        <v>21</v>
      </c>
      <c r="AO580" s="27">
        <f>H580*0</f>
        <v>0</v>
      </c>
      <c r="AP580" s="27">
        <f>H580*(1-0)</f>
        <v>0</v>
      </c>
      <c r="AQ580" s="29" t="s">
        <v>78</v>
      </c>
      <c r="AV580" s="27">
        <f>AW580+AX580</f>
        <v>0</v>
      </c>
      <c r="AW580" s="27">
        <f>G580*AO580</f>
        <v>0</v>
      </c>
      <c r="AX580" s="27">
        <f>G580*AP580</f>
        <v>0</v>
      </c>
      <c r="AY580" s="29" t="s">
        <v>499</v>
      </c>
      <c r="AZ580" s="29" t="s">
        <v>1111</v>
      </c>
      <c r="BA580" s="9" t="s">
        <v>899</v>
      </c>
      <c r="BC580" s="27">
        <f>AW580+AX580</f>
        <v>0</v>
      </c>
      <c r="BD580" s="27">
        <f>H580/(100-BE580)*100</f>
        <v>0</v>
      </c>
      <c r="BE580" s="27">
        <v>0</v>
      </c>
      <c r="BF580" s="27">
        <f>580</f>
        <v>580</v>
      </c>
      <c r="BH580" s="27">
        <f>G580*AO580</f>
        <v>0</v>
      </c>
      <c r="BI580" s="27">
        <f>G580*AP580</f>
        <v>0</v>
      </c>
      <c r="BJ580" s="27">
        <f>G580*H580</f>
        <v>0</v>
      </c>
      <c r="BK580" s="27"/>
      <c r="BL580" s="27"/>
      <c r="BW580" s="27">
        <v>21</v>
      </c>
    </row>
    <row r="581" spans="1:12" ht="15">
      <c r="A581" s="52"/>
      <c r="B581" s="53"/>
      <c r="C581" s="53"/>
      <c r="D581" s="54" t="s">
        <v>1139</v>
      </c>
      <c r="E581" s="55" t="s">
        <v>1140</v>
      </c>
      <c r="F581" s="53"/>
      <c r="G581" s="56">
        <v>0.7224</v>
      </c>
      <c r="H581" s="53"/>
      <c r="I581" s="53"/>
      <c r="J581" s="53"/>
      <c r="K581" s="53"/>
      <c r="L581" s="57"/>
    </row>
    <row r="582" spans="1:75" ht="13.5" customHeight="1">
      <c r="A582" s="66" t="s">
        <v>1141</v>
      </c>
      <c r="B582" s="67" t="s">
        <v>893</v>
      </c>
      <c r="C582" s="67" t="s">
        <v>507</v>
      </c>
      <c r="D582" s="181" t="s">
        <v>508</v>
      </c>
      <c r="E582" s="182"/>
      <c r="F582" s="67" t="s">
        <v>95</v>
      </c>
      <c r="G582" s="68">
        <v>0.3612</v>
      </c>
      <c r="H582" s="68">
        <v>0</v>
      </c>
      <c r="I582" s="68">
        <f>G582*AO582</f>
        <v>0</v>
      </c>
      <c r="J582" s="68">
        <f>G582*AP582</f>
        <v>0</v>
      </c>
      <c r="K582" s="68">
        <f>G582*H582</f>
        <v>0</v>
      </c>
      <c r="L582" s="69" t="s">
        <v>137</v>
      </c>
      <c r="Z582" s="27">
        <f>IF(AQ582="5",BJ582,0)</f>
        <v>0</v>
      </c>
      <c r="AB582" s="27">
        <f>IF(AQ582="1",BH582,0)</f>
        <v>0</v>
      </c>
      <c r="AC582" s="27">
        <f>IF(AQ582="1",BI582,0)</f>
        <v>0</v>
      </c>
      <c r="AD582" s="27">
        <f>IF(AQ582="7",BH582,0)</f>
        <v>0</v>
      </c>
      <c r="AE582" s="27">
        <f>IF(AQ582="7",BI582,0)</f>
        <v>0</v>
      </c>
      <c r="AF582" s="27">
        <f>IF(AQ582="2",BH582,0)</f>
        <v>0</v>
      </c>
      <c r="AG582" s="27">
        <f>IF(AQ582="2",BI582,0)</f>
        <v>0</v>
      </c>
      <c r="AH582" s="27">
        <f>IF(AQ582="0",BJ582,0)</f>
        <v>0</v>
      </c>
      <c r="AI582" s="9" t="s">
        <v>893</v>
      </c>
      <c r="AJ582" s="27">
        <f>IF(AN582=0,K582,0)</f>
        <v>0</v>
      </c>
      <c r="AK582" s="27">
        <f>IF(AN582=12,K582,0)</f>
        <v>0</v>
      </c>
      <c r="AL582" s="27">
        <f>IF(AN582=21,K582,0)</f>
        <v>0</v>
      </c>
      <c r="AN582" s="27">
        <v>21</v>
      </c>
      <c r="AO582" s="27">
        <f>H582*0</f>
        <v>0</v>
      </c>
      <c r="AP582" s="27">
        <f>H582*(1-0)</f>
        <v>0</v>
      </c>
      <c r="AQ582" s="29" t="s">
        <v>78</v>
      </c>
      <c r="AV582" s="27">
        <f>AW582+AX582</f>
        <v>0</v>
      </c>
      <c r="AW582" s="27">
        <f>G582*AO582</f>
        <v>0</v>
      </c>
      <c r="AX582" s="27">
        <f>G582*AP582</f>
        <v>0</v>
      </c>
      <c r="AY582" s="29" t="s">
        <v>499</v>
      </c>
      <c r="AZ582" s="29" t="s">
        <v>1111</v>
      </c>
      <c r="BA582" s="9" t="s">
        <v>899</v>
      </c>
      <c r="BC582" s="27">
        <f>AW582+AX582</f>
        <v>0</v>
      </c>
      <c r="BD582" s="27">
        <f>H582/(100-BE582)*100</f>
        <v>0</v>
      </c>
      <c r="BE582" s="27">
        <v>0</v>
      </c>
      <c r="BF582" s="27">
        <f>582</f>
        <v>582</v>
      </c>
      <c r="BH582" s="27">
        <f>G582*AO582</f>
        <v>0</v>
      </c>
      <c r="BI582" s="27">
        <f>G582*AP582</f>
        <v>0</v>
      </c>
      <c r="BJ582" s="27">
        <f>G582*H582</f>
        <v>0</v>
      </c>
      <c r="BK582" s="27"/>
      <c r="BL582" s="27"/>
      <c r="BW582" s="27">
        <v>21</v>
      </c>
    </row>
    <row r="583" spans="1:12" ht="15">
      <c r="A583" s="52"/>
      <c r="B583" s="53"/>
      <c r="C583" s="53"/>
      <c r="D583" s="54" t="s">
        <v>1142</v>
      </c>
      <c r="E583" s="55" t="s">
        <v>52</v>
      </c>
      <c r="F583" s="53"/>
      <c r="G583" s="56">
        <v>0.3612</v>
      </c>
      <c r="H583" s="53"/>
      <c r="I583" s="53"/>
      <c r="J583" s="53"/>
      <c r="K583" s="53"/>
      <c r="L583" s="57"/>
    </row>
    <row r="584" spans="1:12" ht="13.5" customHeight="1">
      <c r="A584" s="45"/>
      <c r="C584" s="65" t="s">
        <v>102</v>
      </c>
      <c r="D584" s="173" t="s">
        <v>1143</v>
      </c>
      <c r="E584" s="174"/>
      <c r="F584" s="174"/>
      <c r="G584" s="174"/>
      <c r="H584" s="174"/>
      <c r="I584" s="174"/>
      <c r="J584" s="174"/>
      <c r="K584" s="174"/>
      <c r="L584" s="175"/>
    </row>
    <row r="585" spans="1:75" ht="13.5" customHeight="1">
      <c r="A585" s="41" t="s">
        <v>1144</v>
      </c>
      <c r="B585" s="42" t="s">
        <v>893</v>
      </c>
      <c r="C585" s="42" t="s">
        <v>511</v>
      </c>
      <c r="D585" s="171" t="s">
        <v>512</v>
      </c>
      <c r="E585" s="172"/>
      <c r="F585" s="42" t="s">
        <v>95</v>
      </c>
      <c r="G585" s="43">
        <v>1.4448</v>
      </c>
      <c r="H585" s="43">
        <v>0</v>
      </c>
      <c r="I585" s="43">
        <f>G585*AO585</f>
        <v>0</v>
      </c>
      <c r="J585" s="43">
        <f>G585*AP585</f>
        <v>0</v>
      </c>
      <c r="K585" s="43">
        <f>G585*H585</f>
        <v>0</v>
      </c>
      <c r="L585" s="44" t="s">
        <v>137</v>
      </c>
      <c r="Z585" s="27">
        <f>IF(AQ585="5",BJ585,0)</f>
        <v>0</v>
      </c>
      <c r="AB585" s="27">
        <f>IF(AQ585="1",BH585,0)</f>
        <v>0</v>
      </c>
      <c r="AC585" s="27">
        <f>IF(AQ585="1",BI585,0)</f>
        <v>0</v>
      </c>
      <c r="AD585" s="27">
        <f>IF(AQ585="7",BH585,0)</f>
        <v>0</v>
      </c>
      <c r="AE585" s="27">
        <f>IF(AQ585="7",BI585,0)</f>
        <v>0</v>
      </c>
      <c r="AF585" s="27">
        <f>IF(AQ585="2",BH585,0)</f>
        <v>0</v>
      </c>
      <c r="AG585" s="27">
        <f>IF(AQ585="2",BI585,0)</f>
        <v>0</v>
      </c>
      <c r="AH585" s="27">
        <f>IF(AQ585="0",BJ585,0)</f>
        <v>0</v>
      </c>
      <c r="AI585" s="9" t="s">
        <v>893</v>
      </c>
      <c r="AJ585" s="27">
        <f>IF(AN585=0,K585,0)</f>
        <v>0</v>
      </c>
      <c r="AK585" s="27">
        <f>IF(AN585=12,K585,0)</f>
        <v>0</v>
      </c>
      <c r="AL585" s="27">
        <f>IF(AN585=21,K585,0)</f>
        <v>0</v>
      </c>
      <c r="AN585" s="27">
        <v>21</v>
      </c>
      <c r="AO585" s="27">
        <f>H585*0</f>
        <v>0</v>
      </c>
      <c r="AP585" s="27">
        <f>H585*(1-0)</f>
        <v>0</v>
      </c>
      <c r="AQ585" s="29" t="s">
        <v>78</v>
      </c>
      <c r="AV585" s="27">
        <f>AW585+AX585</f>
        <v>0</v>
      </c>
      <c r="AW585" s="27">
        <f>G585*AO585</f>
        <v>0</v>
      </c>
      <c r="AX585" s="27">
        <f>G585*AP585</f>
        <v>0</v>
      </c>
      <c r="AY585" s="29" t="s">
        <v>499</v>
      </c>
      <c r="AZ585" s="29" t="s">
        <v>1111</v>
      </c>
      <c r="BA585" s="9" t="s">
        <v>899</v>
      </c>
      <c r="BC585" s="27">
        <f>AW585+AX585</f>
        <v>0</v>
      </c>
      <c r="BD585" s="27">
        <f>H585/(100-BE585)*100</f>
        <v>0</v>
      </c>
      <c r="BE585" s="27">
        <v>0</v>
      </c>
      <c r="BF585" s="27">
        <f>585</f>
        <v>585</v>
      </c>
      <c r="BH585" s="27">
        <f>G585*AO585</f>
        <v>0</v>
      </c>
      <c r="BI585" s="27">
        <f>G585*AP585</f>
        <v>0</v>
      </c>
      <c r="BJ585" s="27">
        <f>G585*H585</f>
        <v>0</v>
      </c>
      <c r="BK585" s="27"/>
      <c r="BL585" s="27"/>
      <c r="BW585" s="27">
        <v>21</v>
      </c>
    </row>
    <row r="586" spans="1:12" ht="15">
      <c r="A586" s="52"/>
      <c r="B586" s="53"/>
      <c r="C586" s="53"/>
      <c r="D586" s="54" t="s">
        <v>1145</v>
      </c>
      <c r="E586" s="55" t="s">
        <v>1146</v>
      </c>
      <c r="F586" s="53"/>
      <c r="G586" s="56">
        <v>1.4448</v>
      </c>
      <c r="H586" s="53"/>
      <c r="I586" s="53"/>
      <c r="J586" s="53"/>
      <c r="K586" s="53"/>
      <c r="L586" s="57"/>
    </row>
    <row r="587" spans="1:75" ht="13.5" customHeight="1">
      <c r="A587" s="66" t="s">
        <v>1147</v>
      </c>
      <c r="B587" s="67" t="s">
        <v>893</v>
      </c>
      <c r="C587" s="67" t="s">
        <v>516</v>
      </c>
      <c r="D587" s="181" t="s">
        <v>517</v>
      </c>
      <c r="E587" s="182"/>
      <c r="F587" s="67" t="s">
        <v>95</v>
      </c>
      <c r="G587" s="68">
        <v>0.3612</v>
      </c>
      <c r="H587" s="68">
        <v>0</v>
      </c>
      <c r="I587" s="68">
        <f>G587*AO587</f>
        <v>0</v>
      </c>
      <c r="J587" s="68">
        <f>G587*AP587</f>
        <v>0</v>
      </c>
      <c r="K587" s="68">
        <f>G587*H587</f>
        <v>0</v>
      </c>
      <c r="L587" s="69" t="s">
        <v>137</v>
      </c>
      <c r="Z587" s="27">
        <f>IF(AQ587="5",BJ587,0)</f>
        <v>0</v>
      </c>
      <c r="AB587" s="27">
        <f>IF(AQ587="1",BH587,0)</f>
        <v>0</v>
      </c>
      <c r="AC587" s="27">
        <f>IF(AQ587="1",BI587,0)</f>
        <v>0</v>
      </c>
      <c r="AD587" s="27">
        <f>IF(AQ587="7",BH587,0)</f>
        <v>0</v>
      </c>
      <c r="AE587" s="27">
        <f>IF(AQ587="7",BI587,0)</f>
        <v>0</v>
      </c>
      <c r="AF587" s="27">
        <f>IF(AQ587="2",BH587,0)</f>
        <v>0</v>
      </c>
      <c r="AG587" s="27">
        <f>IF(AQ587="2",BI587,0)</f>
        <v>0</v>
      </c>
      <c r="AH587" s="27">
        <f>IF(AQ587="0",BJ587,0)</f>
        <v>0</v>
      </c>
      <c r="AI587" s="9" t="s">
        <v>893</v>
      </c>
      <c r="AJ587" s="27">
        <f>IF(AN587=0,K587,0)</f>
        <v>0</v>
      </c>
      <c r="AK587" s="27">
        <f>IF(AN587=12,K587,0)</f>
        <v>0</v>
      </c>
      <c r="AL587" s="27">
        <f>IF(AN587=21,K587,0)</f>
        <v>0</v>
      </c>
      <c r="AN587" s="27">
        <v>21</v>
      </c>
      <c r="AO587" s="27">
        <f>H587*0</f>
        <v>0</v>
      </c>
      <c r="AP587" s="27">
        <f>H587*(1-0)</f>
        <v>0</v>
      </c>
      <c r="AQ587" s="29" t="s">
        <v>78</v>
      </c>
      <c r="AV587" s="27">
        <f>AW587+AX587</f>
        <v>0</v>
      </c>
      <c r="AW587" s="27">
        <f>G587*AO587</f>
        <v>0</v>
      </c>
      <c r="AX587" s="27">
        <f>G587*AP587</f>
        <v>0</v>
      </c>
      <c r="AY587" s="29" t="s">
        <v>499</v>
      </c>
      <c r="AZ587" s="29" t="s">
        <v>1111</v>
      </c>
      <c r="BA587" s="9" t="s">
        <v>899</v>
      </c>
      <c r="BC587" s="27">
        <f>AW587+AX587</f>
        <v>0</v>
      </c>
      <c r="BD587" s="27">
        <f>H587/(100-BE587)*100</f>
        <v>0</v>
      </c>
      <c r="BE587" s="27">
        <v>0</v>
      </c>
      <c r="BF587" s="27">
        <f>587</f>
        <v>587</v>
      </c>
      <c r="BH587" s="27">
        <f>G587*AO587</f>
        <v>0</v>
      </c>
      <c r="BI587" s="27">
        <f>G587*AP587</f>
        <v>0</v>
      </c>
      <c r="BJ587" s="27">
        <f>G587*H587</f>
        <v>0</v>
      </c>
      <c r="BK587" s="27"/>
      <c r="BL587" s="27"/>
      <c r="BW587" s="27">
        <v>21</v>
      </c>
    </row>
    <row r="588" spans="1:12" ht="15">
      <c r="A588" s="52"/>
      <c r="B588" s="53"/>
      <c r="C588" s="53"/>
      <c r="D588" s="54" t="s">
        <v>1142</v>
      </c>
      <c r="E588" s="55" t="s">
        <v>52</v>
      </c>
      <c r="F588" s="53"/>
      <c r="G588" s="56">
        <v>0.3612</v>
      </c>
      <c r="H588" s="53"/>
      <c r="I588" s="53"/>
      <c r="J588" s="53"/>
      <c r="K588" s="53"/>
      <c r="L588" s="57"/>
    </row>
    <row r="589" spans="1:12" ht="13.5" customHeight="1">
      <c r="A589" s="45"/>
      <c r="C589" s="65" t="s">
        <v>102</v>
      </c>
      <c r="D589" s="173" t="s">
        <v>1148</v>
      </c>
      <c r="E589" s="174"/>
      <c r="F589" s="174"/>
      <c r="G589" s="174"/>
      <c r="H589" s="174"/>
      <c r="I589" s="174"/>
      <c r="J589" s="174"/>
      <c r="K589" s="174"/>
      <c r="L589" s="175"/>
    </row>
    <row r="590" spans="1:75" ht="13.5" customHeight="1">
      <c r="A590" s="41" t="s">
        <v>1149</v>
      </c>
      <c r="B590" s="42" t="s">
        <v>893</v>
      </c>
      <c r="C590" s="42" t="s">
        <v>519</v>
      </c>
      <c r="D590" s="171" t="s">
        <v>520</v>
      </c>
      <c r="E590" s="172"/>
      <c r="F590" s="42" t="s">
        <v>95</v>
      </c>
      <c r="G590" s="43">
        <v>0.3612</v>
      </c>
      <c r="H590" s="43">
        <v>0</v>
      </c>
      <c r="I590" s="43">
        <f>G590*AO590</f>
        <v>0</v>
      </c>
      <c r="J590" s="43">
        <f>G590*AP590</f>
        <v>0</v>
      </c>
      <c r="K590" s="43">
        <f>G590*H590</f>
        <v>0</v>
      </c>
      <c r="L590" s="44" t="s">
        <v>137</v>
      </c>
      <c r="Z590" s="27">
        <f>IF(AQ590="5",BJ590,0)</f>
        <v>0</v>
      </c>
      <c r="AB590" s="27">
        <f>IF(AQ590="1",BH590,0)</f>
        <v>0</v>
      </c>
      <c r="AC590" s="27">
        <f>IF(AQ590="1",BI590,0)</f>
        <v>0</v>
      </c>
      <c r="AD590" s="27">
        <f>IF(AQ590="7",BH590,0)</f>
        <v>0</v>
      </c>
      <c r="AE590" s="27">
        <f>IF(AQ590="7",BI590,0)</f>
        <v>0</v>
      </c>
      <c r="AF590" s="27">
        <f>IF(AQ590="2",BH590,0)</f>
        <v>0</v>
      </c>
      <c r="AG590" s="27">
        <f>IF(AQ590="2",BI590,0)</f>
        <v>0</v>
      </c>
      <c r="AH590" s="27">
        <f>IF(AQ590="0",BJ590,0)</f>
        <v>0</v>
      </c>
      <c r="AI590" s="9" t="s">
        <v>893</v>
      </c>
      <c r="AJ590" s="27">
        <f>IF(AN590=0,K590,0)</f>
        <v>0</v>
      </c>
      <c r="AK590" s="27">
        <f>IF(AN590=12,K590,0)</f>
        <v>0</v>
      </c>
      <c r="AL590" s="27">
        <f>IF(AN590=21,K590,0)</f>
        <v>0</v>
      </c>
      <c r="AN590" s="27">
        <v>21</v>
      </c>
      <c r="AO590" s="27">
        <f>H590*0</f>
        <v>0</v>
      </c>
      <c r="AP590" s="27">
        <f>H590*(1-0)</f>
        <v>0</v>
      </c>
      <c r="AQ590" s="29" t="s">
        <v>78</v>
      </c>
      <c r="AV590" s="27">
        <f>AW590+AX590</f>
        <v>0</v>
      </c>
      <c r="AW590" s="27">
        <f>G590*AO590</f>
        <v>0</v>
      </c>
      <c r="AX590" s="27">
        <f>G590*AP590</f>
        <v>0</v>
      </c>
      <c r="AY590" s="29" t="s">
        <v>499</v>
      </c>
      <c r="AZ590" s="29" t="s">
        <v>1111</v>
      </c>
      <c r="BA590" s="9" t="s">
        <v>899</v>
      </c>
      <c r="BC590" s="27">
        <f>AW590+AX590</f>
        <v>0</v>
      </c>
      <c r="BD590" s="27">
        <f>H590/(100-BE590)*100</f>
        <v>0</v>
      </c>
      <c r="BE590" s="27">
        <v>0</v>
      </c>
      <c r="BF590" s="27">
        <f>590</f>
        <v>590</v>
      </c>
      <c r="BH590" s="27">
        <f>G590*AO590</f>
        <v>0</v>
      </c>
      <c r="BI590" s="27">
        <f>G590*AP590</f>
        <v>0</v>
      </c>
      <c r="BJ590" s="27">
        <f>G590*H590</f>
        <v>0</v>
      </c>
      <c r="BK590" s="27"/>
      <c r="BL590" s="27"/>
      <c r="BW590" s="27">
        <v>21</v>
      </c>
    </row>
    <row r="591" spans="1:12" ht="13.5" customHeight="1">
      <c r="A591" s="45"/>
      <c r="D591" s="173" t="s">
        <v>521</v>
      </c>
      <c r="E591" s="174"/>
      <c r="F591" s="174"/>
      <c r="G591" s="174"/>
      <c r="H591" s="174"/>
      <c r="I591" s="174"/>
      <c r="J591" s="174"/>
      <c r="K591" s="174"/>
      <c r="L591" s="175"/>
    </row>
    <row r="592" spans="1:12" ht="15">
      <c r="A592" s="46"/>
      <c r="B592" s="47"/>
      <c r="C592" s="47"/>
      <c r="D592" s="48" t="s">
        <v>1142</v>
      </c>
      <c r="E592" s="49" t="s">
        <v>52</v>
      </c>
      <c r="F592" s="47"/>
      <c r="G592" s="50">
        <v>0.3612</v>
      </c>
      <c r="H592" s="47"/>
      <c r="I592" s="47"/>
      <c r="J592" s="47"/>
      <c r="K592" s="47"/>
      <c r="L592" s="51"/>
    </row>
    <row r="593" spans="1:75" ht="13.5" customHeight="1">
      <c r="A593" s="66" t="s">
        <v>1150</v>
      </c>
      <c r="B593" s="67" t="s">
        <v>893</v>
      </c>
      <c r="C593" s="67" t="s">
        <v>523</v>
      </c>
      <c r="D593" s="181" t="s">
        <v>524</v>
      </c>
      <c r="E593" s="182"/>
      <c r="F593" s="67" t="s">
        <v>95</v>
      </c>
      <c r="G593" s="68">
        <v>7.224</v>
      </c>
      <c r="H593" s="68">
        <v>0</v>
      </c>
      <c r="I593" s="68">
        <f>G593*AO593</f>
        <v>0</v>
      </c>
      <c r="J593" s="68">
        <f>G593*AP593</f>
        <v>0</v>
      </c>
      <c r="K593" s="68">
        <f>G593*H593</f>
        <v>0</v>
      </c>
      <c r="L593" s="69" t="s">
        <v>137</v>
      </c>
      <c r="Z593" s="27">
        <f>IF(AQ593="5",BJ593,0)</f>
        <v>0</v>
      </c>
      <c r="AB593" s="27">
        <f>IF(AQ593="1",BH593,0)</f>
        <v>0</v>
      </c>
      <c r="AC593" s="27">
        <f>IF(AQ593="1",BI593,0)</f>
        <v>0</v>
      </c>
      <c r="AD593" s="27">
        <f>IF(AQ593="7",BH593,0)</f>
        <v>0</v>
      </c>
      <c r="AE593" s="27">
        <f>IF(AQ593="7",BI593,0)</f>
        <v>0</v>
      </c>
      <c r="AF593" s="27">
        <f>IF(AQ593="2",BH593,0)</f>
        <v>0</v>
      </c>
      <c r="AG593" s="27">
        <f>IF(AQ593="2",BI593,0)</f>
        <v>0</v>
      </c>
      <c r="AH593" s="27">
        <f>IF(AQ593="0",BJ593,0)</f>
        <v>0</v>
      </c>
      <c r="AI593" s="9" t="s">
        <v>893</v>
      </c>
      <c r="AJ593" s="27">
        <f>IF(AN593=0,K593,0)</f>
        <v>0</v>
      </c>
      <c r="AK593" s="27">
        <f>IF(AN593=12,K593,0)</f>
        <v>0</v>
      </c>
      <c r="AL593" s="27">
        <f>IF(AN593=21,K593,0)</f>
        <v>0</v>
      </c>
      <c r="AN593" s="27">
        <v>21</v>
      </c>
      <c r="AO593" s="27">
        <f>H593*0</f>
        <v>0</v>
      </c>
      <c r="AP593" s="27">
        <f>H593*(1-0)</f>
        <v>0</v>
      </c>
      <c r="AQ593" s="29" t="s">
        <v>78</v>
      </c>
      <c r="AV593" s="27">
        <f>AW593+AX593</f>
        <v>0</v>
      </c>
      <c r="AW593" s="27">
        <f>G593*AO593</f>
        <v>0</v>
      </c>
      <c r="AX593" s="27">
        <f>G593*AP593</f>
        <v>0</v>
      </c>
      <c r="AY593" s="29" t="s">
        <v>499</v>
      </c>
      <c r="AZ593" s="29" t="s">
        <v>1111</v>
      </c>
      <c r="BA593" s="9" t="s">
        <v>899</v>
      </c>
      <c r="BC593" s="27">
        <f>AW593+AX593</f>
        <v>0</v>
      </c>
      <c r="BD593" s="27">
        <f>H593/(100-BE593)*100</f>
        <v>0</v>
      </c>
      <c r="BE593" s="27">
        <v>0</v>
      </c>
      <c r="BF593" s="27">
        <f>593</f>
        <v>593</v>
      </c>
      <c r="BH593" s="27">
        <f>G593*AO593</f>
        <v>0</v>
      </c>
      <c r="BI593" s="27">
        <f>G593*AP593</f>
        <v>0</v>
      </c>
      <c r="BJ593" s="27">
        <f>G593*H593</f>
        <v>0</v>
      </c>
      <c r="BK593" s="27"/>
      <c r="BL593" s="27"/>
      <c r="BW593" s="27">
        <v>21</v>
      </c>
    </row>
    <row r="594" spans="1:12" ht="13.5" customHeight="1">
      <c r="A594" s="45"/>
      <c r="D594" s="173" t="s">
        <v>521</v>
      </c>
      <c r="E594" s="174"/>
      <c r="F594" s="174"/>
      <c r="G594" s="174"/>
      <c r="H594" s="174"/>
      <c r="I594" s="174"/>
      <c r="J594" s="174"/>
      <c r="K594" s="174"/>
      <c r="L594" s="175"/>
    </row>
    <row r="595" spans="1:12" ht="15">
      <c r="A595" s="46"/>
      <c r="B595" s="47"/>
      <c r="C595" s="47"/>
      <c r="D595" s="48" t="s">
        <v>1151</v>
      </c>
      <c r="E595" s="49" t="s">
        <v>526</v>
      </c>
      <c r="F595" s="47"/>
      <c r="G595" s="50">
        <v>7.224</v>
      </c>
      <c r="H595" s="47"/>
      <c r="I595" s="47"/>
      <c r="J595" s="47"/>
      <c r="K595" s="47"/>
      <c r="L595" s="51"/>
    </row>
    <row r="596" spans="1:75" ht="13.5" customHeight="1">
      <c r="A596" s="66" t="s">
        <v>1152</v>
      </c>
      <c r="B596" s="67" t="s">
        <v>893</v>
      </c>
      <c r="C596" s="67" t="s">
        <v>1153</v>
      </c>
      <c r="D596" s="181" t="s">
        <v>1154</v>
      </c>
      <c r="E596" s="182"/>
      <c r="F596" s="67" t="s">
        <v>95</v>
      </c>
      <c r="G596" s="68">
        <v>0.3612</v>
      </c>
      <c r="H596" s="68">
        <v>0</v>
      </c>
      <c r="I596" s="68">
        <f>G596*AO596</f>
        <v>0</v>
      </c>
      <c r="J596" s="68">
        <f>G596*AP596</f>
        <v>0</v>
      </c>
      <c r="K596" s="68">
        <f>G596*H596</f>
        <v>0</v>
      </c>
      <c r="L596" s="69" t="s">
        <v>137</v>
      </c>
      <c r="Z596" s="27">
        <f>IF(AQ596="5",BJ596,0)</f>
        <v>0</v>
      </c>
      <c r="AB596" s="27">
        <f>IF(AQ596="1",BH596,0)</f>
        <v>0</v>
      </c>
      <c r="AC596" s="27">
        <f>IF(AQ596="1",BI596,0)</f>
        <v>0</v>
      </c>
      <c r="AD596" s="27">
        <f>IF(AQ596="7",BH596,0)</f>
        <v>0</v>
      </c>
      <c r="AE596" s="27">
        <f>IF(AQ596="7",BI596,0)</f>
        <v>0</v>
      </c>
      <c r="AF596" s="27">
        <f>IF(AQ596="2",BH596,0)</f>
        <v>0</v>
      </c>
      <c r="AG596" s="27">
        <f>IF(AQ596="2",BI596,0)</f>
        <v>0</v>
      </c>
      <c r="AH596" s="27">
        <f>IF(AQ596="0",BJ596,0)</f>
        <v>0</v>
      </c>
      <c r="AI596" s="9" t="s">
        <v>893</v>
      </c>
      <c r="AJ596" s="27">
        <f>IF(AN596=0,K596,0)</f>
        <v>0</v>
      </c>
      <c r="AK596" s="27">
        <f>IF(AN596=12,K596,0)</f>
        <v>0</v>
      </c>
      <c r="AL596" s="27">
        <f>IF(AN596=21,K596,0)</f>
        <v>0</v>
      </c>
      <c r="AN596" s="27">
        <v>21</v>
      </c>
      <c r="AO596" s="27">
        <f>H596*0</f>
        <v>0</v>
      </c>
      <c r="AP596" s="27">
        <f>H596*(1-0)</f>
        <v>0</v>
      </c>
      <c r="AQ596" s="29" t="s">
        <v>78</v>
      </c>
      <c r="AV596" s="27">
        <f>AW596+AX596</f>
        <v>0</v>
      </c>
      <c r="AW596" s="27">
        <f>G596*AO596</f>
        <v>0</v>
      </c>
      <c r="AX596" s="27">
        <f>G596*AP596</f>
        <v>0</v>
      </c>
      <c r="AY596" s="29" t="s">
        <v>499</v>
      </c>
      <c r="AZ596" s="29" t="s">
        <v>1111</v>
      </c>
      <c r="BA596" s="9" t="s">
        <v>899</v>
      </c>
      <c r="BC596" s="27">
        <f>AW596+AX596</f>
        <v>0</v>
      </c>
      <c r="BD596" s="27">
        <f>H596/(100-BE596)*100</f>
        <v>0</v>
      </c>
      <c r="BE596" s="27">
        <v>0</v>
      </c>
      <c r="BF596" s="27">
        <f>596</f>
        <v>596</v>
      </c>
      <c r="BH596" s="27">
        <f>G596*AO596</f>
        <v>0</v>
      </c>
      <c r="BI596" s="27">
        <f>G596*AP596</f>
        <v>0</v>
      </c>
      <c r="BJ596" s="27">
        <f>G596*H596</f>
        <v>0</v>
      </c>
      <c r="BK596" s="27"/>
      <c r="BL596" s="27"/>
      <c r="BW596" s="27">
        <v>21</v>
      </c>
    </row>
    <row r="597" spans="1:12" ht="15">
      <c r="A597" s="52"/>
      <c r="B597" s="53"/>
      <c r="C597" s="53"/>
      <c r="D597" s="54" t="s">
        <v>1142</v>
      </c>
      <c r="E597" s="55" t="s">
        <v>52</v>
      </c>
      <c r="F597" s="53"/>
      <c r="G597" s="56">
        <v>0.3612</v>
      </c>
      <c r="H597" s="53"/>
      <c r="I597" s="53"/>
      <c r="J597" s="53"/>
      <c r="K597" s="53"/>
      <c r="L597" s="57"/>
    </row>
    <row r="598" spans="1:12" ht="15">
      <c r="A598" s="93" t="s">
        <v>52</v>
      </c>
      <c r="B598" s="94" t="s">
        <v>1155</v>
      </c>
      <c r="C598" s="94" t="s">
        <v>52</v>
      </c>
      <c r="D598" s="193" t="s">
        <v>1156</v>
      </c>
      <c r="E598" s="194"/>
      <c r="F598" s="95" t="s">
        <v>4</v>
      </c>
      <c r="G598" s="95" t="s">
        <v>4</v>
      </c>
      <c r="H598" s="95" t="s">
        <v>4</v>
      </c>
      <c r="I598" s="96">
        <f>I599+I606+I627+I640+I642+I644+I646</f>
        <v>0</v>
      </c>
      <c r="J598" s="96">
        <f>J599+J606+J627+J640+J642+J644+J646</f>
        <v>0</v>
      </c>
      <c r="K598" s="96">
        <f>K599+K606+K627+K640+K642+K644+K646</f>
        <v>0</v>
      </c>
      <c r="L598" s="97" t="s">
        <v>52</v>
      </c>
    </row>
    <row r="599" spans="1:47" ht="15">
      <c r="A599" s="23" t="s">
        <v>52</v>
      </c>
      <c r="B599" s="24" t="s">
        <v>1155</v>
      </c>
      <c r="C599" s="24" t="s">
        <v>200</v>
      </c>
      <c r="D599" s="164" t="s">
        <v>201</v>
      </c>
      <c r="E599" s="165"/>
      <c r="F599" s="25" t="s">
        <v>4</v>
      </c>
      <c r="G599" s="25" t="s">
        <v>4</v>
      </c>
      <c r="H599" s="25" t="s">
        <v>4</v>
      </c>
      <c r="I599" s="1">
        <f>SUM(I600:I605)</f>
        <v>0</v>
      </c>
      <c r="J599" s="1">
        <f>SUM(J600:J605)</f>
        <v>0</v>
      </c>
      <c r="K599" s="1">
        <f>SUM(K600:K605)</f>
        <v>0</v>
      </c>
      <c r="L599" s="26" t="s">
        <v>52</v>
      </c>
      <c r="AI599" s="9" t="s">
        <v>1155</v>
      </c>
      <c r="AS599" s="1">
        <f>SUM(AJ600:AJ605)</f>
        <v>0</v>
      </c>
      <c r="AT599" s="1">
        <f>SUM(AK600:AK605)</f>
        <v>0</v>
      </c>
      <c r="AU599" s="1">
        <f>SUM(AL600:AL605)</f>
        <v>0</v>
      </c>
    </row>
    <row r="600" spans="1:75" ht="13.5" customHeight="1">
      <c r="A600" s="2" t="s">
        <v>1157</v>
      </c>
      <c r="B600" s="3" t="s">
        <v>1155</v>
      </c>
      <c r="C600" s="3" t="s">
        <v>661</v>
      </c>
      <c r="D600" s="148" t="s">
        <v>662</v>
      </c>
      <c r="E600" s="143"/>
      <c r="F600" s="3" t="s">
        <v>126</v>
      </c>
      <c r="G600" s="27">
        <v>1</v>
      </c>
      <c r="H600" s="27">
        <v>0</v>
      </c>
      <c r="I600" s="27">
        <f aca="true" t="shared" si="120" ref="I600:I605">G600*AO600</f>
        <v>0</v>
      </c>
      <c r="J600" s="27">
        <f aca="true" t="shared" si="121" ref="J600:J605">G600*AP600</f>
        <v>0</v>
      </c>
      <c r="K600" s="27">
        <f aca="true" t="shared" si="122" ref="K600:K605">G600*H600</f>
        <v>0</v>
      </c>
      <c r="L600" s="28" t="s">
        <v>52</v>
      </c>
      <c r="Z600" s="27">
        <f aca="true" t="shared" si="123" ref="Z600:Z605">IF(AQ600="5",BJ600,0)</f>
        <v>0</v>
      </c>
      <c r="AB600" s="27">
        <f aca="true" t="shared" si="124" ref="AB600:AB605">IF(AQ600="1",BH600,0)</f>
        <v>0</v>
      </c>
      <c r="AC600" s="27">
        <f aca="true" t="shared" si="125" ref="AC600:AC605">IF(AQ600="1",BI600,0)</f>
        <v>0</v>
      </c>
      <c r="AD600" s="27">
        <f aca="true" t="shared" si="126" ref="AD600:AD605">IF(AQ600="7",BH600,0)</f>
        <v>0</v>
      </c>
      <c r="AE600" s="27">
        <f aca="true" t="shared" si="127" ref="AE600:AE605">IF(AQ600="7",BI600,0)</f>
        <v>0</v>
      </c>
      <c r="AF600" s="27">
        <f aca="true" t="shared" si="128" ref="AF600:AF605">IF(AQ600="2",BH600,0)</f>
        <v>0</v>
      </c>
      <c r="AG600" s="27">
        <f aca="true" t="shared" si="129" ref="AG600:AG605">IF(AQ600="2",BI600,0)</f>
        <v>0</v>
      </c>
      <c r="AH600" s="27">
        <f aca="true" t="shared" si="130" ref="AH600:AH605">IF(AQ600="0",BJ600,0)</f>
        <v>0</v>
      </c>
      <c r="AI600" s="9" t="s">
        <v>1155</v>
      </c>
      <c r="AJ600" s="27">
        <f aca="true" t="shared" si="131" ref="AJ600:AJ605">IF(AN600=0,K600,0)</f>
        <v>0</v>
      </c>
      <c r="AK600" s="27">
        <f aca="true" t="shared" si="132" ref="AK600:AK605">IF(AN600=12,K600,0)</f>
        <v>0</v>
      </c>
      <c r="AL600" s="27">
        <f aca="true" t="shared" si="133" ref="AL600:AL605">IF(AN600=21,K600,0)</f>
        <v>0</v>
      </c>
      <c r="AN600" s="27">
        <v>21</v>
      </c>
      <c r="AO600" s="27">
        <f aca="true" t="shared" si="134" ref="AO600:AO605">H600*0</f>
        <v>0</v>
      </c>
      <c r="AP600" s="27">
        <f aca="true" t="shared" si="135" ref="AP600:AP605">H600*(1-0)</f>
        <v>0</v>
      </c>
      <c r="AQ600" s="29" t="s">
        <v>84</v>
      </c>
      <c r="AV600" s="27">
        <f aca="true" t="shared" si="136" ref="AV600:AV605">AW600+AX600</f>
        <v>0</v>
      </c>
      <c r="AW600" s="27">
        <f aca="true" t="shared" si="137" ref="AW600:AW605">G600*AO600</f>
        <v>0</v>
      </c>
      <c r="AX600" s="27">
        <f aca="true" t="shared" si="138" ref="AX600:AX605">G600*AP600</f>
        <v>0</v>
      </c>
      <c r="AY600" s="29" t="s">
        <v>205</v>
      </c>
      <c r="AZ600" s="29" t="s">
        <v>1158</v>
      </c>
      <c r="BA600" s="9" t="s">
        <v>1159</v>
      </c>
      <c r="BC600" s="27">
        <f aca="true" t="shared" si="139" ref="BC600:BC605">AW600+AX600</f>
        <v>0</v>
      </c>
      <c r="BD600" s="27">
        <f aca="true" t="shared" si="140" ref="BD600:BD605">H600/(100-BE600)*100</f>
        <v>0</v>
      </c>
      <c r="BE600" s="27">
        <v>0</v>
      </c>
      <c r="BF600" s="27">
        <f>600</f>
        <v>600</v>
      </c>
      <c r="BH600" s="27">
        <f aca="true" t="shared" si="141" ref="BH600:BH605">G600*AO600</f>
        <v>0</v>
      </c>
      <c r="BI600" s="27">
        <f aca="true" t="shared" si="142" ref="BI600:BI605">G600*AP600</f>
        <v>0</v>
      </c>
      <c r="BJ600" s="27">
        <f aca="true" t="shared" si="143" ref="BJ600:BJ605">G600*H600</f>
        <v>0</v>
      </c>
      <c r="BK600" s="27"/>
      <c r="BL600" s="27">
        <v>721</v>
      </c>
      <c r="BW600" s="27">
        <v>21</v>
      </c>
    </row>
    <row r="601" spans="1:75" ht="13.5" customHeight="1">
      <c r="A601" s="2" t="s">
        <v>1160</v>
      </c>
      <c r="B601" s="3" t="s">
        <v>1155</v>
      </c>
      <c r="C601" s="3" t="s">
        <v>667</v>
      </c>
      <c r="D601" s="148" t="s">
        <v>668</v>
      </c>
      <c r="E601" s="143"/>
      <c r="F601" s="3" t="s">
        <v>154</v>
      </c>
      <c r="G601" s="27">
        <v>1</v>
      </c>
      <c r="H601" s="27">
        <v>0</v>
      </c>
      <c r="I601" s="27">
        <f t="shared" si="120"/>
        <v>0</v>
      </c>
      <c r="J601" s="27">
        <f t="shared" si="121"/>
        <v>0</v>
      </c>
      <c r="K601" s="27">
        <f t="shared" si="122"/>
        <v>0</v>
      </c>
      <c r="L601" s="28" t="s">
        <v>52</v>
      </c>
      <c r="Z601" s="27">
        <f t="shared" si="123"/>
        <v>0</v>
      </c>
      <c r="AB601" s="27">
        <f t="shared" si="124"/>
        <v>0</v>
      </c>
      <c r="AC601" s="27">
        <f t="shared" si="125"/>
        <v>0</v>
      </c>
      <c r="AD601" s="27">
        <f t="shared" si="126"/>
        <v>0</v>
      </c>
      <c r="AE601" s="27">
        <f t="shared" si="127"/>
        <v>0</v>
      </c>
      <c r="AF601" s="27">
        <f t="shared" si="128"/>
        <v>0</v>
      </c>
      <c r="AG601" s="27">
        <f t="shared" si="129"/>
        <v>0</v>
      </c>
      <c r="AH601" s="27">
        <f t="shared" si="130"/>
        <v>0</v>
      </c>
      <c r="AI601" s="9" t="s">
        <v>1155</v>
      </c>
      <c r="AJ601" s="27">
        <f t="shared" si="131"/>
        <v>0</v>
      </c>
      <c r="AK601" s="27">
        <f t="shared" si="132"/>
        <v>0</v>
      </c>
      <c r="AL601" s="27">
        <f t="shared" si="133"/>
        <v>0</v>
      </c>
      <c r="AN601" s="27">
        <v>21</v>
      </c>
      <c r="AO601" s="27">
        <f t="shared" si="134"/>
        <v>0</v>
      </c>
      <c r="AP601" s="27">
        <f t="shared" si="135"/>
        <v>0</v>
      </c>
      <c r="AQ601" s="29" t="s">
        <v>84</v>
      </c>
      <c r="AV601" s="27">
        <f t="shared" si="136"/>
        <v>0</v>
      </c>
      <c r="AW601" s="27">
        <f t="shared" si="137"/>
        <v>0</v>
      </c>
      <c r="AX601" s="27">
        <f t="shared" si="138"/>
        <v>0</v>
      </c>
      <c r="AY601" s="29" t="s">
        <v>205</v>
      </c>
      <c r="AZ601" s="29" t="s">
        <v>1158</v>
      </c>
      <c r="BA601" s="9" t="s">
        <v>1159</v>
      </c>
      <c r="BC601" s="27">
        <f t="shared" si="139"/>
        <v>0</v>
      </c>
      <c r="BD601" s="27">
        <f t="shared" si="140"/>
        <v>0</v>
      </c>
      <c r="BE601" s="27">
        <v>0</v>
      </c>
      <c r="BF601" s="27">
        <f>601</f>
        <v>601</v>
      </c>
      <c r="BH601" s="27">
        <f t="shared" si="141"/>
        <v>0</v>
      </c>
      <c r="BI601" s="27">
        <f t="shared" si="142"/>
        <v>0</v>
      </c>
      <c r="BJ601" s="27">
        <f t="shared" si="143"/>
        <v>0</v>
      </c>
      <c r="BK601" s="27"/>
      <c r="BL601" s="27">
        <v>721</v>
      </c>
      <c r="BW601" s="27">
        <v>21</v>
      </c>
    </row>
    <row r="602" spans="1:75" ht="13.5" customHeight="1">
      <c r="A602" s="2" t="s">
        <v>1161</v>
      </c>
      <c r="B602" s="3" t="s">
        <v>1155</v>
      </c>
      <c r="C602" s="3" t="s">
        <v>679</v>
      </c>
      <c r="D602" s="148" t="s">
        <v>680</v>
      </c>
      <c r="E602" s="143"/>
      <c r="F602" s="3" t="s">
        <v>126</v>
      </c>
      <c r="G602" s="27">
        <v>2</v>
      </c>
      <c r="H602" s="27">
        <v>0</v>
      </c>
      <c r="I602" s="27">
        <f t="shared" si="120"/>
        <v>0</v>
      </c>
      <c r="J602" s="27">
        <f t="shared" si="121"/>
        <v>0</v>
      </c>
      <c r="K602" s="27">
        <f t="shared" si="122"/>
        <v>0</v>
      </c>
      <c r="L602" s="28" t="s">
        <v>52</v>
      </c>
      <c r="Z602" s="27">
        <f t="shared" si="123"/>
        <v>0</v>
      </c>
      <c r="AB602" s="27">
        <f t="shared" si="124"/>
        <v>0</v>
      </c>
      <c r="AC602" s="27">
        <f t="shared" si="125"/>
        <v>0</v>
      </c>
      <c r="AD602" s="27">
        <f t="shared" si="126"/>
        <v>0</v>
      </c>
      <c r="AE602" s="27">
        <f t="shared" si="127"/>
        <v>0</v>
      </c>
      <c r="AF602" s="27">
        <f t="shared" si="128"/>
        <v>0</v>
      </c>
      <c r="AG602" s="27">
        <f t="shared" si="129"/>
        <v>0</v>
      </c>
      <c r="AH602" s="27">
        <f t="shared" si="130"/>
        <v>0</v>
      </c>
      <c r="AI602" s="9" t="s">
        <v>1155</v>
      </c>
      <c r="AJ602" s="27">
        <f t="shared" si="131"/>
        <v>0</v>
      </c>
      <c r="AK602" s="27">
        <f t="shared" si="132"/>
        <v>0</v>
      </c>
      <c r="AL602" s="27">
        <f t="shared" si="133"/>
        <v>0</v>
      </c>
      <c r="AN602" s="27">
        <v>21</v>
      </c>
      <c r="AO602" s="27">
        <f t="shared" si="134"/>
        <v>0</v>
      </c>
      <c r="AP602" s="27">
        <f t="shared" si="135"/>
        <v>0</v>
      </c>
      <c r="AQ602" s="29" t="s">
        <v>84</v>
      </c>
      <c r="AV602" s="27">
        <f t="shared" si="136"/>
        <v>0</v>
      </c>
      <c r="AW602" s="27">
        <f t="shared" si="137"/>
        <v>0</v>
      </c>
      <c r="AX602" s="27">
        <f t="shared" si="138"/>
        <v>0</v>
      </c>
      <c r="AY602" s="29" t="s">
        <v>205</v>
      </c>
      <c r="AZ602" s="29" t="s">
        <v>1158</v>
      </c>
      <c r="BA602" s="9" t="s">
        <v>1159</v>
      </c>
      <c r="BC602" s="27">
        <f t="shared" si="139"/>
        <v>0</v>
      </c>
      <c r="BD602" s="27">
        <f t="shared" si="140"/>
        <v>0</v>
      </c>
      <c r="BE602" s="27">
        <v>0</v>
      </c>
      <c r="BF602" s="27">
        <f>602</f>
        <v>602</v>
      </c>
      <c r="BH602" s="27">
        <f t="shared" si="141"/>
        <v>0</v>
      </c>
      <c r="BI602" s="27">
        <f t="shared" si="142"/>
        <v>0</v>
      </c>
      <c r="BJ602" s="27">
        <f t="shared" si="143"/>
        <v>0</v>
      </c>
      <c r="BK602" s="27"/>
      <c r="BL602" s="27">
        <v>721</v>
      </c>
      <c r="BW602" s="27">
        <v>21</v>
      </c>
    </row>
    <row r="603" spans="1:75" ht="13.5" customHeight="1">
      <c r="A603" s="2" t="s">
        <v>1162</v>
      </c>
      <c r="B603" s="3" t="s">
        <v>1155</v>
      </c>
      <c r="C603" s="3" t="s">
        <v>682</v>
      </c>
      <c r="D603" s="148" t="s">
        <v>683</v>
      </c>
      <c r="E603" s="143"/>
      <c r="F603" s="3" t="s">
        <v>126</v>
      </c>
      <c r="G603" s="27">
        <v>2</v>
      </c>
      <c r="H603" s="27">
        <v>0</v>
      </c>
      <c r="I603" s="27">
        <f t="shared" si="120"/>
        <v>0</v>
      </c>
      <c r="J603" s="27">
        <f t="shared" si="121"/>
        <v>0</v>
      </c>
      <c r="K603" s="27">
        <f t="shared" si="122"/>
        <v>0</v>
      </c>
      <c r="L603" s="28" t="s">
        <v>52</v>
      </c>
      <c r="Z603" s="27">
        <f t="shared" si="123"/>
        <v>0</v>
      </c>
      <c r="AB603" s="27">
        <f t="shared" si="124"/>
        <v>0</v>
      </c>
      <c r="AC603" s="27">
        <f t="shared" si="125"/>
        <v>0</v>
      </c>
      <c r="AD603" s="27">
        <f t="shared" si="126"/>
        <v>0</v>
      </c>
      <c r="AE603" s="27">
        <f t="shared" si="127"/>
        <v>0</v>
      </c>
      <c r="AF603" s="27">
        <f t="shared" si="128"/>
        <v>0</v>
      </c>
      <c r="AG603" s="27">
        <f t="shared" si="129"/>
        <v>0</v>
      </c>
      <c r="AH603" s="27">
        <f t="shared" si="130"/>
        <v>0</v>
      </c>
      <c r="AI603" s="9" t="s">
        <v>1155</v>
      </c>
      <c r="AJ603" s="27">
        <f t="shared" si="131"/>
        <v>0</v>
      </c>
      <c r="AK603" s="27">
        <f t="shared" si="132"/>
        <v>0</v>
      </c>
      <c r="AL603" s="27">
        <f t="shared" si="133"/>
        <v>0</v>
      </c>
      <c r="AN603" s="27">
        <v>21</v>
      </c>
      <c r="AO603" s="27">
        <f t="shared" si="134"/>
        <v>0</v>
      </c>
      <c r="AP603" s="27">
        <f t="shared" si="135"/>
        <v>0</v>
      </c>
      <c r="AQ603" s="29" t="s">
        <v>84</v>
      </c>
      <c r="AV603" s="27">
        <f t="shared" si="136"/>
        <v>0</v>
      </c>
      <c r="AW603" s="27">
        <f t="shared" si="137"/>
        <v>0</v>
      </c>
      <c r="AX603" s="27">
        <f t="shared" si="138"/>
        <v>0</v>
      </c>
      <c r="AY603" s="29" t="s">
        <v>205</v>
      </c>
      <c r="AZ603" s="29" t="s">
        <v>1158</v>
      </c>
      <c r="BA603" s="9" t="s">
        <v>1159</v>
      </c>
      <c r="BC603" s="27">
        <f t="shared" si="139"/>
        <v>0</v>
      </c>
      <c r="BD603" s="27">
        <f t="shared" si="140"/>
        <v>0</v>
      </c>
      <c r="BE603" s="27">
        <v>0</v>
      </c>
      <c r="BF603" s="27">
        <f>603</f>
        <v>603</v>
      </c>
      <c r="BH603" s="27">
        <f t="shared" si="141"/>
        <v>0</v>
      </c>
      <c r="BI603" s="27">
        <f t="shared" si="142"/>
        <v>0</v>
      </c>
      <c r="BJ603" s="27">
        <f t="shared" si="143"/>
        <v>0</v>
      </c>
      <c r="BK603" s="27"/>
      <c r="BL603" s="27">
        <v>721</v>
      </c>
      <c r="BW603" s="27">
        <v>21</v>
      </c>
    </row>
    <row r="604" spans="1:75" ht="13.5" customHeight="1">
      <c r="A604" s="2" t="s">
        <v>1163</v>
      </c>
      <c r="B604" s="3" t="s">
        <v>1155</v>
      </c>
      <c r="C604" s="3" t="s">
        <v>691</v>
      </c>
      <c r="D604" s="148" t="s">
        <v>692</v>
      </c>
      <c r="E604" s="143"/>
      <c r="F604" s="3" t="s">
        <v>154</v>
      </c>
      <c r="G604" s="27">
        <v>1</v>
      </c>
      <c r="H604" s="27">
        <v>0</v>
      </c>
      <c r="I604" s="27">
        <f t="shared" si="120"/>
        <v>0</v>
      </c>
      <c r="J604" s="27">
        <f t="shared" si="121"/>
        <v>0</v>
      </c>
      <c r="K604" s="27">
        <f t="shared" si="122"/>
        <v>0</v>
      </c>
      <c r="L604" s="28" t="s">
        <v>52</v>
      </c>
      <c r="Z604" s="27">
        <f t="shared" si="123"/>
        <v>0</v>
      </c>
      <c r="AB604" s="27">
        <f t="shared" si="124"/>
        <v>0</v>
      </c>
      <c r="AC604" s="27">
        <f t="shared" si="125"/>
        <v>0</v>
      </c>
      <c r="AD604" s="27">
        <f t="shared" si="126"/>
        <v>0</v>
      </c>
      <c r="AE604" s="27">
        <f t="shared" si="127"/>
        <v>0</v>
      </c>
      <c r="AF604" s="27">
        <f t="shared" si="128"/>
        <v>0</v>
      </c>
      <c r="AG604" s="27">
        <f t="shared" si="129"/>
        <v>0</v>
      </c>
      <c r="AH604" s="27">
        <f t="shared" si="130"/>
        <v>0</v>
      </c>
      <c r="AI604" s="9" t="s">
        <v>1155</v>
      </c>
      <c r="AJ604" s="27">
        <f t="shared" si="131"/>
        <v>0</v>
      </c>
      <c r="AK604" s="27">
        <f t="shared" si="132"/>
        <v>0</v>
      </c>
      <c r="AL604" s="27">
        <f t="shared" si="133"/>
        <v>0</v>
      </c>
      <c r="AN604" s="27">
        <v>21</v>
      </c>
      <c r="AO604" s="27">
        <f t="shared" si="134"/>
        <v>0</v>
      </c>
      <c r="AP604" s="27">
        <f t="shared" si="135"/>
        <v>0</v>
      </c>
      <c r="AQ604" s="29" t="s">
        <v>84</v>
      </c>
      <c r="AV604" s="27">
        <f t="shared" si="136"/>
        <v>0</v>
      </c>
      <c r="AW604" s="27">
        <f t="shared" si="137"/>
        <v>0</v>
      </c>
      <c r="AX604" s="27">
        <f t="shared" si="138"/>
        <v>0</v>
      </c>
      <c r="AY604" s="29" t="s">
        <v>205</v>
      </c>
      <c r="AZ604" s="29" t="s">
        <v>1158</v>
      </c>
      <c r="BA604" s="9" t="s">
        <v>1159</v>
      </c>
      <c r="BC604" s="27">
        <f t="shared" si="139"/>
        <v>0</v>
      </c>
      <c r="BD604" s="27">
        <f t="shared" si="140"/>
        <v>0</v>
      </c>
      <c r="BE604" s="27">
        <v>0</v>
      </c>
      <c r="BF604" s="27">
        <f>604</f>
        <v>604</v>
      </c>
      <c r="BH604" s="27">
        <f t="shared" si="141"/>
        <v>0</v>
      </c>
      <c r="BI604" s="27">
        <f t="shared" si="142"/>
        <v>0</v>
      </c>
      <c r="BJ604" s="27">
        <f t="shared" si="143"/>
        <v>0</v>
      </c>
      <c r="BK604" s="27"/>
      <c r="BL604" s="27">
        <v>721</v>
      </c>
      <c r="BW604" s="27">
        <v>21</v>
      </c>
    </row>
    <row r="605" spans="1:75" ht="13.5" customHeight="1">
      <c r="A605" s="2" t="s">
        <v>1164</v>
      </c>
      <c r="B605" s="3" t="s">
        <v>1155</v>
      </c>
      <c r="C605" s="3" t="s">
        <v>697</v>
      </c>
      <c r="D605" s="148" t="s">
        <v>698</v>
      </c>
      <c r="E605" s="143"/>
      <c r="F605" s="3" t="s">
        <v>126</v>
      </c>
      <c r="G605" s="27">
        <v>4</v>
      </c>
      <c r="H605" s="27">
        <v>0</v>
      </c>
      <c r="I605" s="27">
        <f t="shared" si="120"/>
        <v>0</v>
      </c>
      <c r="J605" s="27">
        <f t="shared" si="121"/>
        <v>0</v>
      </c>
      <c r="K605" s="27">
        <f t="shared" si="122"/>
        <v>0</v>
      </c>
      <c r="L605" s="28" t="s">
        <v>52</v>
      </c>
      <c r="Z605" s="27">
        <f t="shared" si="123"/>
        <v>0</v>
      </c>
      <c r="AB605" s="27">
        <f t="shared" si="124"/>
        <v>0</v>
      </c>
      <c r="AC605" s="27">
        <f t="shared" si="125"/>
        <v>0</v>
      </c>
      <c r="AD605" s="27">
        <f t="shared" si="126"/>
        <v>0</v>
      </c>
      <c r="AE605" s="27">
        <f t="shared" si="127"/>
        <v>0</v>
      </c>
      <c r="AF605" s="27">
        <f t="shared" si="128"/>
        <v>0</v>
      </c>
      <c r="AG605" s="27">
        <f t="shared" si="129"/>
        <v>0</v>
      </c>
      <c r="AH605" s="27">
        <f t="shared" si="130"/>
        <v>0</v>
      </c>
      <c r="AI605" s="9" t="s">
        <v>1155</v>
      </c>
      <c r="AJ605" s="27">
        <f t="shared" si="131"/>
        <v>0</v>
      </c>
      <c r="AK605" s="27">
        <f t="shared" si="132"/>
        <v>0</v>
      </c>
      <c r="AL605" s="27">
        <f t="shared" si="133"/>
        <v>0</v>
      </c>
      <c r="AN605" s="27">
        <v>21</v>
      </c>
      <c r="AO605" s="27">
        <f t="shared" si="134"/>
        <v>0</v>
      </c>
      <c r="AP605" s="27">
        <f t="shared" si="135"/>
        <v>0</v>
      </c>
      <c r="AQ605" s="29" t="s">
        <v>84</v>
      </c>
      <c r="AV605" s="27">
        <f t="shared" si="136"/>
        <v>0</v>
      </c>
      <c r="AW605" s="27">
        <f t="shared" si="137"/>
        <v>0</v>
      </c>
      <c r="AX605" s="27">
        <f t="shared" si="138"/>
        <v>0</v>
      </c>
      <c r="AY605" s="29" t="s">
        <v>205</v>
      </c>
      <c r="AZ605" s="29" t="s">
        <v>1158</v>
      </c>
      <c r="BA605" s="9" t="s">
        <v>1159</v>
      </c>
      <c r="BC605" s="27">
        <f t="shared" si="139"/>
        <v>0</v>
      </c>
      <c r="BD605" s="27">
        <f t="shared" si="140"/>
        <v>0</v>
      </c>
      <c r="BE605" s="27">
        <v>0</v>
      </c>
      <c r="BF605" s="27">
        <f>605</f>
        <v>605</v>
      </c>
      <c r="BH605" s="27">
        <f t="shared" si="141"/>
        <v>0</v>
      </c>
      <c r="BI605" s="27">
        <f t="shared" si="142"/>
        <v>0</v>
      </c>
      <c r="BJ605" s="27">
        <f t="shared" si="143"/>
        <v>0</v>
      </c>
      <c r="BK605" s="27"/>
      <c r="BL605" s="27">
        <v>721</v>
      </c>
      <c r="BW605" s="27">
        <v>21</v>
      </c>
    </row>
    <row r="606" spans="1:47" ht="15">
      <c r="A606" s="23" t="s">
        <v>52</v>
      </c>
      <c r="B606" s="24" t="s">
        <v>1155</v>
      </c>
      <c r="C606" s="24" t="s">
        <v>699</v>
      </c>
      <c r="D606" s="164" t="s">
        <v>700</v>
      </c>
      <c r="E606" s="165"/>
      <c r="F606" s="25" t="s">
        <v>4</v>
      </c>
      <c r="G606" s="25" t="s">
        <v>4</v>
      </c>
      <c r="H606" s="25" t="s">
        <v>4</v>
      </c>
      <c r="I606" s="1">
        <f>SUM(I607:I626)</f>
        <v>0</v>
      </c>
      <c r="J606" s="1">
        <f>SUM(J607:J626)</f>
        <v>0</v>
      </c>
      <c r="K606" s="1">
        <f>SUM(K607:K626)</f>
        <v>0</v>
      </c>
      <c r="L606" s="26" t="s">
        <v>52</v>
      </c>
      <c r="AI606" s="9" t="s">
        <v>1155</v>
      </c>
      <c r="AS606" s="1">
        <f>SUM(AJ607:AJ626)</f>
        <v>0</v>
      </c>
      <c r="AT606" s="1">
        <f>SUM(AK607:AK626)</f>
        <v>0</v>
      </c>
      <c r="AU606" s="1">
        <f>SUM(AL607:AL626)</f>
        <v>0</v>
      </c>
    </row>
    <row r="607" spans="1:75" ht="13.5" customHeight="1">
      <c r="A607" s="2" t="s">
        <v>1165</v>
      </c>
      <c r="B607" s="3" t="s">
        <v>1155</v>
      </c>
      <c r="C607" s="3" t="s">
        <v>702</v>
      </c>
      <c r="D607" s="148" t="s">
        <v>703</v>
      </c>
      <c r="E607" s="143"/>
      <c r="F607" s="3" t="s">
        <v>126</v>
      </c>
      <c r="G607" s="27">
        <v>1</v>
      </c>
      <c r="H607" s="27">
        <v>0</v>
      </c>
      <c r="I607" s="27">
        <f aca="true" t="shared" si="144" ref="I607:I626">G607*AO607</f>
        <v>0</v>
      </c>
      <c r="J607" s="27">
        <f aca="true" t="shared" si="145" ref="J607:J626">G607*AP607</f>
        <v>0</v>
      </c>
      <c r="K607" s="27">
        <f aca="true" t="shared" si="146" ref="K607:K626">G607*H607</f>
        <v>0</v>
      </c>
      <c r="L607" s="28" t="s">
        <v>52</v>
      </c>
      <c r="Z607" s="27">
        <f aca="true" t="shared" si="147" ref="Z607:Z626">IF(AQ607="5",BJ607,0)</f>
        <v>0</v>
      </c>
      <c r="AB607" s="27">
        <f aca="true" t="shared" si="148" ref="AB607:AB626">IF(AQ607="1",BH607,0)</f>
        <v>0</v>
      </c>
      <c r="AC607" s="27">
        <f aca="true" t="shared" si="149" ref="AC607:AC626">IF(AQ607="1",BI607,0)</f>
        <v>0</v>
      </c>
      <c r="AD607" s="27">
        <f aca="true" t="shared" si="150" ref="AD607:AD626">IF(AQ607="7",BH607,0)</f>
        <v>0</v>
      </c>
      <c r="AE607" s="27">
        <f aca="true" t="shared" si="151" ref="AE607:AE626">IF(AQ607="7",BI607,0)</f>
        <v>0</v>
      </c>
      <c r="AF607" s="27">
        <f aca="true" t="shared" si="152" ref="AF607:AF626">IF(AQ607="2",BH607,0)</f>
        <v>0</v>
      </c>
      <c r="AG607" s="27">
        <f aca="true" t="shared" si="153" ref="AG607:AG626">IF(AQ607="2",BI607,0)</f>
        <v>0</v>
      </c>
      <c r="AH607" s="27">
        <f aca="true" t="shared" si="154" ref="AH607:AH626">IF(AQ607="0",BJ607,0)</f>
        <v>0</v>
      </c>
      <c r="AI607" s="9" t="s">
        <v>1155</v>
      </c>
      <c r="AJ607" s="27">
        <f aca="true" t="shared" si="155" ref="AJ607:AJ626">IF(AN607=0,K607,0)</f>
        <v>0</v>
      </c>
      <c r="AK607" s="27">
        <f aca="true" t="shared" si="156" ref="AK607:AK626">IF(AN607=12,K607,0)</f>
        <v>0</v>
      </c>
      <c r="AL607" s="27">
        <f aca="true" t="shared" si="157" ref="AL607:AL626">IF(AN607=21,K607,0)</f>
        <v>0</v>
      </c>
      <c r="AN607" s="27">
        <v>21</v>
      </c>
      <c r="AO607" s="27">
        <f aca="true" t="shared" si="158" ref="AO607:AO626">H607*0</f>
        <v>0</v>
      </c>
      <c r="AP607" s="27">
        <f aca="true" t="shared" si="159" ref="AP607:AP626">H607*(1-0)</f>
        <v>0</v>
      </c>
      <c r="AQ607" s="29" t="s">
        <v>84</v>
      </c>
      <c r="AV607" s="27">
        <f aca="true" t="shared" si="160" ref="AV607:AV626">AW607+AX607</f>
        <v>0</v>
      </c>
      <c r="AW607" s="27">
        <f aca="true" t="shared" si="161" ref="AW607:AW626">G607*AO607</f>
        <v>0</v>
      </c>
      <c r="AX607" s="27">
        <f aca="true" t="shared" si="162" ref="AX607:AX626">G607*AP607</f>
        <v>0</v>
      </c>
      <c r="AY607" s="29" t="s">
        <v>704</v>
      </c>
      <c r="AZ607" s="29" t="s">
        <v>1158</v>
      </c>
      <c r="BA607" s="9" t="s">
        <v>1159</v>
      </c>
      <c r="BC607" s="27">
        <f aca="true" t="shared" si="163" ref="BC607:BC626">AW607+AX607</f>
        <v>0</v>
      </c>
      <c r="BD607" s="27">
        <f aca="true" t="shared" si="164" ref="BD607:BD626">H607/(100-BE607)*100</f>
        <v>0</v>
      </c>
      <c r="BE607" s="27">
        <v>0</v>
      </c>
      <c r="BF607" s="27">
        <f>607</f>
        <v>607</v>
      </c>
      <c r="BH607" s="27">
        <f aca="true" t="shared" si="165" ref="BH607:BH626">G607*AO607</f>
        <v>0</v>
      </c>
      <c r="BI607" s="27">
        <f aca="true" t="shared" si="166" ref="BI607:BI626">G607*AP607</f>
        <v>0</v>
      </c>
      <c r="BJ607" s="27">
        <f aca="true" t="shared" si="167" ref="BJ607:BJ626">G607*H607</f>
        <v>0</v>
      </c>
      <c r="BK607" s="27"/>
      <c r="BL607" s="27">
        <v>722</v>
      </c>
      <c r="BW607" s="27">
        <v>21</v>
      </c>
    </row>
    <row r="608" spans="1:75" ht="13.5" customHeight="1">
      <c r="A608" s="2" t="s">
        <v>1166</v>
      </c>
      <c r="B608" s="3" t="s">
        <v>1155</v>
      </c>
      <c r="C608" s="3" t="s">
        <v>706</v>
      </c>
      <c r="D608" s="148" t="s">
        <v>707</v>
      </c>
      <c r="E608" s="143"/>
      <c r="F608" s="3" t="s">
        <v>154</v>
      </c>
      <c r="G608" s="27">
        <v>2</v>
      </c>
      <c r="H608" s="27">
        <v>0</v>
      </c>
      <c r="I608" s="27">
        <f t="shared" si="144"/>
        <v>0</v>
      </c>
      <c r="J608" s="27">
        <f t="shared" si="145"/>
        <v>0</v>
      </c>
      <c r="K608" s="27">
        <f t="shared" si="146"/>
        <v>0</v>
      </c>
      <c r="L608" s="28" t="s">
        <v>52</v>
      </c>
      <c r="Z608" s="27">
        <f t="shared" si="147"/>
        <v>0</v>
      </c>
      <c r="AB608" s="27">
        <f t="shared" si="148"/>
        <v>0</v>
      </c>
      <c r="AC608" s="27">
        <f t="shared" si="149"/>
        <v>0</v>
      </c>
      <c r="AD608" s="27">
        <f t="shared" si="150"/>
        <v>0</v>
      </c>
      <c r="AE608" s="27">
        <f t="shared" si="151"/>
        <v>0</v>
      </c>
      <c r="AF608" s="27">
        <f t="shared" si="152"/>
        <v>0</v>
      </c>
      <c r="AG608" s="27">
        <f t="shared" si="153"/>
        <v>0</v>
      </c>
      <c r="AH608" s="27">
        <f t="shared" si="154"/>
        <v>0</v>
      </c>
      <c r="AI608" s="9" t="s">
        <v>1155</v>
      </c>
      <c r="AJ608" s="27">
        <f t="shared" si="155"/>
        <v>0</v>
      </c>
      <c r="AK608" s="27">
        <f t="shared" si="156"/>
        <v>0</v>
      </c>
      <c r="AL608" s="27">
        <f t="shared" si="157"/>
        <v>0</v>
      </c>
      <c r="AN608" s="27">
        <v>21</v>
      </c>
      <c r="AO608" s="27">
        <f t="shared" si="158"/>
        <v>0</v>
      </c>
      <c r="AP608" s="27">
        <f t="shared" si="159"/>
        <v>0</v>
      </c>
      <c r="AQ608" s="29" t="s">
        <v>84</v>
      </c>
      <c r="AV608" s="27">
        <f t="shared" si="160"/>
        <v>0</v>
      </c>
      <c r="AW608" s="27">
        <f t="shared" si="161"/>
        <v>0</v>
      </c>
      <c r="AX608" s="27">
        <f t="shared" si="162"/>
        <v>0</v>
      </c>
      <c r="AY608" s="29" t="s">
        <v>704</v>
      </c>
      <c r="AZ608" s="29" t="s">
        <v>1158</v>
      </c>
      <c r="BA608" s="9" t="s">
        <v>1159</v>
      </c>
      <c r="BC608" s="27">
        <f t="shared" si="163"/>
        <v>0</v>
      </c>
      <c r="BD608" s="27">
        <f t="shared" si="164"/>
        <v>0</v>
      </c>
      <c r="BE608" s="27">
        <v>0</v>
      </c>
      <c r="BF608" s="27">
        <f>608</f>
        <v>608</v>
      </c>
      <c r="BH608" s="27">
        <f t="shared" si="165"/>
        <v>0</v>
      </c>
      <c r="BI608" s="27">
        <f t="shared" si="166"/>
        <v>0</v>
      </c>
      <c r="BJ608" s="27">
        <f t="shared" si="167"/>
        <v>0</v>
      </c>
      <c r="BK608" s="27"/>
      <c r="BL608" s="27">
        <v>722</v>
      </c>
      <c r="BW608" s="27">
        <v>21</v>
      </c>
    </row>
    <row r="609" spans="1:75" ht="13.5" customHeight="1">
      <c r="A609" s="2" t="s">
        <v>1167</v>
      </c>
      <c r="B609" s="3" t="s">
        <v>1155</v>
      </c>
      <c r="C609" s="3" t="s">
        <v>709</v>
      </c>
      <c r="D609" s="148" t="s">
        <v>710</v>
      </c>
      <c r="E609" s="143"/>
      <c r="F609" s="3" t="s">
        <v>154</v>
      </c>
      <c r="G609" s="27">
        <v>2</v>
      </c>
      <c r="H609" s="27">
        <v>0</v>
      </c>
      <c r="I609" s="27">
        <f t="shared" si="144"/>
        <v>0</v>
      </c>
      <c r="J609" s="27">
        <f t="shared" si="145"/>
        <v>0</v>
      </c>
      <c r="K609" s="27">
        <f t="shared" si="146"/>
        <v>0</v>
      </c>
      <c r="L609" s="28" t="s">
        <v>52</v>
      </c>
      <c r="Z609" s="27">
        <f t="shared" si="147"/>
        <v>0</v>
      </c>
      <c r="AB609" s="27">
        <f t="shared" si="148"/>
        <v>0</v>
      </c>
      <c r="AC609" s="27">
        <f t="shared" si="149"/>
        <v>0</v>
      </c>
      <c r="AD609" s="27">
        <f t="shared" si="150"/>
        <v>0</v>
      </c>
      <c r="AE609" s="27">
        <f t="shared" si="151"/>
        <v>0</v>
      </c>
      <c r="AF609" s="27">
        <f t="shared" si="152"/>
        <v>0</v>
      </c>
      <c r="AG609" s="27">
        <f t="shared" si="153"/>
        <v>0</v>
      </c>
      <c r="AH609" s="27">
        <f t="shared" si="154"/>
        <v>0</v>
      </c>
      <c r="AI609" s="9" t="s">
        <v>1155</v>
      </c>
      <c r="AJ609" s="27">
        <f t="shared" si="155"/>
        <v>0</v>
      </c>
      <c r="AK609" s="27">
        <f t="shared" si="156"/>
        <v>0</v>
      </c>
      <c r="AL609" s="27">
        <f t="shared" si="157"/>
        <v>0</v>
      </c>
      <c r="AN609" s="27">
        <v>21</v>
      </c>
      <c r="AO609" s="27">
        <f t="shared" si="158"/>
        <v>0</v>
      </c>
      <c r="AP609" s="27">
        <f t="shared" si="159"/>
        <v>0</v>
      </c>
      <c r="AQ609" s="29" t="s">
        <v>84</v>
      </c>
      <c r="AV609" s="27">
        <f t="shared" si="160"/>
        <v>0</v>
      </c>
      <c r="AW609" s="27">
        <f t="shared" si="161"/>
        <v>0</v>
      </c>
      <c r="AX609" s="27">
        <f t="shared" si="162"/>
        <v>0</v>
      </c>
      <c r="AY609" s="29" t="s">
        <v>704</v>
      </c>
      <c r="AZ609" s="29" t="s">
        <v>1158</v>
      </c>
      <c r="BA609" s="9" t="s">
        <v>1159</v>
      </c>
      <c r="BC609" s="27">
        <f t="shared" si="163"/>
        <v>0</v>
      </c>
      <c r="BD609" s="27">
        <f t="shared" si="164"/>
        <v>0</v>
      </c>
      <c r="BE609" s="27">
        <v>0</v>
      </c>
      <c r="BF609" s="27">
        <f>609</f>
        <v>609</v>
      </c>
      <c r="BH609" s="27">
        <f t="shared" si="165"/>
        <v>0</v>
      </c>
      <c r="BI609" s="27">
        <f t="shared" si="166"/>
        <v>0</v>
      </c>
      <c r="BJ609" s="27">
        <f t="shared" si="167"/>
        <v>0</v>
      </c>
      <c r="BK609" s="27"/>
      <c r="BL609" s="27">
        <v>722</v>
      </c>
      <c r="BW609" s="27">
        <v>21</v>
      </c>
    </row>
    <row r="610" spans="1:75" ht="13.5" customHeight="1">
      <c r="A610" s="2" t="s">
        <v>1168</v>
      </c>
      <c r="B610" s="3" t="s">
        <v>1155</v>
      </c>
      <c r="C610" s="3" t="s">
        <v>712</v>
      </c>
      <c r="D610" s="148" t="s">
        <v>713</v>
      </c>
      <c r="E610" s="143"/>
      <c r="F610" s="3" t="s">
        <v>126</v>
      </c>
      <c r="G610" s="27">
        <v>2</v>
      </c>
      <c r="H610" s="27">
        <v>0</v>
      </c>
      <c r="I610" s="27">
        <f t="shared" si="144"/>
        <v>0</v>
      </c>
      <c r="J610" s="27">
        <f t="shared" si="145"/>
        <v>0</v>
      </c>
      <c r="K610" s="27">
        <f t="shared" si="146"/>
        <v>0</v>
      </c>
      <c r="L610" s="28" t="s">
        <v>52</v>
      </c>
      <c r="Z610" s="27">
        <f t="shared" si="147"/>
        <v>0</v>
      </c>
      <c r="AB610" s="27">
        <f t="shared" si="148"/>
        <v>0</v>
      </c>
      <c r="AC610" s="27">
        <f t="shared" si="149"/>
        <v>0</v>
      </c>
      <c r="AD610" s="27">
        <f t="shared" si="150"/>
        <v>0</v>
      </c>
      <c r="AE610" s="27">
        <f t="shared" si="151"/>
        <v>0</v>
      </c>
      <c r="AF610" s="27">
        <f t="shared" si="152"/>
        <v>0</v>
      </c>
      <c r="AG610" s="27">
        <f t="shared" si="153"/>
        <v>0</v>
      </c>
      <c r="AH610" s="27">
        <f t="shared" si="154"/>
        <v>0</v>
      </c>
      <c r="AI610" s="9" t="s">
        <v>1155</v>
      </c>
      <c r="AJ610" s="27">
        <f t="shared" si="155"/>
        <v>0</v>
      </c>
      <c r="AK610" s="27">
        <f t="shared" si="156"/>
        <v>0</v>
      </c>
      <c r="AL610" s="27">
        <f t="shared" si="157"/>
        <v>0</v>
      </c>
      <c r="AN610" s="27">
        <v>21</v>
      </c>
      <c r="AO610" s="27">
        <f t="shared" si="158"/>
        <v>0</v>
      </c>
      <c r="AP610" s="27">
        <f t="shared" si="159"/>
        <v>0</v>
      </c>
      <c r="AQ610" s="29" t="s">
        <v>84</v>
      </c>
      <c r="AV610" s="27">
        <f t="shared" si="160"/>
        <v>0</v>
      </c>
      <c r="AW610" s="27">
        <f t="shared" si="161"/>
        <v>0</v>
      </c>
      <c r="AX610" s="27">
        <f t="shared" si="162"/>
        <v>0</v>
      </c>
      <c r="AY610" s="29" t="s">
        <v>704</v>
      </c>
      <c r="AZ610" s="29" t="s">
        <v>1158</v>
      </c>
      <c r="BA610" s="9" t="s">
        <v>1159</v>
      </c>
      <c r="BC610" s="27">
        <f t="shared" si="163"/>
        <v>0</v>
      </c>
      <c r="BD610" s="27">
        <f t="shared" si="164"/>
        <v>0</v>
      </c>
      <c r="BE610" s="27">
        <v>0</v>
      </c>
      <c r="BF610" s="27">
        <f>610</f>
        <v>610</v>
      </c>
      <c r="BH610" s="27">
        <f t="shared" si="165"/>
        <v>0</v>
      </c>
      <c r="BI610" s="27">
        <f t="shared" si="166"/>
        <v>0</v>
      </c>
      <c r="BJ610" s="27">
        <f t="shared" si="167"/>
        <v>0</v>
      </c>
      <c r="BK610" s="27"/>
      <c r="BL610" s="27">
        <v>722</v>
      </c>
      <c r="BW610" s="27">
        <v>21</v>
      </c>
    </row>
    <row r="611" spans="1:75" ht="13.5" customHeight="1">
      <c r="A611" s="2" t="s">
        <v>1169</v>
      </c>
      <c r="B611" s="3" t="s">
        <v>1155</v>
      </c>
      <c r="C611" s="3" t="s">
        <v>718</v>
      </c>
      <c r="D611" s="148" t="s">
        <v>719</v>
      </c>
      <c r="E611" s="143"/>
      <c r="F611" s="3" t="s">
        <v>126</v>
      </c>
      <c r="G611" s="27">
        <v>3</v>
      </c>
      <c r="H611" s="27">
        <v>0</v>
      </c>
      <c r="I611" s="27">
        <f t="shared" si="144"/>
        <v>0</v>
      </c>
      <c r="J611" s="27">
        <f t="shared" si="145"/>
        <v>0</v>
      </c>
      <c r="K611" s="27">
        <f t="shared" si="146"/>
        <v>0</v>
      </c>
      <c r="L611" s="28" t="s">
        <v>52</v>
      </c>
      <c r="Z611" s="27">
        <f t="shared" si="147"/>
        <v>0</v>
      </c>
      <c r="AB611" s="27">
        <f t="shared" si="148"/>
        <v>0</v>
      </c>
      <c r="AC611" s="27">
        <f t="shared" si="149"/>
        <v>0</v>
      </c>
      <c r="AD611" s="27">
        <f t="shared" si="150"/>
        <v>0</v>
      </c>
      <c r="AE611" s="27">
        <f t="shared" si="151"/>
        <v>0</v>
      </c>
      <c r="AF611" s="27">
        <f t="shared" si="152"/>
        <v>0</v>
      </c>
      <c r="AG611" s="27">
        <f t="shared" si="153"/>
        <v>0</v>
      </c>
      <c r="AH611" s="27">
        <f t="shared" si="154"/>
        <v>0</v>
      </c>
      <c r="AI611" s="9" t="s">
        <v>1155</v>
      </c>
      <c r="AJ611" s="27">
        <f t="shared" si="155"/>
        <v>0</v>
      </c>
      <c r="AK611" s="27">
        <f t="shared" si="156"/>
        <v>0</v>
      </c>
      <c r="AL611" s="27">
        <f t="shared" si="157"/>
        <v>0</v>
      </c>
      <c r="AN611" s="27">
        <v>21</v>
      </c>
      <c r="AO611" s="27">
        <f t="shared" si="158"/>
        <v>0</v>
      </c>
      <c r="AP611" s="27">
        <f t="shared" si="159"/>
        <v>0</v>
      </c>
      <c r="AQ611" s="29" t="s">
        <v>84</v>
      </c>
      <c r="AV611" s="27">
        <f t="shared" si="160"/>
        <v>0</v>
      </c>
      <c r="AW611" s="27">
        <f t="shared" si="161"/>
        <v>0</v>
      </c>
      <c r="AX611" s="27">
        <f t="shared" si="162"/>
        <v>0</v>
      </c>
      <c r="AY611" s="29" t="s">
        <v>704</v>
      </c>
      <c r="AZ611" s="29" t="s">
        <v>1158</v>
      </c>
      <c r="BA611" s="9" t="s">
        <v>1159</v>
      </c>
      <c r="BC611" s="27">
        <f t="shared" si="163"/>
        <v>0</v>
      </c>
      <c r="BD611" s="27">
        <f t="shared" si="164"/>
        <v>0</v>
      </c>
      <c r="BE611" s="27">
        <v>0</v>
      </c>
      <c r="BF611" s="27">
        <f>611</f>
        <v>611</v>
      </c>
      <c r="BH611" s="27">
        <f t="shared" si="165"/>
        <v>0</v>
      </c>
      <c r="BI611" s="27">
        <f t="shared" si="166"/>
        <v>0</v>
      </c>
      <c r="BJ611" s="27">
        <f t="shared" si="167"/>
        <v>0</v>
      </c>
      <c r="BK611" s="27"/>
      <c r="BL611" s="27">
        <v>722</v>
      </c>
      <c r="BW611" s="27">
        <v>21</v>
      </c>
    </row>
    <row r="612" spans="1:75" ht="13.5" customHeight="1">
      <c r="A612" s="2" t="s">
        <v>1170</v>
      </c>
      <c r="B612" s="3" t="s">
        <v>1155</v>
      </c>
      <c r="C612" s="3" t="s">
        <v>721</v>
      </c>
      <c r="D612" s="148" t="s">
        <v>722</v>
      </c>
      <c r="E612" s="143"/>
      <c r="F612" s="3" t="s">
        <v>126</v>
      </c>
      <c r="G612" s="27">
        <v>3</v>
      </c>
      <c r="H612" s="27">
        <v>0</v>
      </c>
      <c r="I612" s="27">
        <f t="shared" si="144"/>
        <v>0</v>
      </c>
      <c r="J612" s="27">
        <f t="shared" si="145"/>
        <v>0</v>
      </c>
      <c r="K612" s="27">
        <f t="shared" si="146"/>
        <v>0</v>
      </c>
      <c r="L612" s="28" t="s">
        <v>52</v>
      </c>
      <c r="Z612" s="27">
        <f t="shared" si="147"/>
        <v>0</v>
      </c>
      <c r="AB612" s="27">
        <f t="shared" si="148"/>
        <v>0</v>
      </c>
      <c r="AC612" s="27">
        <f t="shared" si="149"/>
        <v>0</v>
      </c>
      <c r="AD612" s="27">
        <f t="shared" si="150"/>
        <v>0</v>
      </c>
      <c r="AE612" s="27">
        <f t="shared" si="151"/>
        <v>0</v>
      </c>
      <c r="AF612" s="27">
        <f t="shared" si="152"/>
        <v>0</v>
      </c>
      <c r="AG612" s="27">
        <f t="shared" si="153"/>
        <v>0</v>
      </c>
      <c r="AH612" s="27">
        <f t="shared" si="154"/>
        <v>0</v>
      </c>
      <c r="AI612" s="9" t="s">
        <v>1155</v>
      </c>
      <c r="AJ612" s="27">
        <f t="shared" si="155"/>
        <v>0</v>
      </c>
      <c r="AK612" s="27">
        <f t="shared" si="156"/>
        <v>0</v>
      </c>
      <c r="AL612" s="27">
        <f t="shared" si="157"/>
        <v>0</v>
      </c>
      <c r="AN612" s="27">
        <v>21</v>
      </c>
      <c r="AO612" s="27">
        <f t="shared" si="158"/>
        <v>0</v>
      </c>
      <c r="AP612" s="27">
        <f t="shared" si="159"/>
        <v>0</v>
      </c>
      <c r="AQ612" s="29" t="s">
        <v>84</v>
      </c>
      <c r="AV612" s="27">
        <f t="shared" si="160"/>
        <v>0</v>
      </c>
      <c r="AW612" s="27">
        <f t="shared" si="161"/>
        <v>0</v>
      </c>
      <c r="AX612" s="27">
        <f t="shared" si="162"/>
        <v>0</v>
      </c>
      <c r="AY612" s="29" t="s">
        <v>704</v>
      </c>
      <c r="AZ612" s="29" t="s">
        <v>1158</v>
      </c>
      <c r="BA612" s="9" t="s">
        <v>1159</v>
      </c>
      <c r="BC612" s="27">
        <f t="shared" si="163"/>
        <v>0</v>
      </c>
      <c r="BD612" s="27">
        <f t="shared" si="164"/>
        <v>0</v>
      </c>
      <c r="BE612" s="27">
        <v>0</v>
      </c>
      <c r="BF612" s="27">
        <f>612</f>
        <v>612</v>
      </c>
      <c r="BH612" s="27">
        <f t="shared" si="165"/>
        <v>0</v>
      </c>
      <c r="BI612" s="27">
        <f t="shared" si="166"/>
        <v>0</v>
      </c>
      <c r="BJ612" s="27">
        <f t="shared" si="167"/>
        <v>0</v>
      </c>
      <c r="BK612" s="27"/>
      <c r="BL612" s="27">
        <v>722</v>
      </c>
      <c r="BW612" s="27">
        <v>21</v>
      </c>
    </row>
    <row r="613" spans="1:75" ht="13.5" customHeight="1">
      <c r="A613" s="2" t="s">
        <v>1171</v>
      </c>
      <c r="B613" s="3" t="s">
        <v>1155</v>
      </c>
      <c r="C613" s="3" t="s">
        <v>724</v>
      </c>
      <c r="D613" s="148" t="s">
        <v>725</v>
      </c>
      <c r="E613" s="143"/>
      <c r="F613" s="3" t="s">
        <v>126</v>
      </c>
      <c r="G613" s="27">
        <v>3</v>
      </c>
      <c r="H613" s="27">
        <v>0</v>
      </c>
      <c r="I613" s="27">
        <f t="shared" si="144"/>
        <v>0</v>
      </c>
      <c r="J613" s="27">
        <f t="shared" si="145"/>
        <v>0</v>
      </c>
      <c r="K613" s="27">
        <f t="shared" si="146"/>
        <v>0</v>
      </c>
      <c r="L613" s="28" t="s">
        <v>52</v>
      </c>
      <c r="Z613" s="27">
        <f t="shared" si="147"/>
        <v>0</v>
      </c>
      <c r="AB613" s="27">
        <f t="shared" si="148"/>
        <v>0</v>
      </c>
      <c r="AC613" s="27">
        <f t="shared" si="149"/>
        <v>0</v>
      </c>
      <c r="AD613" s="27">
        <f t="shared" si="150"/>
        <v>0</v>
      </c>
      <c r="AE613" s="27">
        <f t="shared" si="151"/>
        <v>0</v>
      </c>
      <c r="AF613" s="27">
        <f t="shared" si="152"/>
        <v>0</v>
      </c>
      <c r="AG613" s="27">
        <f t="shared" si="153"/>
        <v>0</v>
      </c>
      <c r="AH613" s="27">
        <f t="shared" si="154"/>
        <v>0</v>
      </c>
      <c r="AI613" s="9" t="s">
        <v>1155</v>
      </c>
      <c r="AJ613" s="27">
        <f t="shared" si="155"/>
        <v>0</v>
      </c>
      <c r="AK613" s="27">
        <f t="shared" si="156"/>
        <v>0</v>
      </c>
      <c r="AL613" s="27">
        <f t="shared" si="157"/>
        <v>0</v>
      </c>
      <c r="AN613" s="27">
        <v>21</v>
      </c>
      <c r="AO613" s="27">
        <f t="shared" si="158"/>
        <v>0</v>
      </c>
      <c r="AP613" s="27">
        <f t="shared" si="159"/>
        <v>0</v>
      </c>
      <c r="AQ613" s="29" t="s">
        <v>84</v>
      </c>
      <c r="AV613" s="27">
        <f t="shared" si="160"/>
        <v>0</v>
      </c>
      <c r="AW613" s="27">
        <f t="shared" si="161"/>
        <v>0</v>
      </c>
      <c r="AX613" s="27">
        <f t="shared" si="162"/>
        <v>0</v>
      </c>
      <c r="AY613" s="29" t="s">
        <v>704</v>
      </c>
      <c r="AZ613" s="29" t="s">
        <v>1158</v>
      </c>
      <c r="BA613" s="9" t="s">
        <v>1159</v>
      </c>
      <c r="BC613" s="27">
        <f t="shared" si="163"/>
        <v>0</v>
      </c>
      <c r="BD613" s="27">
        <f t="shared" si="164"/>
        <v>0</v>
      </c>
      <c r="BE613" s="27">
        <v>0</v>
      </c>
      <c r="BF613" s="27">
        <f>613</f>
        <v>613</v>
      </c>
      <c r="BH613" s="27">
        <f t="shared" si="165"/>
        <v>0</v>
      </c>
      <c r="BI613" s="27">
        <f t="shared" si="166"/>
        <v>0</v>
      </c>
      <c r="BJ613" s="27">
        <f t="shared" si="167"/>
        <v>0</v>
      </c>
      <c r="BK613" s="27"/>
      <c r="BL613" s="27">
        <v>722</v>
      </c>
      <c r="BW613" s="27">
        <v>21</v>
      </c>
    </row>
    <row r="614" spans="1:75" ht="13.5" customHeight="1">
      <c r="A614" s="2" t="s">
        <v>1172</v>
      </c>
      <c r="B614" s="3" t="s">
        <v>1155</v>
      </c>
      <c r="C614" s="3" t="s">
        <v>727</v>
      </c>
      <c r="D614" s="148" t="s">
        <v>728</v>
      </c>
      <c r="E614" s="143"/>
      <c r="F614" s="3" t="s">
        <v>126</v>
      </c>
      <c r="G614" s="27">
        <v>3</v>
      </c>
      <c r="H614" s="27">
        <v>0</v>
      </c>
      <c r="I614" s="27">
        <f t="shared" si="144"/>
        <v>0</v>
      </c>
      <c r="J614" s="27">
        <f t="shared" si="145"/>
        <v>0</v>
      </c>
      <c r="K614" s="27">
        <f t="shared" si="146"/>
        <v>0</v>
      </c>
      <c r="L614" s="28" t="s">
        <v>52</v>
      </c>
      <c r="Z614" s="27">
        <f t="shared" si="147"/>
        <v>0</v>
      </c>
      <c r="AB614" s="27">
        <f t="shared" si="148"/>
        <v>0</v>
      </c>
      <c r="AC614" s="27">
        <f t="shared" si="149"/>
        <v>0</v>
      </c>
      <c r="AD614" s="27">
        <f t="shared" si="150"/>
        <v>0</v>
      </c>
      <c r="AE614" s="27">
        <f t="shared" si="151"/>
        <v>0</v>
      </c>
      <c r="AF614" s="27">
        <f t="shared" si="152"/>
        <v>0</v>
      </c>
      <c r="AG614" s="27">
        <f t="shared" si="153"/>
        <v>0</v>
      </c>
      <c r="AH614" s="27">
        <f t="shared" si="154"/>
        <v>0</v>
      </c>
      <c r="AI614" s="9" t="s">
        <v>1155</v>
      </c>
      <c r="AJ614" s="27">
        <f t="shared" si="155"/>
        <v>0</v>
      </c>
      <c r="AK614" s="27">
        <f t="shared" si="156"/>
        <v>0</v>
      </c>
      <c r="AL614" s="27">
        <f t="shared" si="157"/>
        <v>0</v>
      </c>
      <c r="AN614" s="27">
        <v>21</v>
      </c>
      <c r="AO614" s="27">
        <f t="shared" si="158"/>
        <v>0</v>
      </c>
      <c r="AP614" s="27">
        <f t="shared" si="159"/>
        <v>0</v>
      </c>
      <c r="AQ614" s="29" t="s">
        <v>84</v>
      </c>
      <c r="AV614" s="27">
        <f t="shared" si="160"/>
        <v>0</v>
      </c>
      <c r="AW614" s="27">
        <f t="shared" si="161"/>
        <v>0</v>
      </c>
      <c r="AX614" s="27">
        <f t="shared" si="162"/>
        <v>0</v>
      </c>
      <c r="AY614" s="29" t="s">
        <v>704</v>
      </c>
      <c r="AZ614" s="29" t="s">
        <v>1158</v>
      </c>
      <c r="BA614" s="9" t="s">
        <v>1159</v>
      </c>
      <c r="BC614" s="27">
        <f t="shared" si="163"/>
        <v>0</v>
      </c>
      <c r="BD614" s="27">
        <f t="shared" si="164"/>
        <v>0</v>
      </c>
      <c r="BE614" s="27">
        <v>0</v>
      </c>
      <c r="BF614" s="27">
        <f>614</f>
        <v>614</v>
      </c>
      <c r="BH614" s="27">
        <f t="shared" si="165"/>
        <v>0</v>
      </c>
      <c r="BI614" s="27">
        <f t="shared" si="166"/>
        <v>0</v>
      </c>
      <c r="BJ614" s="27">
        <f t="shared" si="167"/>
        <v>0</v>
      </c>
      <c r="BK614" s="27"/>
      <c r="BL614" s="27">
        <v>722</v>
      </c>
      <c r="BW614" s="27">
        <v>21</v>
      </c>
    </row>
    <row r="615" spans="1:75" ht="13.5" customHeight="1">
      <c r="A615" s="2" t="s">
        <v>1173</v>
      </c>
      <c r="B615" s="3" t="s">
        <v>1155</v>
      </c>
      <c r="C615" s="3" t="s">
        <v>730</v>
      </c>
      <c r="D615" s="148" t="s">
        <v>731</v>
      </c>
      <c r="E615" s="143"/>
      <c r="F615" s="3" t="s">
        <v>126</v>
      </c>
      <c r="G615" s="27">
        <v>1</v>
      </c>
      <c r="H615" s="27">
        <v>0</v>
      </c>
      <c r="I615" s="27">
        <f t="shared" si="144"/>
        <v>0</v>
      </c>
      <c r="J615" s="27">
        <f t="shared" si="145"/>
        <v>0</v>
      </c>
      <c r="K615" s="27">
        <f t="shared" si="146"/>
        <v>0</v>
      </c>
      <c r="L615" s="28" t="s">
        <v>52</v>
      </c>
      <c r="Z615" s="27">
        <f t="shared" si="147"/>
        <v>0</v>
      </c>
      <c r="AB615" s="27">
        <f t="shared" si="148"/>
        <v>0</v>
      </c>
      <c r="AC615" s="27">
        <f t="shared" si="149"/>
        <v>0</v>
      </c>
      <c r="AD615" s="27">
        <f t="shared" si="150"/>
        <v>0</v>
      </c>
      <c r="AE615" s="27">
        <f t="shared" si="151"/>
        <v>0</v>
      </c>
      <c r="AF615" s="27">
        <f t="shared" si="152"/>
        <v>0</v>
      </c>
      <c r="AG615" s="27">
        <f t="shared" si="153"/>
        <v>0</v>
      </c>
      <c r="AH615" s="27">
        <f t="shared" si="154"/>
        <v>0</v>
      </c>
      <c r="AI615" s="9" t="s">
        <v>1155</v>
      </c>
      <c r="AJ615" s="27">
        <f t="shared" si="155"/>
        <v>0</v>
      </c>
      <c r="AK615" s="27">
        <f t="shared" si="156"/>
        <v>0</v>
      </c>
      <c r="AL615" s="27">
        <f t="shared" si="157"/>
        <v>0</v>
      </c>
      <c r="AN615" s="27">
        <v>21</v>
      </c>
      <c r="AO615" s="27">
        <f t="shared" si="158"/>
        <v>0</v>
      </c>
      <c r="AP615" s="27">
        <f t="shared" si="159"/>
        <v>0</v>
      </c>
      <c r="AQ615" s="29" t="s">
        <v>84</v>
      </c>
      <c r="AV615" s="27">
        <f t="shared" si="160"/>
        <v>0</v>
      </c>
      <c r="AW615" s="27">
        <f t="shared" si="161"/>
        <v>0</v>
      </c>
      <c r="AX615" s="27">
        <f t="shared" si="162"/>
        <v>0</v>
      </c>
      <c r="AY615" s="29" t="s">
        <v>704</v>
      </c>
      <c r="AZ615" s="29" t="s">
        <v>1158</v>
      </c>
      <c r="BA615" s="9" t="s">
        <v>1159</v>
      </c>
      <c r="BC615" s="27">
        <f t="shared" si="163"/>
        <v>0</v>
      </c>
      <c r="BD615" s="27">
        <f t="shared" si="164"/>
        <v>0</v>
      </c>
      <c r="BE615" s="27">
        <v>0</v>
      </c>
      <c r="BF615" s="27">
        <f>615</f>
        <v>615</v>
      </c>
      <c r="BH615" s="27">
        <f t="shared" si="165"/>
        <v>0</v>
      </c>
      <c r="BI615" s="27">
        <f t="shared" si="166"/>
        <v>0</v>
      </c>
      <c r="BJ615" s="27">
        <f t="shared" si="167"/>
        <v>0</v>
      </c>
      <c r="BK615" s="27"/>
      <c r="BL615" s="27">
        <v>722</v>
      </c>
      <c r="BW615" s="27">
        <v>21</v>
      </c>
    </row>
    <row r="616" spans="1:75" ht="13.5" customHeight="1">
      <c r="A616" s="2" t="s">
        <v>1174</v>
      </c>
      <c r="B616" s="3" t="s">
        <v>1155</v>
      </c>
      <c r="C616" s="3" t="s">
        <v>733</v>
      </c>
      <c r="D616" s="148" t="s">
        <v>734</v>
      </c>
      <c r="E616" s="143"/>
      <c r="F616" s="3" t="s">
        <v>126</v>
      </c>
      <c r="G616" s="27">
        <v>4</v>
      </c>
      <c r="H616" s="27">
        <v>0</v>
      </c>
      <c r="I616" s="27">
        <f t="shared" si="144"/>
        <v>0</v>
      </c>
      <c r="J616" s="27">
        <f t="shared" si="145"/>
        <v>0</v>
      </c>
      <c r="K616" s="27">
        <f t="shared" si="146"/>
        <v>0</v>
      </c>
      <c r="L616" s="28" t="s">
        <v>52</v>
      </c>
      <c r="Z616" s="27">
        <f t="shared" si="147"/>
        <v>0</v>
      </c>
      <c r="AB616" s="27">
        <f t="shared" si="148"/>
        <v>0</v>
      </c>
      <c r="AC616" s="27">
        <f t="shared" si="149"/>
        <v>0</v>
      </c>
      <c r="AD616" s="27">
        <f t="shared" si="150"/>
        <v>0</v>
      </c>
      <c r="AE616" s="27">
        <f t="shared" si="151"/>
        <v>0</v>
      </c>
      <c r="AF616" s="27">
        <f t="shared" si="152"/>
        <v>0</v>
      </c>
      <c r="AG616" s="27">
        <f t="shared" si="153"/>
        <v>0</v>
      </c>
      <c r="AH616" s="27">
        <f t="shared" si="154"/>
        <v>0</v>
      </c>
      <c r="AI616" s="9" t="s">
        <v>1155</v>
      </c>
      <c r="AJ616" s="27">
        <f t="shared" si="155"/>
        <v>0</v>
      </c>
      <c r="AK616" s="27">
        <f t="shared" si="156"/>
        <v>0</v>
      </c>
      <c r="AL616" s="27">
        <f t="shared" si="157"/>
        <v>0</v>
      </c>
      <c r="AN616" s="27">
        <v>21</v>
      </c>
      <c r="AO616" s="27">
        <f t="shared" si="158"/>
        <v>0</v>
      </c>
      <c r="AP616" s="27">
        <f t="shared" si="159"/>
        <v>0</v>
      </c>
      <c r="AQ616" s="29" t="s">
        <v>84</v>
      </c>
      <c r="AV616" s="27">
        <f t="shared" si="160"/>
        <v>0</v>
      </c>
      <c r="AW616" s="27">
        <f t="shared" si="161"/>
        <v>0</v>
      </c>
      <c r="AX616" s="27">
        <f t="shared" si="162"/>
        <v>0</v>
      </c>
      <c r="AY616" s="29" t="s">
        <v>704</v>
      </c>
      <c r="AZ616" s="29" t="s">
        <v>1158</v>
      </c>
      <c r="BA616" s="9" t="s">
        <v>1159</v>
      </c>
      <c r="BC616" s="27">
        <f t="shared" si="163"/>
        <v>0</v>
      </c>
      <c r="BD616" s="27">
        <f t="shared" si="164"/>
        <v>0</v>
      </c>
      <c r="BE616" s="27">
        <v>0</v>
      </c>
      <c r="BF616" s="27">
        <f>616</f>
        <v>616</v>
      </c>
      <c r="BH616" s="27">
        <f t="shared" si="165"/>
        <v>0</v>
      </c>
      <c r="BI616" s="27">
        <f t="shared" si="166"/>
        <v>0</v>
      </c>
      <c r="BJ616" s="27">
        <f t="shared" si="167"/>
        <v>0</v>
      </c>
      <c r="BK616" s="27"/>
      <c r="BL616" s="27">
        <v>722</v>
      </c>
      <c r="BW616" s="27">
        <v>21</v>
      </c>
    </row>
    <row r="617" spans="1:75" ht="13.5" customHeight="1">
      <c r="A617" s="2" t="s">
        <v>1175</v>
      </c>
      <c r="B617" s="3" t="s">
        <v>1155</v>
      </c>
      <c r="C617" s="3" t="s">
        <v>739</v>
      </c>
      <c r="D617" s="148" t="s">
        <v>740</v>
      </c>
      <c r="E617" s="143"/>
      <c r="F617" s="3" t="s">
        <v>126</v>
      </c>
      <c r="G617" s="27">
        <v>5</v>
      </c>
      <c r="H617" s="27">
        <v>0</v>
      </c>
      <c r="I617" s="27">
        <f t="shared" si="144"/>
        <v>0</v>
      </c>
      <c r="J617" s="27">
        <f t="shared" si="145"/>
        <v>0</v>
      </c>
      <c r="K617" s="27">
        <f t="shared" si="146"/>
        <v>0</v>
      </c>
      <c r="L617" s="28" t="s">
        <v>52</v>
      </c>
      <c r="Z617" s="27">
        <f t="shared" si="147"/>
        <v>0</v>
      </c>
      <c r="AB617" s="27">
        <f t="shared" si="148"/>
        <v>0</v>
      </c>
      <c r="AC617" s="27">
        <f t="shared" si="149"/>
        <v>0</v>
      </c>
      <c r="AD617" s="27">
        <f t="shared" si="150"/>
        <v>0</v>
      </c>
      <c r="AE617" s="27">
        <f t="shared" si="151"/>
        <v>0</v>
      </c>
      <c r="AF617" s="27">
        <f t="shared" si="152"/>
        <v>0</v>
      </c>
      <c r="AG617" s="27">
        <f t="shared" si="153"/>
        <v>0</v>
      </c>
      <c r="AH617" s="27">
        <f t="shared" si="154"/>
        <v>0</v>
      </c>
      <c r="AI617" s="9" t="s">
        <v>1155</v>
      </c>
      <c r="AJ617" s="27">
        <f t="shared" si="155"/>
        <v>0</v>
      </c>
      <c r="AK617" s="27">
        <f t="shared" si="156"/>
        <v>0</v>
      </c>
      <c r="AL617" s="27">
        <f t="shared" si="157"/>
        <v>0</v>
      </c>
      <c r="AN617" s="27">
        <v>21</v>
      </c>
      <c r="AO617" s="27">
        <f t="shared" si="158"/>
        <v>0</v>
      </c>
      <c r="AP617" s="27">
        <f t="shared" si="159"/>
        <v>0</v>
      </c>
      <c r="AQ617" s="29" t="s">
        <v>84</v>
      </c>
      <c r="AV617" s="27">
        <f t="shared" si="160"/>
        <v>0</v>
      </c>
      <c r="AW617" s="27">
        <f t="shared" si="161"/>
        <v>0</v>
      </c>
      <c r="AX617" s="27">
        <f t="shared" si="162"/>
        <v>0</v>
      </c>
      <c r="AY617" s="29" t="s">
        <v>704</v>
      </c>
      <c r="AZ617" s="29" t="s">
        <v>1158</v>
      </c>
      <c r="BA617" s="9" t="s">
        <v>1159</v>
      </c>
      <c r="BC617" s="27">
        <f t="shared" si="163"/>
        <v>0</v>
      </c>
      <c r="BD617" s="27">
        <f t="shared" si="164"/>
        <v>0</v>
      </c>
      <c r="BE617" s="27">
        <v>0</v>
      </c>
      <c r="BF617" s="27">
        <f>617</f>
        <v>617</v>
      </c>
      <c r="BH617" s="27">
        <f t="shared" si="165"/>
        <v>0</v>
      </c>
      <c r="BI617" s="27">
        <f t="shared" si="166"/>
        <v>0</v>
      </c>
      <c r="BJ617" s="27">
        <f t="shared" si="167"/>
        <v>0</v>
      </c>
      <c r="BK617" s="27"/>
      <c r="BL617" s="27">
        <v>722</v>
      </c>
      <c r="BW617" s="27">
        <v>21</v>
      </c>
    </row>
    <row r="618" spans="1:75" ht="13.5" customHeight="1">
      <c r="A618" s="2" t="s">
        <v>1176</v>
      </c>
      <c r="B618" s="3" t="s">
        <v>1155</v>
      </c>
      <c r="C618" s="3" t="s">
        <v>742</v>
      </c>
      <c r="D618" s="148" t="s">
        <v>743</v>
      </c>
      <c r="E618" s="143"/>
      <c r="F618" s="3" t="s">
        <v>154</v>
      </c>
      <c r="G618" s="27">
        <v>4</v>
      </c>
      <c r="H618" s="27">
        <v>0</v>
      </c>
      <c r="I618" s="27">
        <f t="shared" si="144"/>
        <v>0</v>
      </c>
      <c r="J618" s="27">
        <f t="shared" si="145"/>
        <v>0</v>
      </c>
      <c r="K618" s="27">
        <f t="shared" si="146"/>
        <v>0</v>
      </c>
      <c r="L618" s="28" t="s">
        <v>52</v>
      </c>
      <c r="Z618" s="27">
        <f t="shared" si="147"/>
        <v>0</v>
      </c>
      <c r="AB618" s="27">
        <f t="shared" si="148"/>
        <v>0</v>
      </c>
      <c r="AC618" s="27">
        <f t="shared" si="149"/>
        <v>0</v>
      </c>
      <c r="AD618" s="27">
        <f t="shared" si="150"/>
        <v>0</v>
      </c>
      <c r="AE618" s="27">
        <f t="shared" si="151"/>
        <v>0</v>
      </c>
      <c r="AF618" s="27">
        <f t="shared" si="152"/>
        <v>0</v>
      </c>
      <c r="AG618" s="27">
        <f t="shared" si="153"/>
        <v>0</v>
      </c>
      <c r="AH618" s="27">
        <f t="shared" si="154"/>
        <v>0</v>
      </c>
      <c r="AI618" s="9" t="s">
        <v>1155</v>
      </c>
      <c r="AJ618" s="27">
        <f t="shared" si="155"/>
        <v>0</v>
      </c>
      <c r="AK618" s="27">
        <f t="shared" si="156"/>
        <v>0</v>
      </c>
      <c r="AL618" s="27">
        <f t="shared" si="157"/>
        <v>0</v>
      </c>
      <c r="AN618" s="27">
        <v>21</v>
      </c>
      <c r="AO618" s="27">
        <f t="shared" si="158"/>
        <v>0</v>
      </c>
      <c r="AP618" s="27">
        <f t="shared" si="159"/>
        <v>0</v>
      </c>
      <c r="AQ618" s="29" t="s">
        <v>84</v>
      </c>
      <c r="AV618" s="27">
        <f t="shared" si="160"/>
        <v>0</v>
      </c>
      <c r="AW618" s="27">
        <f t="shared" si="161"/>
        <v>0</v>
      </c>
      <c r="AX618" s="27">
        <f t="shared" si="162"/>
        <v>0</v>
      </c>
      <c r="AY618" s="29" t="s">
        <v>704</v>
      </c>
      <c r="AZ618" s="29" t="s">
        <v>1158</v>
      </c>
      <c r="BA618" s="9" t="s">
        <v>1159</v>
      </c>
      <c r="BC618" s="27">
        <f t="shared" si="163"/>
        <v>0</v>
      </c>
      <c r="BD618" s="27">
        <f t="shared" si="164"/>
        <v>0</v>
      </c>
      <c r="BE618" s="27">
        <v>0</v>
      </c>
      <c r="BF618" s="27">
        <f>618</f>
        <v>618</v>
      </c>
      <c r="BH618" s="27">
        <f t="shared" si="165"/>
        <v>0</v>
      </c>
      <c r="BI618" s="27">
        <f t="shared" si="166"/>
        <v>0</v>
      </c>
      <c r="BJ618" s="27">
        <f t="shared" si="167"/>
        <v>0</v>
      </c>
      <c r="BK618" s="27"/>
      <c r="BL618" s="27">
        <v>722</v>
      </c>
      <c r="BW618" s="27">
        <v>21</v>
      </c>
    </row>
    <row r="619" spans="1:75" ht="13.5" customHeight="1">
      <c r="A619" s="2" t="s">
        <v>1177</v>
      </c>
      <c r="B619" s="3" t="s">
        <v>1155</v>
      </c>
      <c r="C619" s="3" t="s">
        <v>745</v>
      </c>
      <c r="D619" s="148" t="s">
        <v>746</v>
      </c>
      <c r="E619" s="143"/>
      <c r="F619" s="3" t="s">
        <v>154</v>
      </c>
      <c r="G619" s="27">
        <v>4</v>
      </c>
      <c r="H619" s="27">
        <v>0</v>
      </c>
      <c r="I619" s="27">
        <f t="shared" si="144"/>
        <v>0</v>
      </c>
      <c r="J619" s="27">
        <f t="shared" si="145"/>
        <v>0</v>
      </c>
      <c r="K619" s="27">
        <f t="shared" si="146"/>
        <v>0</v>
      </c>
      <c r="L619" s="28" t="s">
        <v>52</v>
      </c>
      <c r="Z619" s="27">
        <f t="shared" si="147"/>
        <v>0</v>
      </c>
      <c r="AB619" s="27">
        <f t="shared" si="148"/>
        <v>0</v>
      </c>
      <c r="AC619" s="27">
        <f t="shared" si="149"/>
        <v>0</v>
      </c>
      <c r="AD619" s="27">
        <f t="shared" si="150"/>
        <v>0</v>
      </c>
      <c r="AE619" s="27">
        <f t="shared" si="151"/>
        <v>0</v>
      </c>
      <c r="AF619" s="27">
        <f t="shared" si="152"/>
        <v>0</v>
      </c>
      <c r="AG619" s="27">
        <f t="shared" si="153"/>
        <v>0</v>
      </c>
      <c r="AH619" s="27">
        <f t="shared" si="154"/>
        <v>0</v>
      </c>
      <c r="AI619" s="9" t="s">
        <v>1155</v>
      </c>
      <c r="AJ619" s="27">
        <f t="shared" si="155"/>
        <v>0</v>
      </c>
      <c r="AK619" s="27">
        <f t="shared" si="156"/>
        <v>0</v>
      </c>
      <c r="AL619" s="27">
        <f t="shared" si="157"/>
        <v>0</v>
      </c>
      <c r="AN619" s="27">
        <v>21</v>
      </c>
      <c r="AO619" s="27">
        <f t="shared" si="158"/>
        <v>0</v>
      </c>
      <c r="AP619" s="27">
        <f t="shared" si="159"/>
        <v>0</v>
      </c>
      <c r="AQ619" s="29" t="s">
        <v>84</v>
      </c>
      <c r="AV619" s="27">
        <f t="shared" si="160"/>
        <v>0</v>
      </c>
      <c r="AW619" s="27">
        <f t="shared" si="161"/>
        <v>0</v>
      </c>
      <c r="AX619" s="27">
        <f t="shared" si="162"/>
        <v>0</v>
      </c>
      <c r="AY619" s="29" t="s">
        <v>704</v>
      </c>
      <c r="AZ619" s="29" t="s">
        <v>1158</v>
      </c>
      <c r="BA619" s="9" t="s">
        <v>1159</v>
      </c>
      <c r="BC619" s="27">
        <f t="shared" si="163"/>
        <v>0</v>
      </c>
      <c r="BD619" s="27">
        <f t="shared" si="164"/>
        <v>0</v>
      </c>
      <c r="BE619" s="27">
        <v>0</v>
      </c>
      <c r="BF619" s="27">
        <f>619</f>
        <v>619</v>
      </c>
      <c r="BH619" s="27">
        <f t="shared" si="165"/>
        <v>0</v>
      </c>
      <c r="BI619" s="27">
        <f t="shared" si="166"/>
        <v>0</v>
      </c>
      <c r="BJ619" s="27">
        <f t="shared" si="167"/>
        <v>0</v>
      </c>
      <c r="BK619" s="27"/>
      <c r="BL619" s="27">
        <v>722</v>
      </c>
      <c r="BW619" s="27">
        <v>21</v>
      </c>
    </row>
    <row r="620" spans="1:75" ht="13.5" customHeight="1">
      <c r="A620" s="2" t="s">
        <v>1178</v>
      </c>
      <c r="B620" s="3" t="s">
        <v>1155</v>
      </c>
      <c r="C620" s="3" t="s">
        <v>748</v>
      </c>
      <c r="D620" s="148" t="s">
        <v>749</v>
      </c>
      <c r="E620" s="143"/>
      <c r="F620" s="3" t="s">
        <v>154</v>
      </c>
      <c r="G620" s="27">
        <v>2</v>
      </c>
      <c r="H620" s="27">
        <v>0</v>
      </c>
      <c r="I620" s="27">
        <f t="shared" si="144"/>
        <v>0</v>
      </c>
      <c r="J620" s="27">
        <f t="shared" si="145"/>
        <v>0</v>
      </c>
      <c r="K620" s="27">
        <f t="shared" si="146"/>
        <v>0</v>
      </c>
      <c r="L620" s="28" t="s">
        <v>52</v>
      </c>
      <c r="Z620" s="27">
        <f t="shared" si="147"/>
        <v>0</v>
      </c>
      <c r="AB620" s="27">
        <f t="shared" si="148"/>
        <v>0</v>
      </c>
      <c r="AC620" s="27">
        <f t="shared" si="149"/>
        <v>0</v>
      </c>
      <c r="AD620" s="27">
        <f t="shared" si="150"/>
        <v>0</v>
      </c>
      <c r="AE620" s="27">
        <f t="shared" si="151"/>
        <v>0</v>
      </c>
      <c r="AF620" s="27">
        <f t="shared" si="152"/>
        <v>0</v>
      </c>
      <c r="AG620" s="27">
        <f t="shared" si="153"/>
        <v>0</v>
      </c>
      <c r="AH620" s="27">
        <f t="shared" si="154"/>
        <v>0</v>
      </c>
      <c r="AI620" s="9" t="s">
        <v>1155</v>
      </c>
      <c r="AJ620" s="27">
        <f t="shared" si="155"/>
        <v>0</v>
      </c>
      <c r="AK620" s="27">
        <f t="shared" si="156"/>
        <v>0</v>
      </c>
      <c r="AL620" s="27">
        <f t="shared" si="157"/>
        <v>0</v>
      </c>
      <c r="AN620" s="27">
        <v>21</v>
      </c>
      <c r="AO620" s="27">
        <f t="shared" si="158"/>
        <v>0</v>
      </c>
      <c r="AP620" s="27">
        <f t="shared" si="159"/>
        <v>0</v>
      </c>
      <c r="AQ620" s="29" t="s">
        <v>84</v>
      </c>
      <c r="AV620" s="27">
        <f t="shared" si="160"/>
        <v>0</v>
      </c>
      <c r="AW620" s="27">
        <f t="shared" si="161"/>
        <v>0</v>
      </c>
      <c r="AX620" s="27">
        <f t="shared" si="162"/>
        <v>0</v>
      </c>
      <c r="AY620" s="29" t="s">
        <v>704</v>
      </c>
      <c r="AZ620" s="29" t="s">
        <v>1158</v>
      </c>
      <c r="BA620" s="9" t="s">
        <v>1159</v>
      </c>
      <c r="BC620" s="27">
        <f t="shared" si="163"/>
        <v>0</v>
      </c>
      <c r="BD620" s="27">
        <f t="shared" si="164"/>
        <v>0</v>
      </c>
      <c r="BE620" s="27">
        <v>0</v>
      </c>
      <c r="BF620" s="27">
        <f>620</f>
        <v>620</v>
      </c>
      <c r="BH620" s="27">
        <f t="shared" si="165"/>
        <v>0</v>
      </c>
      <c r="BI620" s="27">
        <f t="shared" si="166"/>
        <v>0</v>
      </c>
      <c r="BJ620" s="27">
        <f t="shared" si="167"/>
        <v>0</v>
      </c>
      <c r="BK620" s="27"/>
      <c r="BL620" s="27">
        <v>722</v>
      </c>
      <c r="BW620" s="27">
        <v>21</v>
      </c>
    </row>
    <row r="621" spans="1:75" ht="13.5" customHeight="1">
      <c r="A621" s="2" t="s">
        <v>1179</v>
      </c>
      <c r="B621" s="3" t="s">
        <v>1155</v>
      </c>
      <c r="C621" s="3" t="s">
        <v>754</v>
      </c>
      <c r="D621" s="148" t="s">
        <v>755</v>
      </c>
      <c r="E621" s="143"/>
      <c r="F621" s="3" t="s">
        <v>224</v>
      </c>
      <c r="G621" s="27">
        <v>2</v>
      </c>
      <c r="H621" s="27">
        <v>0</v>
      </c>
      <c r="I621" s="27">
        <f t="shared" si="144"/>
        <v>0</v>
      </c>
      <c r="J621" s="27">
        <f t="shared" si="145"/>
        <v>0</v>
      </c>
      <c r="K621" s="27">
        <f t="shared" si="146"/>
        <v>0</v>
      </c>
      <c r="L621" s="28" t="s">
        <v>52</v>
      </c>
      <c r="Z621" s="27">
        <f t="shared" si="147"/>
        <v>0</v>
      </c>
      <c r="AB621" s="27">
        <f t="shared" si="148"/>
        <v>0</v>
      </c>
      <c r="AC621" s="27">
        <f t="shared" si="149"/>
        <v>0</v>
      </c>
      <c r="AD621" s="27">
        <f t="shared" si="150"/>
        <v>0</v>
      </c>
      <c r="AE621" s="27">
        <f t="shared" si="151"/>
        <v>0</v>
      </c>
      <c r="AF621" s="27">
        <f t="shared" si="152"/>
        <v>0</v>
      </c>
      <c r="AG621" s="27">
        <f t="shared" si="153"/>
        <v>0</v>
      </c>
      <c r="AH621" s="27">
        <f t="shared" si="154"/>
        <v>0</v>
      </c>
      <c r="AI621" s="9" t="s">
        <v>1155</v>
      </c>
      <c r="AJ621" s="27">
        <f t="shared" si="155"/>
        <v>0</v>
      </c>
      <c r="AK621" s="27">
        <f t="shared" si="156"/>
        <v>0</v>
      </c>
      <c r="AL621" s="27">
        <f t="shared" si="157"/>
        <v>0</v>
      </c>
      <c r="AN621" s="27">
        <v>21</v>
      </c>
      <c r="AO621" s="27">
        <f t="shared" si="158"/>
        <v>0</v>
      </c>
      <c r="AP621" s="27">
        <f t="shared" si="159"/>
        <v>0</v>
      </c>
      <c r="AQ621" s="29" t="s">
        <v>84</v>
      </c>
      <c r="AV621" s="27">
        <f t="shared" si="160"/>
        <v>0</v>
      </c>
      <c r="AW621" s="27">
        <f t="shared" si="161"/>
        <v>0</v>
      </c>
      <c r="AX621" s="27">
        <f t="shared" si="162"/>
        <v>0</v>
      </c>
      <c r="AY621" s="29" t="s">
        <v>704</v>
      </c>
      <c r="AZ621" s="29" t="s">
        <v>1158</v>
      </c>
      <c r="BA621" s="9" t="s">
        <v>1159</v>
      </c>
      <c r="BC621" s="27">
        <f t="shared" si="163"/>
        <v>0</v>
      </c>
      <c r="BD621" s="27">
        <f t="shared" si="164"/>
        <v>0</v>
      </c>
      <c r="BE621" s="27">
        <v>0</v>
      </c>
      <c r="BF621" s="27">
        <f>621</f>
        <v>621</v>
      </c>
      <c r="BH621" s="27">
        <f t="shared" si="165"/>
        <v>0</v>
      </c>
      <c r="BI621" s="27">
        <f t="shared" si="166"/>
        <v>0</v>
      </c>
      <c r="BJ621" s="27">
        <f t="shared" si="167"/>
        <v>0</v>
      </c>
      <c r="BK621" s="27"/>
      <c r="BL621" s="27">
        <v>722</v>
      </c>
      <c r="BW621" s="27">
        <v>21</v>
      </c>
    </row>
    <row r="622" spans="1:75" ht="13.5" customHeight="1">
      <c r="A622" s="2" t="s">
        <v>1180</v>
      </c>
      <c r="B622" s="3" t="s">
        <v>1155</v>
      </c>
      <c r="C622" s="3" t="s">
        <v>760</v>
      </c>
      <c r="D622" s="148" t="s">
        <v>761</v>
      </c>
      <c r="E622" s="143"/>
      <c r="F622" s="3" t="s">
        <v>762</v>
      </c>
      <c r="G622" s="27">
        <v>1</v>
      </c>
      <c r="H622" s="27">
        <v>0</v>
      </c>
      <c r="I622" s="27">
        <f t="shared" si="144"/>
        <v>0</v>
      </c>
      <c r="J622" s="27">
        <f t="shared" si="145"/>
        <v>0</v>
      </c>
      <c r="K622" s="27">
        <f t="shared" si="146"/>
        <v>0</v>
      </c>
      <c r="L622" s="28" t="s">
        <v>52</v>
      </c>
      <c r="Z622" s="27">
        <f t="shared" si="147"/>
        <v>0</v>
      </c>
      <c r="AB622" s="27">
        <f t="shared" si="148"/>
        <v>0</v>
      </c>
      <c r="AC622" s="27">
        <f t="shared" si="149"/>
        <v>0</v>
      </c>
      <c r="AD622" s="27">
        <f t="shared" si="150"/>
        <v>0</v>
      </c>
      <c r="AE622" s="27">
        <f t="shared" si="151"/>
        <v>0</v>
      </c>
      <c r="AF622" s="27">
        <f t="shared" si="152"/>
        <v>0</v>
      </c>
      <c r="AG622" s="27">
        <f t="shared" si="153"/>
        <v>0</v>
      </c>
      <c r="AH622" s="27">
        <f t="shared" si="154"/>
        <v>0</v>
      </c>
      <c r="AI622" s="9" t="s">
        <v>1155</v>
      </c>
      <c r="AJ622" s="27">
        <f t="shared" si="155"/>
        <v>0</v>
      </c>
      <c r="AK622" s="27">
        <f t="shared" si="156"/>
        <v>0</v>
      </c>
      <c r="AL622" s="27">
        <f t="shared" si="157"/>
        <v>0</v>
      </c>
      <c r="AN622" s="27">
        <v>21</v>
      </c>
      <c r="AO622" s="27">
        <f t="shared" si="158"/>
        <v>0</v>
      </c>
      <c r="AP622" s="27">
        <f t="shared" si="159"/>
        <v>0</v>
      </c>
      <c r="AQ622" s="29" t="s">
        <v>84</v>
      </c>
      <c r="AV622" s="27">
        <f t="shared" si="160"/>
        <v>0</v>
      </c>
      <c r="AW622" s="27">
        <f t="shared" si="161"/>
        <v>0</v>
      </c>
      <c r="AX622" s="27">
        <f t="shared" si="162"/>
        <v>0</v>
      </c>
      <c r="AY622" s="29" t="s">
        <v>704</v>
      </c>
      <c r="AZ622" s="29" t="s">
        <v>1158</v>
      </c>
      <c r="BA622" s="9" t="s">
        <v>1159</v>
      </c>
      <c r="BC622" s="27">
        <f t="shared" si="163"/>
        <v>0</v>
      </c>
      <c r="BD622" s="27">
        <f t="shared" si="164"/>
        <v>0</v>
      </c>
      <c r="BE622" s="27">
        <v>0</v>
      </c>
      <c r="BF622" s="27">
        <f>622</f>
        <v>622</v>
      </c>
      <c r="BH622" s="27">
        <f t="shared" si="165"/>
        <v>0</v>
      </c>
      <c r="BI622" s="27">
        <f t="shared" si="166"/>
        <v>0</v>
      </c>
      <c r="BJ622" s="27">
        <f t="shared" si="167"/>
        <v>0</v>
      </c>
      <c r="BK622" s="27"/>
      <c r="BL622" s="27">
        <v>722</v>
      </c>
      <c r="BW622" s="27">
        <v>21</v>
      </c>
    </row>
    <row r="623" spans="1:75" ht="13.5" customHeight="1">
      <c r="A623" s="2" t="s">
        <v>1181</v>
      </c>
      <c r="B623" s="3" t="s">
        <v>1155</v>
      </c>
      <c r="C623" s="3" t="s">
        <v>764</v>
      </c>
      <c r="D623" s="148" t="s">
        <v>765</v>
      </c>
      <c r="E623" s="143"/>
      <c r="F623" s="3" t="s">
        <v>126</v>
      </c>
      <c r="G623" s="27">
        <v>6</v>
      </c>
      <c r="H623" s="27">
        <v>0</v>
      </c>
      <c r="I623" s="27">
        <f t="shared" si="144"/>
        <v>0</v>
      </c>
      <c r="J623" s="27">
        <f t="shared" si="145"/>
        <v>0</v>
      </c>
      <c r="K623" s="27">
        <f t="shared" si="146"/>
        <v>0</v>
      </c>
      <c r="L623" s="28" t="s">
        <v>52</v>
      </c>
      <c r="Z623" s="27">
        <f t="shared" si="147"/>
        <v>0</v>
      </c>
      <c r="AB623" s="27">
        <f t="shared" si="148"/>
        <v>0</v>
      </c>
      <c r="AC623" s="27">
        <f t="shared" si="149"/>
        <v>0</v>
      </c>
      <c r="AD623" s="27">
        <f t="shared" si="150"/>
        <v>0</v>
      </c>
      <c r="AE623" s="27">
        <f t="shared" si="151"/>
        <v>0</v>
      </c>
      <c r="AF623" s="27">
        <f t="shared" si="152"/>
        <v>0</v>
      </c>
      <c r="AG623" s="27">
        <f t="shared" si="153"/>
        <v>0</v>
      </c>
      <c r="AH623" s="27">
        <f t="shared" si="154"/>
        <v>0</v>
      </c>
      <c r="AI623" s="9" t="s">
        <v>1155</v>
      </c>
      <c r="AJ623" s="27">
        <f t="shared" si="155"/>
        <v>0</v>
      </c>
      <c r="AK623" s="27">
        <f t="shared" si="156"/>
        <v>0</v>
      </c>
      <c r="AL623" s="27">
        <f t="shared" si="157"/>
        <v>0</v>
      </c>
      <c r="AN623" s="27">
        <v>21</v>
      </c>
      <c r="AO623" s="27">
        <f t="shared" si="158"/>
        <v>0</v>
      </c>
      <c r="AP623" s="27">
        <f t="shared" si="159"/>
        <v>0</v>
      </c>
      <c r="AQ623" s="29" t="s">
        <v>84</v>
      </c>
      <c r="AV623" s="27">
        <f t="shared" si="160"/>
        <v>0</v>
      </c>
      <c r="AW623" s="27">
        <f t="shared" si="161"/>
        <v>0</v>
      </c>
      <c r="AX623" s="27">
        <f t="shared" si="162"/>
        <v>0</v>
      </c>
      <c r="AY623" s="29" t="s">
        <v>704</v>
      </c>
      <c r="AZ623" s="29" t="s">
        <v>1158</v>
      </c>
      <c r="BA623" s="9" t="s">
        <v>1159</v>
      </c>
      <c r="BC623" s="27">
        <f t="shared" si="163"/>
        <v>0</v>
      </c>
      <c r="BD623" s="27">
        <f t="shared" si="164"/>
        <v>0</v>
      </c>
      <c r="BE623" s="27">
        <v>0</v>
      </c>
      <c r="BF623" s="27">
        <f>623</f>
        <v>623</v>
      </c>
      <c r="BH623" s="27">
        <f t="shared" si="165"/>
        <v>0</v>
      </c>
      <c r="BI623" s="27">
        <f t="shared" si="166"/>
        <v>0</v>
      </c>
      <c r="BJ623" s="27">
        <f t="shared" si="167"/>
        <v>0</v>
      </c>
      <c r="BK623" s="27"/>
      <c r="BL623" s="27">
        <v>722</v>
      </c>
      <c r="BW623" s="27">
        <v>21</v>
      </c>
    </row>
    <row r="624" spans="1:75" ht="13.5" customHeight="1">
      <c r="A624" s="2" t="s">
        <v>1182</v>
      </c>
      <c r="B624" s="3" t="s">
        <v>1155</v>
      </c>
      <c r="C624" s="3" t="s">
        <v>770</v>
      </c>
      <c r="D624" s="148" t="s">
        <v>771</v>
      </c>
      <c r="E624" s="143"/>
      <c r="F624" s="3" t="s">
        <v>126</v>
      </c>
      <c r="G624" s="27">
        <v>6</v>
      </c>
      <c r="H624" s="27">
        <v>0</v>
      </c>
      <c r="I624" s="27">
        <f t="shared" si="144"/>
        <v>0</v>
      </c>
      <c r="J624" s="27">
        <f t="shared" si="145"/>
        <v>0</v>
      </c>
      <c r="K624" s="27">
        <f t="shared" si="146"/>
        <v>0</v>
      </c>
      <c r="L624" s="28" t="s">
        <v>52</v>
      </c>
      <c r="Z624" s="27">
        <f t="shared" si="147"/>
        <v>0</v>
      </c>
      <c r="AB624" s="27">
        <f t="shared" si="148"/>
        <v>0</v>
      </c>
      <c r="AC624" s="27">
        <f t="shared" si="149"/>
        <v>0</v>
      </c>
      <c r="AD624" s="27">
        <f t="shared" si="150"/>
        <v>0</v>
      </c>
      <c r="AE624" s="27">
        <f t="shared" si="151"/>
        <v>0</v>
      </c>
      <c r="AF624" s="27">
        <f t="shared" si="152"/>
        <v>0</v>
      </c>
      <c r="AG624" s="27">
        <f t="shared" si="153"/>
        <v>0</v>
      </c>
      <c r="AH624" s="27">
        <f t="shared" si="154"/>
        <v>0</v>
      </c>
      <c r="AI624" s="9" t="s">
        <v>1155</v>
      </c>
      <c r="AJ624" s="27">
        <f t="shared" si="155"/>
        <v>0</v>
      </c>
      <c r="AK624" s="27">
        <f t="shared" si="156"/>
        <v>0</v>
      </c>
      <c r="AL624" s="27">
        <f t="shared" si="157"/>
        <v>0</v>
      </c>
      <c r="AN624" s="27">
        <v>21</v>
      </c>
      <c r="AO624" s="27">
        <f t="shared" si="158"/>
        <v>0</v>
      </c>
      <c r="AP624" s="27">
        <f t="shared" si="159"/>
        <v>0</v>
      </c>
      <c r="AQ624" s="29" t="s">
        <v>84</v>
      </c>
      <c r="AV624" s="27">
        <f t="shared" si="160"/>
        <v>0</v>
      </c>
      <c r="AW624" s="27">
        <f t="shared" si="161"/>
        <v>0</v>
      </c>
      <c r="AX624" s="27">
        <f t="shared" si="162"/>
        <v>0</v>
      </c>
      <c r="AY624" s="29" t="s">
        <v>704</v>
      </c>
      <c r="AZ624" s="29" t="s">
        <v>1158</v>
      </c>
      <c r="BA624" s="9" t="s">
        <v>1159</v>
      </c>
      <c r="BC624" s="27">
        <f t="shared" si="163"/>
        <v>0</v>
      </c>
      <c r="BD624" s="27">
        <f t="shared" si="164"/>
        <v>0</v>
      </c>
      <c r="BE624" s="27">
        <v>0</v>
      </c>
      <c r="BF624" s="27">
        <f>624</f>
        <v>624</v>
      </c>
      <c r="BH624" s="27">
        <f t="shared" si="165"/>
        <v>0</v>
      </c>
      <c r="BI624" s="27">
        <f t="shared" si="166"/>
        <v>0</v>
      </c>
      <c r="BJ624" s="27">
        <f t="shared" si="167"/>
        <v>0</v>
      </c>
      <c r="BK624" s="27"/>
      <c r="BL624" s="27">
        <v>722</v>
      </c>
      <c r="BW624" s="27">
        <v>21</v>
      </c>
    </row>
    <row r="625" spans="1:75" ht="13.5" customHeight="1">
      <c r="A625" s="2" t="s">
        <v>1183</v>
      </c>
      <c r="B625" s="3" t="s">
        <v>1155</v>
      </c>
      <c r="C625" s="3" t="s">
        <v>773</v>
      </c>
      <c r="D625" s="148" t="s">
        <v>774</v>
      </c>
      <c r="E625" s="143"/>
      <c r="F625" s="3" t="s">
        <v>546</v>
      </c>
      <c r="G625" s="27">
        <v>1</v>
      </c>
      <c r="H625" s="27">
        <v>0</v>
      </c>
      <c r="I625" s="27">
        <f t="shared" si="144"/>
        <v>0</v>
      </c>
      <c r="J625" s="27">
        <f t="shared" si="145"/>
        <v>0</v>
      </c>
      <c r="K625" s="27">
        <f t="shared" si="146"/>
        <v>0</v>
      </c>
      <c r="L625" s="28" t="s">
        <v>52</v>
      </c>
      <c r="Z625" s="27">
        <f t="shared" si="147"/>
        <v>0</v>
      </c>
      <c r="AB625" s="27">
        <f t="shared" si="148"/>
        <v>0</v>
      </c>
      <c r="AC625" s="27">
        <f t="shared" si="149"/>
        <v>0</v>
      </c>
      <c r="AD625" s="27">
        <f t="shared" si="150"/>
        <v>0</v>
      </c>
      <c r="AE625" s="27">
        <f t="shared" si="151"/>
        <v>0</v>
      </c>
      <c r="AF625" s="27">
        <f t="shared" si="152"/>
        <v>0</v>
      </c>
      <c r="AG625" s="27">
        <f t="shared" si="153"/>
        <v>0</v>
      </c>
      <c r="AH625" s="27">
        <f t="shared" si="154"/>
        <v>0</v>
      </c>
      <c r="AI625" s="9" t="s">
        <v>1155</v>
      </c>
      <c r="AJ625" s="27">
        <f t="shared" si="155"/>
        <v>0</v>
      </c>
      <c r="AK625" s="27">
        <f t="shared" si="156"/>
        <v>0</v>
      </c>
      <c r="AL625" s="27">
        <f t="shared" si="157"/>
        <v>0</v>
      </c>
      <c r="AN625" s="27">
        <v>21</v>
      </c>
      <c r="AO625" s="27">
        <f t="shared" si="158"/>
        <v>0</v>
      </c>
      <c r="AP625" s="27">
        <f t="shared" si="159"/>
        <v>0</v>
      </c>
      <c r="AQ625" s="29" t="s">
        <v>84</v>
      </c>
      <c r="AV625" s="27">
        <f t="shared" si="160"/>
        <v>0</v>
      </c>
      <c r="AW625" s="27">
        <f t="shared" si="161"/>
        <v>0</v>
      </c>
      <c r="AX625" s="27">
        <f t="shared" si="162"/>
        <v>0</v>
      </c>
      <c r="AY625" s="29" t="s">
        <v>704</v>
      </c>
      <c r="AZ625" s="29" t="s">
        <v>1158</v>
      </c>
      <c r="BA625" s="9" t="s">
        <v>1159</v>
      </c>
      <c r="BC625" s="27">
        <f t="shared" si="163"/>
        <v>0</v>
      </c>
      <c r="BD625" s="27">
        <f t="shared" si="164"/>
        <v>0</v>
      </c>
      <c r="BE625" s="27">
        <v>0</v>
      </c>
      <c r="BF625" s="27">
        <f>625</f>
        <v>625</v>
      </c>
      <c r="BH625" s="27">
        <f t="shared" si="165"/>
        <v>0</v>
      </c>
      <c r="BI625" s="27">
        <f t="shared" si="166"/>
        <v>0</v>
      </c>
      <c r="BJ625" s="27">
        <f t="shared" si="167"/>
        <v>0</v>
      </c>
      <c r="BK625" s="27"/>
      <c r="BL625" s="27">
        <v>722</v>
      </c>
      <c r="BW625" s="27">
        <v>21</v>
      </c>
    </row>
    <row r="626" spans="1:75" ht="13.5" customHeight="1">
      <c r="A626" s="2" t="s">
        <v>1184</v>
      </c>
      <c r="B626" s="3" t="s">
        <v>1155</v>
      </c>
      <c r="C626" s="3" t="s">
        <v>776</v>
      </c>
      <c r="D626" s="148" t="s">
        <v>777</v>
      </c>
      <c r="E626" s="143"/>
      <c r="F626" s="3" t="s">
        <v>546</v>
      </c>
      <c r="G626" s="27">
        <v>1</v>
      </c>
      <c r="H626" s="27">
        <v>0</v>
      </c>
      <c r="I626" s="27">
        <f t="shared" si="144"/>
        <v>0</v>
      </c>
      <c r="J626" s="27">
        <f t="shared" si="145"/>
        <v>0</v>
      </c>
      <c r="K626" s="27">
        <f t="shared" si="146"/>
        <v>0</v>
      </c>
      <c r="L626" s="28" t="s">
        <v>52</v>
      </c>
      <c r="Z626" s="27">
        <f t="shared" si="147"/>
        <v>0</v>
      </c>
      <c r="AB626" s="27">
        <f t="shared" si="148"/>
        <v>0</v>
      </c>
      <c r="AC626" s="27">
        <f t="shared" si="149"/>
        <v>0</v>
      </c>
      <c r="AD626" s="27">
        <f t="shared" si="150"/>
        <v>0</v>
      </c>
      <c r="AE626" s="27">
        <f t="shared" si="151"/>
        <v>0</v>
      </c>
      <c r="AF626" s="27">
        <f t="shared" si="152"/>
        <v>0</v>
      </c>
      <c r="AG626" s="27">
        <f t="shared" si="153"/>
        <v>0</v>
      </c>
      <c r="AH626" s="27">
        <f t="shared" si="154"/>
        <v>0</v>
      </c>
      <c r="AI626" s="9" t="s">
        <v>1155</v>
      </c>
      <c r="AJ626" s="27">
        <f t="shared" si="155"/>
        <v>0</v>
      </c>
      <c r="AK626" s="27">
        <f t="shared" si="156"/>
        <v>0</v>
      </c>
      <c r="AL626" s="27">
        <f t="shared" si="157"/>
        <v>0</v>
      </c>
      <c r="AN626" s="27">
        <v>21</v>
      </c>
      <c r="AO626" s="27">
        <f t="shared" si="158"/>
        <v>0</v>
      </c>
      <c r="AP626" s="27">
        <f t="shared" si="159"/>
        <v>0</v>
      </c>
      <c r="AQ626" s="29" t="s">
        <v>84</v>
      </c>
      <c r="AV626" s="27">
        <f t="shared" si="160"/>
        <v>0</v>
      </c>
      <c r="AW626" s="27">
        <f t="shared" si="161"/>
        <v>0</v>
      </c>
      <c r="AX626" s="27">
        <f t="shared" si="162"/>
        <v>0</v>
      </c>
      <c r="AY626" s="29" t="s">
        <v>704</v>
      </c>
      <c r="AZ626" s="29" t="s">
        <v>1158</v>
      </c>
      <c r="BA626" s="9" t="s">
        <v>1159</v>
      </c>
      <c r="BC626" s="27">
        <f t="shared" si="163"/>
        <v>0</v>
      </c>
      <c r="BD626" s="27">
        <f t="shared" si="164"/>
        <v>0</v>
      </c>
      <c r="BE626" s="27">
        <v>0</v>
      </c>
      <c r="BF626" s="27">
        <f>626</f>
        <v>626</v>
      </c>
      <c r="BH626" s="27">
        <f t="shared" si="165"/>
        <v>0</v>
      </c>
      <c r="BI626" s="27">
        <f t="shared" si="166"/>
        <v>0</v>
      </c>
      <c r="BJ626" s="27">
        <f t="shared" si="167"/>
        <v>0</v>
      </c>
      <c r="BK626" s="27"/>
      <c r="BL626" s="27">
        <v>722</v>
      </c>
      <c r="BW626" s="27">
        <v>21</v>
      </c>
    </row>
    <row r="627" spans="1:47" ht="15">
      <c r="A627" s="23" t="s">
        <v>52</v>
      </c>
      <c r="B627" s="24" t="s">
        <v>1155</v>
      </c>
      <c r="C627" s="24" t="s">
        <v>209</v>
      </c>
      <c r="D627" s="164" t="s">
        <v>210</v>
      </c>
      <c r="E627" s="165"/>
      <c r="F627" s="25" t="s">
        <v>4</v>
      </c>
      <c r="G627" s="25" t="s">
        <v>4</v>
      </c>
      <c r="H627" s="25" t="s">
        <v>4</v>
      </c>
      <c r="I627" s="1">
        <f>SUM(I628:I639)</f>
        <v>0</v>
      </c>
      <c r="J627" s="1">
        <f>SUM(J628:J639)</f>
        <v>0</v>
      </c>
      <c r="K627" s="1">
        <f>SUM(K628:K639)</f>
        <v>0</v>
      </c>
      <c r="L627" s="26" t="s">
        <v>52</v>
      </c>
      <c r="AI627" s="9" t="s">
        <v>1155</v>
      </c>
      <c r="AS627" s="1">
        <f>SUM(AJ628:AJ639)</f>
        <v>0</v>
      </c>
      <c r="AT627" s="1">
        <f>SUM(AK628:AK639)</f>
        <v>0</v>
      </c>
      <c r="AU627" s="1">
        <f>SUM(AL628:AL639)</f>
        <v>0</v>
      </c>
    </row>
    <row r="628" spans="1:75" ht="13.5" customHeight="1">
      <c r="A628" s="2" t="s">
        <v>1185</v>
      </c>
      <c r="B628" s="3" t="s">
        <v>1155</v>
      </c>
      <c r="C628" s="3" t="s">
        <v>782</v>
      </c>
      <c r="D628" s="148" t="s">
        <v>783</v>
      </c>
      <c r="E628" s="143"/>
      <c r="F628" s="3" t="s">
        <v>224</v>
      </c>
      <c r="G628" s="27">
        <v>1</v>
      </c>
      <c r="H628" s="27">
        <v>0</v>
      </c>
      <c r="I628" s="27">
        <f aca="true" t="shared" si="168" ref="I628:I639">G628*AO628</f>
        <v>0</v>
      </c>
      <c r="J628" s="27">
        <f aca="true" t="shared" si="169" ref="J628:J639">G628*AP628</f>
        <v>0</v>
      </c>
      <c r="K628" s="27">
        <f aca="true" t="shared" si="170" ref="K628:K639">G628*H628</f>
        <v>0</v>
      </c>
      <c r="L628" s="28" t="s">
        <v>52</v>
      </c>
      <c r="Z628" s="27">
        <f aca="true" t="shared" si="171" ref="Z628:Z639">IF(AQ628="5",BJ628,0)</f>
        <v>0</v>
      </c>
      <c r="AB628" s="27">
        <f aca="true" t="shared" si="172" ref="AB628:AB639">IF(AQ628="1",BH628,0)</f>
        <v>0</v>
      </c>
      <c r="AC628" s="27">
        <f aca="true" t="shared" si="173" ref="AC628:AC639">IF(AQ628="1",BI628,0)</f>
        <v>0</v>
      </c>
      <c r="AD628" s="27">
        <f aca="true" t="shared" si="174" ref="AD628:AD639">IF(AQ628="7",BH628,0)</f>
        <v>0</v>
      </c>
      <c r="AE628" s="27">
        <f aca="true" t="shared" si="175" ref="AE628:AE639">IF(AQ628="7",BI628,0)</f>
        <v>0</v>
      </c>
      <c r="AF628" s="27">
        <f aca="true" t="shared" si="176" ref="AF628:AF639">IF(AQ628="2",BH628,0)</f>
        <v>0</v>
      </c>
      <c r="AG628" s="27">
        <f aca="true" t="shared" si="177" ref="AG628:AG639">IF(AQ628="2",BI628,0)</f>
        <v>0</v>
      </c>
      <c r="AH628" s="27">
        <f aca="true" t="shared" si="178" ref="AH628:AH639">IF(AQ628="0",BJ628,0)</f>
        <v>0</v>
      </c>
      <c r="AI628" s="9" t="s">
        <v>1155</v>
      </c>
      <c r="AJ628" s="27">
        <f aca="true" t="shared" si="179" ref="AJ628:AJ639">IF(AN628=0,K628,0)</f>
        <v>0</v>
      </c>
      <c r="AK628" s="27">
        <f aca="true" t="shared" si="180" ref="AK628:AK639">IF(AN628=12,K628,0)</f>
        <v>0</v>
      </c>
      <c r="AL628" s="27">
        <f aca="true" t="shared" si="181" ref="AL628:AL639">IF(AN628=21,K628,0)</f>
        <v>0</v>
      </c>
      <c r="AN628" s="27">
        <v>21</v>
      </c>
      <c r="AO628" s="27">
        <f aca="true" t="shared" si="182" ref="AO628:AO639">H628*0</f>
        <v>0</v>
      </c>
      <c r="AP628" s="27">
        <f aca="true" t="shared" si="183" ref="AP628:AP639">H628*(1-0)</f>
        <v>0</v>
      </c>
      <c r="AQ628" s="29" t="s">
        <v>84</v>
      </c>
      <c r="AV628" s="27">
        <f aca="true" t="shared" si="184" ref="AV628:AV639">AW628+AX628</f>
        <v>0</v>
      </c>
      <c r="AW628" s="27">
        <f aca="true" t="shared" si="185" ref="AW628:AW639">G628*AO628</f>
        <v>0</v>
      </c>
      <c r="AX628" s="27">
        <f aca="true" t="shared" si="186" ref="AX628:AX639">G628*AP628</f>
        <v>0</v>
      </c>
      <c r="AY628" s="29" t="s">
        <v>214</v>
      </c>
      <c r="AZ628" s="29" t="s">
        <v>1158</v>
      </c>
      <c r="BA628" s="9" t="s">
        <v>1159</v>
      </c>
      <c r="BC628" s="27">
        <f aca="true" t="shared" si="187" ref="BC628:BC639">AW628+AX628</f>
        <v>0</v>
      </c>
      <c r="BD628" s="27">
        <f aca="true" t="shared" si="188" ref="BD628:BD639">H628/(100-BE628)*100</f>
        <v>0</v>
      </c>
      <c r="BE628" s="27">
        <v>0</v>
      </c>
      <c r="BF628" s="27">
        <f>628</f>
        <v>628</v>
      </c>
      <c r="BH628" s="27">
        <f aca="true" t="shared" si="189" ref="BH628:BH639">G628*AO628</f>
        <v>0</v>
      </c>
      <c r="BI628" s="27">
        <f aca="true" t="shared" si="190" ref="BI628:BI639">G628*AP628</f>
        <v>0</v>
      </c>
      <c r="BJ628" s="27">
        <f aca="true" t="shared" si="191" ref="BJ628:BJ639">G628*H628</f>
        <v>0</v>
      </c>
      <c r="BK628" s="27"/>
      <c r="BL628" s="27">
        <v>725</v>
      </c>
      <c r="BW628" s="27">
        <v>21</v>
      </c>
    </row>
    <row r="629" spans="1:75" ht="13.5" customHeight="1">
      <c r="A629" s="2" t="s">
        <v>1186</v>
      </c>
      <c r="B629" s="3" t="s">
        <v>1155</v>
      </c>
      <c r="C629" s="3" t="s">
        <v>785</v>
      </c>
      <c r="D629" s="148" t="s">
        <v>786</v>
      </c>
      <c r="E629" s="143"/>
      <c r="F629" s="3" t="s">
        <v>224</v>
      </c>
      <c r="G629" s="27">
        <v>1</v>
      </c>
      <c r="H629" s="27">
        <v>0</v>
      </c>
      <c r="I629" s="27">
        <f t="shared" si="168"/>
        <v>0</v>
      </c>
      <c r="J629" s="27">
        <f t="shared" si="169"/>
        <v>0</v>
      </c>
      <c r="K629" s="27">
        <f t="shared" si="170"/>
        <v>0</v>
      </c>
      <c r="L629" s="28" t="s">
        <v>52</v>
      </c>
      <c r="Z629" s="27">
        <f t="shared" si="171"/>
        <v>0</v>
      </c>
      <c r="AB629" s="27">
        <f t="shared" si="172"/>
        <v>0</v>
      </c>
      <c r="AC629" s="27">
        <f t="shared" si="173"/>
        <v>0</v>
      </c>
      <c r="AD629" s="27">
        <f t="shared" si="174"/>
        <v>0</v>
      </c>
      <c r="AE629" s="27">
        <f t="shared" si="175"/>
        <v>0</v>
      </c>
      <c r="AF629" s="27">
        <f t="shared" si="176"/>
        <v>0</v>
      </c>
      <c r="AG629" s="27">
        <f t="shared" si="177"/>
        <v>0</v>
      </c>
      <c r="AH629" s="27">
        <f t="shared" si="178"/>
        <v>0</v>
      </c>
      <c r="AI629" s="9" t="s">
        <v>1155</v>
      </c>
      <c r="AJ629" s="27">
        <f t="shared" si="179"/>
        <v>0</v>
      </c>
      <c r="AK629" s="27">
        <f t="shared" si="180"/>
        <v>0</v>
      </c>
      <c r="AL629" s="27">
        <f t="shared" si="181"/>
        <v>0</v>
      </c>
      <c r="AN629" s="27">
        <v>21</v>
      </c>
      <c r="AO629" s="27">
        <f t="shared" si="182"/>
        <v>0</v>
      </c>
      <c r="AP629" s="27">
        <f t="shared" si="183"/>
        <v>0</v>
      </c>
      <c r="AQ629" s="29" t="s">
        <v>84</v>
      </c>
      <c r="AV629" s="27">
        <f t="shared" si="184"/>
        <v>0</v>
      </c>
      <c r="AW629" s="27">
        <f t="shared" si="185"/>
        <v>0</v>
      </c>
      <c r="AX629" s="27">
        <f t="shared" si="186"/>
        <v>0</v>
      </c>
      <c r="AY629" s="29" t="s">
        <v>214</v>
      </c>
      <c r="AZ629" s="29" t="s">
        <v>1158</v>
      </c>
      <c r="BA629" s="9" t="s">
        <v>1159</v>
      </c>
      <c r="BC629" s="27">
        <f t="shared" si="187"/>
        <v>0</v>
      </c>
      <c r="BD629" s="27">
        <f t="shared" si="188"/>
        <v>0</v>
      </c>
      <c r="BE629" s="27">
        <v>0</v>
      </c>
      <c r="BF629" s="27">
        <f>629</f>
        <v>629</v>
      </c>
      <c r="BH629" s="27">
        <f t="shared" si="189"/>
        <v>0</v>
      </c>
      <c r="BI629" s="27">
        <f t="shared" si="190"/>
        <v>0</v>
      </c>
      <c r="BJ629" s="27">
        <f t="shared" si="191"/>
        <v>0</v>
      </c>
      <c r="BK629" s="27"/>
      <c r="BL629" s="27">
        <v>725</v>
      </c>
      <c r="BW629" s="27">
        <v>21</v>
      </c>
    </row>
    <row r="630" spans="1:75" ht="13.5" customHeight="1">
      <c r="A630" s="2" t="s">
        <v>1187</v>
      </c>
      <c r="B630" s="3" t="s">
        <v>1155</v>
      </c>
      <c r="C630" s="3" t="s">
        <v>788</v>
      </c>
      <c r="D630" s="148" t="s">
        <v>789</v>
      </c>
      <c r="E630" s="143"/>
      <c r="F630" s="3" t="s">
        <v>154</v>
      </c>
      <c r="G630" s="27">
        <v>1</v>
      </c>
      <c r="H630" s="27">
        <v>0</v>
      </c>
      <c r="I630" s="27">
        <f t="shared" si="168"/>
        <v>0</v>
      </c>
      <c r="J630" s="27">
        <f t="shared" si="169"/>
        <v>0</v>
      </c>
      <c r="K630" s="27">
        <f t="shared" si="170"/>
        <v>0</v>
      </c>
      <c r="L630" s="28" t="s">
        <v>52</v>
      </c>
      <c r="Z630" s="27">
        <f t="shared" si="171"/>
        <v>0</v>
      </c>
      <c r="AB630" s="27">
        <f t="shared" si="172"/>
        <v>0</v>
      </c>
      <c r="AC630" s="27">
        <f t="shared" si="173"/>
        <v>0</v>
      </c>
      <c r="AD630" s="27">
        <f t="shared" si="174"/>
        <v>0</v>
      </c>
      <c r="AE630" s="27">
        <f t="shared" si="175"/>
        <v>0</v>
      </c>
      <c r="AF630" s="27">
        <f t="shared" si="176"/>
        <v>0</v>
      </c>
      <c r="AG630" s="27">
        <f t="shared" si="177"/>
        <v>0</v>
      </c>
      <c r="AH630" s="27">
        <f t="shared" si="178"/>
        <v>0</v>
      </c>
      <c r="AI630" s="9" t="s">
        <v>1155</v>
      </c>
      <c r="AJ630" s="27">
        <f t="shared" si="179"/>
        <v>0</v>
      </c>
      <c r="AK630" s="27">
        <f t="shared" si="180"/>
        <v>0</v>
      </c>
      <c r="AL630" s="27">
        <f t="shared" si="181"/>
        <v>0</v>
      </c>
      <c r="AN630" s="27">
        <v>21</v>
      </c>
      <c r="AO630" s="27">
        <f t="shared" si="182"/>
        <v>0</v>
      </c>
      <c r="AP630" s="27">
        <f t="shared" si="183"/>
        <v>0</v>
      </c>
      <c r="AQ630" s="29" t="s">
        <v>84</v>
      </c>
      <c r="AV630" s="27">
        <f t="shared" si="184"/>
        <v>0</v>
      </c>
      <c r="AW630" s="27">
        <f t="shared" si="185"/>
        <v>0</v>
      </c>
      <c r="AX630" s="27">
        <f t="shared" si="186"/>
        <v>0</v>
      </c>
      <c r="AY630" s="29" t="s">
        <v>214</v>
      </c>
      <c r="AZ630" s="29" t="s">
        <v>1158</v>
      </c>
      <c r="BA630" s="9" t="s">
        <v>1159</v>
      </c>
      <c r="BC630" s="27">
        <f t="shared" si="187"/>
        <v>0</v>
      </c>
      <c r="BD630" s="27">
        <f t="shared" si="188"/>
        <v>0</v>
      </c>
      <c r="BE630" s="27">
        <v>0</v>
      </c>
      <c r="BF630" s="27">
        <f>630</f>
        <v>630</v>
      </c>
      <c r="BH630" s="27">
        <f t="shared" si="189"/>
        <v>0</v>
      </c>
      <c r="BI630" s="27">
        <f t="shared" si="190"/>
        <v>0</v>
      </c>
      <c r="BJ630" s="27">
        <f t="shared" si="191"/>
        <v>0</v>
      </c>
      <c r="BK630" s="27"/>
      <c r="BL630" s="27">
        <v>725</v>
      </c>
      <c r="BW630" s="27">
        <v>21</v>
      </c>
    </row>
    <row r="631" spans="1:75" ht="13.5" customHeight="1">
      <c r="A631" s="2" t="s">
        <v>1188</v>
      </c>
      <c r="B631" s="3" t="s">
        <v>1155</v>
      </c>
      <c r="C631" s="3" t="s">
        <v>791</v>
      </c>
      <c r="D631" s="148" t="s">
        <v>792</v>
      </c>
      <c r="E631" s="143"/>
      <c r="F631" s="3" t="s">
        <v>154</v>
      </c>
      <c r="G631" s="27">
        <v>2</v>
      </c>
      <c r="H631" s="27">
        <v>0</v>
      </c>
      <c r="I631" s="27">
        <f t="shared" si="168"/>
        <v>0</v>
      </c>
      <c r="J631" s="27">
        <f t="shared" si="169"/>
        <v>0</v>
      </c>
      <c r="K631" s="27">
        <f t="shared" si="170"/>
        <v>0</v>
      </c>
      <c r="L631" s="28" t="s">
        <v>52</v>
      </c>
      <c r="Z631" s="27">
        <f t="shared" si="171"/>
        <v>0</v>
      </c>
      <c r="AB631" s="27">
        <f t="shared" si="172"/>
        <v>0</v>
      </c>
      <c r="AC631" s="27">
        <f t="shared" si="173"/>
        <v>0</v>
      </c>
      <c r="AD631" s="27">
        <f t="shared" si="174"/>
        <v>0</v>
      </c>
      <c r="AE631" s="27">
        <f t="shared" si="175"/>
        <v>0</v>
      </c>
      <c r="AF631" s="27">
        <f t="shared" si="176"/>
        <v>0</v>
      </c>
      <c r="AG631" s="27">
        <f t="shared" si="177"/>
        <v>0</v>
      </c>
      <c r="AH631" s="27">
        <f t="shared" si="178"/>
        <v>0</v>
      </c>
      <c r="AI631" s="9" t="s">
        <v>1155</v>
      </c>
      <c r="AJ631" s="27">
        <f t="shared" si="179"/>
        <v>0</v>
      </c>
      <c r="AK631" s="27">
        <f t="shared" si="180"/>
        <v>0</v>
      </c>
      <c r="AL631" s="27">
        <f t="shared" si="181"/>
        <v>0</v>
      </c>
      <c r="AN631" s="27">
        <v>21</v>
      </c>
      <c r="AO631" s="27">
        <f t="shared" si="182"/>
        <v>0</v>
      </c>
      <c r="AP631" s="27">
        <f t="shared" si="183"/>
        <v>0</v>
      </c>
      <c r="AQ631" s="29" t="s">
        <v>84</v>
      </c>
      <c r="AV631" s="27">
        <f t="shared" si="184"/>
        <v>0</v>
      </c>
      <c r="AW631" s="27">
        <f t="shared" si="185"/>
        <v>0</v>
      </c>
      <c r="AX631" s="27">
        <f t="shared" si="186"/>
        <v>0</v>
      </c>
      <c r="AY631" s="29" t="s">
        <v>214</v>
      </c>
      <c r="AZ631" s="29" t="s">
        <v>1158</v>
      </c>
      <c r="BA631" s="9" t="s">
        <v>1159</v>
      </c>
      <c r="BC631" s="27">
        <f t="shared" si="187"/>
        <v>0</v>
      </c>
      <c r="BD631" s="27">
        <f t="shared" si="188"/>
        <v>0</v>
      </c>
      <c r="BE631" s="27">
        <v>0</v>
      </c>
      <c r="BF631" s="27">
        <f>631</f>
        <v>631</v>
      </c>
      <c r="BH631" s="27">
        <f t="shared" si="189"/>
        <v>0</v>
      </c>
      <c r="BI631" s="27">
        <f t="shared" si="190"/>
        <v>0</v>
      </c>
      <c r="BJ631" s="27">
        <f t="shared" si="191"/>
        <v>0</v>
      </c>
      <c r="BK631" s="27"/>
      <c r="BL631" s="27">
        <v>725</v>
      </c>
      <c r="BW631" s="27">
        <v>21</v>
      </c>
    </row>
    <row r="632" spans="1:75" ht="13.5" customHeight="1">
      <c r="A632" s="2" t="s">
        <v>1189</v>
      </c>
      <c r="B632" s="3" t="s">
        <v>1155</v>
      </c>
      <c r="C632" s="3" t="s">
        <v>1190</v>
      </c>
      <c r="D632" s="148" t="s">
        <v>1191</v>
      </c>
      <c r="E632" s="143"/>
      <c r="F632" s="3" t="s">
        <v>224</v>
      </c>
      <c r="G632" s="27">
        <v>3</v>
      </c>
      <c r="H632" s="27">
        <v>0</v>
      </c>
      <c r="I632" s="27">
        <f t="shared" si="168"/>
        <v>0</v>
      </c>
      <c r="J632" s="27">
        <f t="shared" si="169"/>
        <v>0</v>
      </c>
      <c r="K632" s="27">
        <f t="shared" si="170"/>
        <v>0</v>
      </c>
      <c r="L632" s="28" t="s">
        <v>52</v>
      </c>
      <c r="Z632" s="27">
        <f t="shared" si="171"/>
        <v>0</v>
      </c>
      <c r="AB632" s="27">
        <f t="shared" si="172"/>
        <v>0</v>
      </c>
      <c r="AC632" s="27">
        <f t="shared" si="173"/>
        <v>0</v>
      </c>
      <c r="AD632" s="27">
        <f t="shared" si="174"/>
        <v>0</v>
      </c>
      <c r="AE632" s="27">
        <f t="shared" si="175"/>
        <v>0</v>
      </c>
      <c r="AF632" s="27">
        <f t="shared" si="176"/>
        <v>0</v>
      </c>
      <c r="AG632" s="27">
        <f t="shared" si="177"/>
        <v>0</v>
      </c>
      <c r="AH632" s="27">
        <f t="shared" si="178"/>
        <v>0</v>
      </c>
      <c r="AI632" s="9" t="s">
        <v>1155</v>
      </c>
      <c r="AJ632" s="27">
        <f t="shared" si="179"/>
        <v>0</v>
      </c>
      <c r="AK632" s="27">
        <f t="shared" si="180"/>
        <v>0</v>
      </c>
      <c r="AL632" s="27">
        <f t="shared" si="181"/>
        <v>0</v>
      </c>
      <c r="AN632" s="27">
        <v>21</v>
      </c>
      <c r="AO632" s="27">
        <f t="shared" si="182"/>
        <v>0</v>
      </c>
      <c r="AP632" s="27">
        <f t="shared" si="183"/>
        <v>0</v>
      </c>
      <c r="AQ632" s="29" t="s">
        <v>84</v>
      </c>
      <c r="AV632" s="27">
        <f t="shared" si="184"/>
        <v>0</v>
      </c>
      <c r="AW632" s="27">
        <f t="shared" si="185"/>
        <v>0</v>
      </c>
      <c r="AX632" s="27">
        <f t="shared" si="186"/>
        <v>0</v>
      </c>
      <c r="AY632" s="29" t="s">
        <v>214</v>
      </c>
      <c r="AZ632" s="29" t="s">
        <v>1158</v>
      </c>
      <c r="BA632" s="9" t="s">
        <v>1159</v>
      </c>
      <c r="BC632" s="27">
        <f t="shared" si="187"/>
        <v>0</v>
      </c>
      <c r="BD632" s="27">
        <f t="shared" si="188"/>
        <v>0</v>
      </c>
      <c r="BE632" s="27">
        <v>0</v>
      </c>
      <c r="BF632" s="27">
        <f>632</f>
        <v>632</v>
      </c>
      <c r="BH632" s="27">
        <f t="shared" si="189"/>
        <v>0</v>
      </c>
      <c r="BI632" s="27">
        <f t="shared" si="190"/>
        <v>0</v>
      </c>
      <c r="BJ632" s="27">
        <f t="shared" si="191"/>
        <v>0</v>
      </c>
      <c r="BK632" s="27"/>
      <c r="BL632" s="27">
        <v>725</v>
      </c>
      <c r="BW632" s="27">
        <v>21</v>
      </c>
    </row>
    <row r="633" spans="1:75" ht="13.5" customHeight="1">
      <c r="A633" s="2" t="s">
        <v>1192</v>
      </c>
      <c r="B633" s="3" t="s">
        <v>1155</v>
      </c>
      <c r="C633" s="3" t="s">
        <v>1193</v>
      </c>
      <c r="D633" s="148" t="s">
        <v>1194</v>
      </c>
      <c r="E633" s="143"/>
      <c r="F633" s="3" t="s">
        <v>224</v>
      </c>
      <c r="G633" s="27">
        <v>1</v>
      </c>
      <c r="H633" s="27">
        <v>0</v>
      </c>
      <c r="I633" s="27">
        <f t="shared" si="168"/>
        <v>0</v>
      </c>
      <c r="J633" s="27">
        <f t="shared" si="169"/>
        <v>0</v>
      </c>
      <c r="K633" s="27">
        <f t="shared" si="170"/>
        <v>0</v>
      </c>
      <c r="L633" s="28" t="s">
        <v>52</v>
      </c>
      <c r="Z633" s="27">
        <f t="shared" si="171"/>
        <v>0</v>
      </c>
      <c r="AB633" s="27">
        <f t="shared" si="172"/>
        <v>0</v>
      </c>
      <c r="AC633" s="27">
        <f t="shared" si="173"/>
        <v>0</v>
      </c>
      <c r="AD633" s="27">
        <f t="shared" si="174"/>
        <v>0</v>
      </c>
      <c r="AE633" s="27">
        <f t="shared" si="175"/>
        <v>0</v>
      </c>
      <c r="AF633" s="27">
        <f t="shared" si="176"/>
        <v>0</v>
      </c>
      <c r="AG633" s="27">
        <f t="shared" si="177"/>
        <v>0</v>
      </c>
      <c r="AH633" s="27">
        <f t="shared" si="178"/>
        <v>0</v>
      </c>
      <c r="AI633" s="9" t="s">
        <v>1155</v>
      </c>
      <c r="AJ633" s="27">
        <f t="shared" si="179"/>
        <v>0</v>
      </c>
      <c r="AK633" s="27">
        <f t="shared" si="180"/>
        <v>0</v>
      </c>
      <c r="AL633" s="27">
        <f t="shared" si="181"/>
        <v>0</v>
      </c>
      <c r="AN633" s="27">
        <v>21</v>
      </c>
      <c r="AO633" s="27">
        <f t="shared" si="182"/>
        <v>0</v>
      </c>
      <c r="AP633" s="27">
        <f t="shared" si="183"/>
        <v>0</v>
      </c>
      <c r="AQ633" s="29" t="s">
        <v>84</v>
      </c>
      <c r="AV633" s="27">
        <f t="shared" si="184"/>
        <v>0</v>
      </c>
      <c r="AW633" s="27">
        <f t="shared" si="185"/>
        <v>0</v>
      </c>
      <c r="AX633" s="27">
        <f t="shared" si="186"/>
        <v>0</v>
      </c>
      <c r="AY633" s="29" t="s">
        <v>214</v>
      </c>
      <c r="AZ633" s="29" t="s">
        <v>1158</v>
      </c>
      <c r="BA633" s="9" t="s">
        <v>1159</v>
      </c>
      <c r="BC633" s="27">
        <f t="shared" si="187"/>
        <v>0</v>
      </c>
      <c r="BD633" s="27">
        <f t="shared" si="188"/>
        <v>0</v>
      </c>
      <c r="BE633" s="27">
        <v>0</v>
      </c>
      <c r="BF633" s="27">
        <f>633</f>
        <v>633</v>
      </c>
      <c r="BH633" s="27">
        <f t="shared" si="189"/>
        <v>0</v>
      </c>
      <c r="BI633" s="27">
        <f t="shared" si="190"/>
        <v>0</v>
      </c>
      <c r="BJ633" s="27">
        <f t="shared" si="191"/>
        <v>0</v>
      </c>
      <c r="BK633" s="27"/>
      <c r="BL633" s="27">
        <v>725</v>
      </c>
      <c r="BW633" s="27">
        <v>21</v>
      </c>
    </row>
    <row r="634" spans="1:75" ht="13.5" customHeight="1">
      <c r="A634" s="2" t="s">
        <v>1195</v>
      </c>
      <c r="B634" s="3" t="s">
        <v>1155</v>
      </c>
      <c r="C634" s="3" t="s">
        <v>833</v>
      </c>
      <c r="D634" s="148" t="s">
        <v>834</v>
      </c>
      <c r="E634" s="143"/>
      <c r="F634" s="3" t="s">
        <v>224</v>
      </c>
      <c r="G634" s="27">
        <v>2</v>
      </c>
      <c r="H634" s="27">
        <v>0</v>
      </c>
      <c r="I634" s="27">
        <f t="shared" si="168"/>
        <v>0</v>
      </c>
      <c r="J634" s="27">
        <f t="shared" si="169"/>
        <v>0</v>
      </c>
      <c r="K634" s="27">
        <f t="shared" si="170"/>
        <v>0</v>
      </c>
      <c r="L634" s="28" t="s">
        <v>52</v>
      </c>
      <c r="Z634" s="27">
        <f t="shared" si="171"/>
        <v>0</v>
      </c>
      <c r="AB634" s="27">
        <f t="shared" si="172"/>
        <v>0</v>
      </c>
      <c r="AC634" s="27">
        <f t="shared" si="173"/>
        <v>0</v>
      </c>
      <c r="AD634" s="27">
        <f t="shared" si="174"/>
        <v>0</v>
      </c>
      <c r="AE634" s="27">
        <f t="shared" si="175"/>
        <v>0</v>
      </c>
      <c r="AF634" s="27">
        <f t="shared" si="176"/>
        <v>0</v>
      </c>
      <c r="AG634" s="27">
        <f t="shared" si="177"/>
        <v>0</v>
      </c>
      <c r="AH634" s="27">
        <f t="shared" si="178"/>
        <v>0</v>
      </c>
      <c r="AI634" s="9" t="s">
        <v>1155</v>
      </c>
      <c r="AJ634" s="27">
        <f t="shared" si="179"/>
        <v>0</v>
      </c>
      <c r="AK634" s="27">
        <f t="shared" si="180"/>
        <v>0</v>
      </c>
      <c r="AL634" s="27">
        <f t="shared" si="181"/>
        <v>0</v>
      </c>
      <c r="AN634" s="27">
        <v>21</v>
      </c>
      <c r="AO634" s="27">
        <f t="shared" si="182"/>
        <v>0</v>
      </c>
      <c r="AP634" s="27">
        <f t="shared" si="183"/>
        <v>0</v>
      </c>
      <c r="AQ634" s="29" t="s">
        <v>84</v>
      </c>
      <c r="AV634" s="27">
        <f t="shared" si="184"/>
        <v>0</v>
      </c>
      <c r="AW634" s="27">
        <f t="shared" si="185"/>
        <v>0</v>
      </c>
      <c r="AX634" s="27">
        <f t="shared" si="186"/>
        <v>0</v>
      </c>
      <c r="AY634" s="29" t="s">
        <v>214</v>
      </c>
      <c r="AZ634" s="29" t="s">
        <v>1158</v>
      </c>
      <c r="BA634" s="9" t="s">
        <v>1159</v>
      </c>
      <c r="BC634" s="27">
        <f t="shared" si="187"/>
        <v>0</v>
      </c>
      <c r="BD634" s="27">
        <f t="shared" si="188"/>
        <v>0</v>
      </c>
      <c r="BE634" s="27">
        <v>0</v>
      </c>
      <c r="BF634" s="27">
        <f>634</f>
        <v>634</v>
      </c>
      <c r="BH634" s="27">
        <f t="shared" si="189"/>
        <v>0</v>
      </c>
      <c r="BI634" s="27">
        <f t="shared" si="190"/>
        <v>0</v>
      </c>
      <c r="BJ634" s="27">
        <f t="shared" si="191"/>
        <v>0</v>
      </c>
      <c r="BK634" s="27"/>
      <c r="BL634" s="27">
        <v>725</v>
      </c>
      <c r="BW634" s="27">
        <v>21</v>
      </c>
    </row>
    <row r="635" spans="1:75" ht="13.5" customHeight="1">
      <c r="A635" s="2" t="s">
        <v>1196</v>
      </c>
      <c r="B635" s="3" t="s">
        <v>1155</v>
      </c>
      <c r="C635" s="3" t="s">
        <v>842</v>
      </c>
      <c r="D635" s="148" t="s">
        <v>843</v>
      </c>
      <c r="E635" s="143"/>
      <c r="F635" s="3" t="s">
        <v>154</v>
      </c>
      <c r="G635" s="27">
        <v>1</v>
      </c>
      <c r="H635" s="27">
        <v>0</v>
      </c>
      <c r="I635" s="27">
        <f t="shared" si="168"/>
        <v>0</v>
      </c>
      <c r="J635" s="27">
        <f t="shared" si="169"/>
        <v>0</v>
      </c>
      <c r="K635" s="27">
        <f t="shared" si="170"/>
        <v>0</v>
      </c>
      <c r="L635" s="28" t="s">
        <v>52</v>
      </c>
      <c r="Z635" s="27">
        <f t="shared" si="171"/>
        <v>0</v>
      </c>
      <c r="AB635" s="27">
        <f t="shared" si="172"/>
        <v>0</v>
      </c>
      <c r="AC635" s="27">
        <f t="shared" si="173"/>
        <v>0</v>
      </c>
      <c r="AD635" s="27">
        <f t="shared" si="174"/>
        <v>0</v>
      </c>
      <c r="AE635" s="27">
        <f t="shared" si="175"/>
        <v>0</v>
      </c>
      <c r="AF635" s="27">
        <f t="shared" si="176"/>
        <v>0</v>
      </c>
      <c r="AG635" s="27">
        <f t="shared" si="177"/>
        <v>0</v>
      </c>
      <c r="AH635" s="27">
        <f t="shared" si="178"/>
        <v>0</v>
      </c>
      <c r="AI635" s="9" t="s">
        <v>1155</v>
      </c>
      <c r="AJ635" s="27">
        <f t="shared" si="179"/>
        <v>0</v>
      </c>
      <c r="AK635" s="27">
        <f t="shared" si="180"/>
        <v>0</v>
      </c>
      <c r="AL635" s="27">
        <f t="shared" si="181"/>
        <v>0</v>
      </c>
      <c r="AN635" s="27">
        <v>21</v>
      </c>
      <c r="AO635" s="27">
        <f t="shared" si="182"/>
        <v>0</v>
      </c>
      <c r="AP635" s="27">
        <f t="shared" si="183"/>
        <v>0</v>
      </c>
      <c r="AQ635" s="29" t="s">
        <v>84</v>
      </c>
      <c r="AV635" s="27">
        <f t="shared" si="184"/>
        <v>0</v>
      </c>
      <c r="AW635" s="27">
        <f t="shared" si="185"/>
        <v>0</v>
      </c>
      <c r="AX635" s="27">
        <f t="shared" si="186"/>
        <v>0</v>
      </c>
      <c r="AY635" s="29" t="s">
        <v>214</v>
      </c>
      <c r="AZ635" s="29" t="s">
        <v>1158</v>
      </c>
      <c r="BA635" s="9" t="s">
        <v>1159</v>
      </c>
      <c r="BC635" s="27">
        <f t="shared" si="187"/>
        <v>0</v>
      </c>
      <c r="BD635" s="27">
        <f t="shared" si="188"/>
        <v>0</v>
      </c>
      <c r="BE635" s="27">
        <v>0</v>
      </c>
      <c r="BF635" s="27">
        <f>635</f>
        <v>635</v>
      </c>
      <c r="BH635" s="27">
        <f t="shared" si="189"/>
        <v>0</v>
      </c>
      <c r="BI635" s="27">
        <f t="shared" si="190"/>
        <v>0</v>
      </c>
      <c r="BJ635" s="27">
        <f t="shared" si="191"/>
        <v>0</v>
      </c>
      <c r="BK635" s="27"/>
      <c r="BL635" s="27">
        <v>725</v>
      </c>
      <c r="BW635" s="27">
        <v>21</v>
      </c>
    </row>
    <row r="636" spans="1:75" ht="13.5" customHeight="1">
      <c r="A636" s="2" t="s">
        <v>1197</v>
      </c>
      <c r="B636" s="3" t="s">
        <v>1155</v>
      </c>
      <c r="C636" s="3" t="s">
        <v>848</v>
      </c>
      <c r="D636" s="148" t="s">
        <v>849</v>
      </c>
      <c r="E636" s="143"/>
      <c r="F636" s="3" t="s">
        <v>154</v>
      </c>
      <c r="G636" s="27">
        <v>1</v>
      </c>
      <c r="H636" s="27">
        <v>0</v>
      </c>
      <c r="I636" s="27">
        <f t="shared" si="168"/>
        <v>0</v>
      </c>
      <c r="J636" s="27">
        <f t="shared" si="169"/>
        <v>0</v>
      </c>
      <c r="K636" s="27">
        <f t="shared" si="170"/>
        <v>0</v>
      </c>
      <c r="L636" s="28" t="s">
        <v>52</v>
      </c>
      <c r="Z636" s="27">
        <f t="shared" si="171"/>
        <v>0</v>
      </c>
      <c r="AB636" s="27">
        <f t="shared" si="172"/>
        <v>0</v>
      </c>
      <c r="AC636" s="27">
        <f t="shared" si="173"/>
        <v>0</v>
      </c>
      <c r="AD636" s="27">
        <f t="shared" si="174"/>
        <v>0</v>
      </c>
      <c r="AE636" s="27">
        <f t="shared" si="175"/>
        <v>0</v>
      </c>
      <c r="AF636" s="27">
        <f t="shared" si="176"/>
        <v>0</v>
      </c>
      <c r="AG636" s="27">
        <f t="shared" si="177"/>
        <v>0</v>
      </c>
      <c r="AH636" s="27">
        <f t="shared" si="178"/>
        <v>0</v>
      </c>
      <c r="AI636" s="9" t="s">
        <v>1155</v>
      </c>
      <c r="AJ636" s="27">
        <f t="shared" si="179"/>
        <v>0</v>
      </c>
      <c r="AK636" s="27">
        <f t="shared" si="180"/>
        <v>0</v>
      </c>
      <c r="AL636" s="27">
        <f t="shared" si="181"/>
        <v>0</v>
      </c>
      <c r="AN636" s="27">
        <v>21</v>
      </c>
      <c r="AO636" s="27">
        <f t="shared" si="182"/>
        <v>0</v>
      </c>
      <c r="AP636" s="27">
        <f t="shared" si="183"/>
        <v>0</v>
      </c>
      <c r="AQ636" s="29" t="s">
        <v>84</v>
      </c>
      <c r="AV636" s="27">
        <f t="shared" si="184"/>
        <v>0</v>
      </c>
      <c r="AW636" s="27">
        <f t="shared" si="185"/>
        <v>0</v>
      </c>
      <c r="AX636" s="27">
        <f t="shared" si="186"/>
        <v>0</v>
      </c>
      <c r="AY636" s="29" t="s">
        <v>214</v>
      </c>
      <c r="AZ636" s="29" t="s">
        <v>1158</v>
      </c>
      <c r="BA636" s="9" t="s">
        <v>1159</v>
      </c>
      <c r="BC636" s="27">
        <f t="shared" si="187"/>
        <v>0</v>
      </c>
      <c r="BD636" s="27">
        <f t="shared" si="188"/>
        <v>0</v>
      </c>
      <c r="BE636" s="27">
        <v>0</v>
      </c>
      <c r="BF636" s="27">
        <f>636</f>
        <v>636</v>
      </c>
      <c r="BH636" s="27">
        <f t="shared" si="189"/>
        <v>0</v>
      </c>
      <c r="BI636" s="27">
        <f t="shared" si="190"/>
        <v>0</v>
      </c>
      <c r="BJ636" s="27">
        <f t="shared" si="191"/>
        <v>0</v>
      </c>
      <c r="BK636" s="27"/>
      <c r="BL636" s="27">
        <v>725</v>
      </c>
      <c r="BW636" s="27">
        <v>21</v>
      </c>
    </row>
    <row r="637" spans="1:75" ht="13.5" customHeight="1">
      <c r="A637" s="2" t="s">
        <v>1198</v>
      </c>
      <c r="B637" s="3" t="s">
        <v>1155</v>
      </c>
      <c r="C637" s="3" t="s">
        <v>851</v>
      </c>
      <c r="D637" s="148" t="s">
        <v>852</v>
      </c>
      <c r="E637" s="143"/>
      <c r="F637" s="3" t="s">
        <v>154</v>
      </c>
      <c r="G637" s="27">
        <v>1</v>
      </c>
      <c r="H637" s="27">
        <v>0</v>
      </c>
      <c r="I637" s="27">
        <f t="shared" si="168"/>
        <v>0</v>
      </c>
      <c r="J637" s="27">
        <f t="shared" si="169"/>
        <v>0</v>
      </c>
      <c r="K637" s="27">
        <f t="shared" si="170"/>
        <v>0</v>
      </c>
      <c r="L637" s="28" t="s">
        <v>52</v>
      </c>
      <c r="Z637" s="27">
        <f t="shared" si="171"/>
        <v>0</v>
      </c>
      <c r="AB637" s="27">
        <f t="shared" si="172"/>
        <v>0</v>
      </c>
      <c r="AC637" s="27">
        <f t="shared" si="173"/>
        <v>0</v>
      </c>
      <c r="AD637" s="27">
        <f t="shared" si="174"/>
        <v>0</v>
      </c>
      <c r="AE637" s="27">
        <f t="shared" si="175"/>
        <v>0</v>
      </c>
      <c r="AF637" s="27">
        <f t="shared" si="176"/>
        <v>0</v>
      </c>
      <c r="AG637" s="27">
        <f t="shared" si="177"/>
        <v>0</v>
      </c>
      <c r="AH637" s="27">
        <f t="shared" si="178"/>
        <v>0</v>
      </c>
      <c r="AI637" s="9" t="s">
        <v>1155</v>
      </c>
      <c r="AJ637" s="27">
        <f t="shared" si="179"/>
        <v>0</v>
      </c>
      <c r="AK637" s="27">
        <f t="shared" si="180"/>
        <v>0</v>
      </c>
      <c r="AL637" s="27">
        <f t="shared" si="181"/>
        <v>0</v>
      </c>
      <c r="AN637" s="27">
        <v>21</v>
      </c>
      <c r="AO637" s="27">
        <f t="shared" si="182"/>
        <v>0</v>
      </c>
      <c r="AP637" s="27">
        <f t="shared" si="183"/>
        <v>0</v>
      </c>
      <c r="AQ637" s="29" t="s">
        <v>84</v>
      </c>
      <c r="AV637" s="27">
        <f t="shared" si="184"/>
        <v>0</v>
      </c>
      <c r="AW637" s="27">
        <f t="shared" si="185"/>
        <v>0</v>
      </c>
      <c r="AX637" s="27">
        <f t="shared" si="186"/>
        <v>0</v>
      </c>
      <c r="AY637" s="29" t="s">
        <v>214</v>
      </c>
      <c r="AZ637" s="29" t="s">
        <v>1158</v>
      </c>
      <c r="BA637" s="9" t="s">
        <v>1159</v>
      </c>
      <c r="BC637" s="27">
        <f t="shared" si="187"/>
        <v>0</v>
      </c>
      <c r="BD637" s="27">
        <f t="shared" si="188"/>
        <v>0</v>
      </c>
      <c r="BE637" s="27">
        <v>0</v>
      </c>
      <c r="BF637" s="27">
        <f>637</f>
        <v>637</v>
      </c>
      <c r="BH637" s="27">
        <f t="shared" si="189"/>
        <v>0</v>
      </c>
      <c r="BI637" s="27">
        <f t="shared" si="190"/>
        <v>0</v>
      </c>
      <c r="BJ637" s="27">
        <f t="shared" si="191"/>
        <v>0</v>
      </c>
      <c r="BK637" s="27"/>
      <c r="BL637" s="27">
        <v>725</v>
      </c>
      <c r="BW637" s="27">
        <v>21</v>
      </c>
    </row>
    <row r="638" spans="1:75" ht="13.5" customHeight="1">
      <c r="A638" s="2" t="s">
        <v>1199</v>
      </c>
      <c r="B638" s="3" t="s">
        <v>1155</v>
      </c>
      <c r="C638" s="3" t="s">
        <v>1200</v>
      </c>
      <c r="D638" s="148" t="s">
        <v>1201</v>
      </c>
      <c r="E638" s="143"/>
      <c r="F638" s="3" t="s">
        <v>1202</v>
      </c>
      <c r="G638" s="27">
        <v>1</v>
      </c>
      <c r="H638" s="27">
        <v>0</v>
      </c>
      <c r="I638" s="27">
        <f t="shared" si="168"/>
        <v>0</v>
      </c>
      <c r="J638" s="27">
        <f t="shared" si="169"/>
        <v>0</v>
      </c>
      <c r="K638" s="27">
        <f t="shared" si="170"/>
        <v>0</v>
      </c>
      <c r="L638" s="28" t="s">
        <v>52</v>
      </c>
      <c r="Z638" s="27">
        <f t="shared" si="171"/>
        <v>0</v>
      </c>
      <c r="AB638" s="27">
        <f t="shared" si="172"/>
        <v>0</v>
      </c>
      <c r="AC638" s="27">
        <f t="shared" si="173"/>
        <v>0</v>
      </c>
      <c r="AD638" s="27">
        <f t="shared" si="174"/>
        <v>0</v>
      </c>
      <c r="AE638" s="27">
        <f t="shared" si="175"/>
        <v>0</v>
      </c>
      <c r="AF638" s="27">
        <f t="shared" si="176"/>
        <v>0</v>
      </c>
      <c r="AG638" s="27">
        <f t="shared" si="177"/>
        <v>0</v>
      </c>
      <c r="AH638" s="27">
        <f t="shared" si="178"/>
        <v>0</v>
      </c>
      <c r="AI638" s="9" t="s">
        <v>1155</v>
      </c>
      <c r="AJ638" s="27">
        <f t="shared" si="179"/>
        <v>0</v>
      </c>
      <c r="AK638" s="27">
        <f t="shared" si="180"/>
        <v>0</v>
      </c>
      <c r="AL638" s="27">
        <f t="shared" si="181"/>
        <v>0</v>
      </c>
      <c r="AN638" s="27">
        <v>21</v>
      </c>
      <c r="AO638" s="27">
        <f t="shared" si="182"/>
        <v>0</v>
      </c>
      <c r="AP638" s="27">
        <f t="shared" si="183"/>
        <v>0</v>
      </c>
      <c r="AQ638" s="29" t="s">
        <v>84</v>
      </c>
      <c r="AV638" s="27">
        <f t="shared" si="184"/>
        <v>0</v>
      </c>
      <c r="AW638" s="27">
        <f t="shared" si="185"/>
        <v>0</v>
      </c>
      <c r="AX638" s="27">
        <f t="shared" si="186"/>
        <v>0</v>
      </c>
      <c r="AY638" s="29" t="s">
        <v>214</v>
      </c>
      <c r="AZ638" s="29" t="s">
        <v>1158</v>
      </c>
      <c r="BA638" s="9" t="s">
        <v>1159</v>
      </c>
      <c r="BC638" s="27">
        <f t="shared" si="187"/>
        <v>0</v>
      </c>
      <c r="BD638" s="27">
        <f t="shared" si="188"/>
        <v>0</v>
      </c>
      <c r="BE638" s="27">
        <v>0</v>
      </c>
      <c r="BF638" s="27">
        <f>638</f>
        <v>638</v>
      </c>
      <c r="BH638" s="27">
        <f t="shared" si="189"/>
        <v>0</v>
      </c>
      <c r="BI638" s="27">
        <f t="shared" si="190"/>
        <v>0</v>
      </c>
      <c r="BJ638" s="27">
        <f t="shared" si="191"/>
        <v>0</v>
      </c>
      <c r="BK638" s="27"/>
      <c r="BL638" s="27">
        <v>725</v>
      </c>
      <c r="BW638" s="27">
        <v>21</v>
      </c>
    </row>
    <row r="639" spans="1:75" ht="13.5" customHeight="1">
      <c r="A639" s="2" t="s">
        <v>1203</v>
      </c>
      <c r="B639" s="3" t="s">
        <v>1155</v>
      </c>
      <c r="C639" s="3" t="s">
        <v>1204</v>
      </c>
      <c r="D639" s="148" t="s">
        <v>1205</v>
      </c>
      <c r="E639" s="143"/>
      <c r="F639" s="3" t="s">
        <v>1202</v>
      </c>
      <c r="G639" s="27">
        <v>1</v>
      </c>
      <c r="H639" s="27">
        <v>0</v>
      </c>
      <c r="I639" s="27">
        <f t="shared" si="168"/>
        <v>0</v>
      </c>
      <c r="J639" s="27">
        <f t="shared" si="169"/>
        <v>0</v>
      </c>
      <c r="K639" s="27">
        <f t="shared" si="170"/>
        <v>0</v>
      </c>
      <c r="L639" s="28" t="s">
        <v>52</v>
      </c>
      <c r="Z639" s="27">
        <f t="shared" si="171"/>
        <v>0</v>
      </c>
      <c r="AB639" s="27">
        <f t="shared" si="172"/>
        <v>0</v>
      </c>
      <c r="AC639" s="27">
        <f t="shared" si="173"/>
        <v>0</v>
      </c>
      <c r="AD639" s="27">
        <f t="shared" si="174"/>
        <v>0</v>
      </c>
      <c r="AE639" s="27">
        <f t="shared" si="175"/>
        <v>0</v>
      </c>
      <c r="AF639" s="27">
        <f t="shared" si="176"/>
        <v>0</v>
      </c>
      <c r="AG639" s="27">
        <f t="shared" si="177"/>
        <v>0</v>
      </c>
      <c r="AH639" s="27">
        <f t="shared" si="178"/>
        <v>0</v>
      </c>
      <c r="AI639" s="9" t="s">
        <v>1155</v>
      </c>
      <c r="AJ639" s="27">
        <f t="shared" si="179"/>
        <v>0</v>
      </c>
      <c r="AK639" s="27">
        <f t="shared" si="180"/>
        <v>0</v>
      </c>
      <c r="AL639" s="27">
        <f t="shared" si="181"/>
        <v>0</v>
      </c>
      <c r="AN639" s="27">
        <v>21</v>
      </c>
      <c r="AO639" s="27">
        <f t="shared" si="182"/>
        <v>0</v>
      </c>
      <c r="AP639" s="27">
        <f t="shared" si="183"/>
        <v>0</v>
      </c>
      <c r="AQ639" s="29" t="s">
        <v>84</v>
      </c>
      <c r="AV639" s="27">
        <f t="shared" si="184"/>
        <v>0</v>
      </c>
      <c r="AW639" s="27">
        <f t="shared" si="185"/>
        <v>0</v>
      </c>
      <c r="AX639" s="27">
        <f t="shared" si="186"/>
        <v>0</v>
      </c>
      <c r="AY639" s="29" t="s">
        <v>214</v>
      </c>
      <c r="AZ639" s="29" t="s">
        <v>1158</v>
      </c>
      <c r="BA639" s="9" t="s">
        <v>1159</v>
      </c>
      <c r="BC639" s="27">
        <f t="shared" si="187"/>
        <v>0</v>
      </c>
      <c r="BD639" s="27">
        <f t="shared" si="188"/>
        <v>0</v>
      </c>
      <c r="BE639" s="27">
        <v>0</v>
      </c>
      <c r="BF639" s="27">
        <f>639</f>
        <v>639</v>
      </c>
      <c r="BH639" s="27">
        <f t="shared" si="189"/>
        <v>0</v>
      </c>
      <c r="BI639" s="27">
        <f t="shared" si="190"/>
        <v>0</v>
      </c>
      <c r="BJ639" s="27">
        <f t="shared" si="191"/>
        <v>0</v>
      </c>
      <c r="BK639" s="27"/>
      <c r="BL639" s="27">
        <v>725</v>
      </c>
      <c r="BW639" s="27">
        <v>21</v>
      </c>
    </row>
    <row r="640" spans="1:47" ht="15">
      <c r="A640" s="23" t="s">
        <v>52</v>
      </c>
      <c r="B640" s="24" t="s">
        <v>1155</v>
      </c>
      <c r="C640" s="24" t="s">
        <v>864</v>
      </c>
      <c r="D640" s="164" t="s">
        <v>201</v>
      </c>
      <c r="E640" s="165"/>
      <c r="F640" s="25" t="s">
        <v>4</v>
      </c>
      <c r="G640" s="25" t="s">
        <v>4</v>
      </c>
      <c r="H640" s="25" t="s">
        <v>4</v>
      </c>
      <c r="I640" s="1">
        <f>SUM(I641:I641)</f>
        <v>0</v>
      </c>
      <c r="J640" s="1">
        <f>SUM(J641:J641)</f>
        <v>0</v>
      </c>
      <c r="K640" s="1">
        <f>SUM(K641:K641)</f>
        <v>0</v>
      </c>
      <c r="L640" s="26" t="s">
        <v>52</v>
      </c>
      <c r="AI640" s="9" t="s">
        <v>1155</v>
      </c>
      <c r="AS640" s="1">
        <f>SUM(AJ641:AJ641)</f>
        <v>0</v>
      </c>
      <c r="AT640" s="1">
        <f>SUM(AK641:AK641)</f>
        <v>0</v>
      </c>
      <c r="AU640" s="1">
        <f>SUM(AL641:AL641)</f>
        <v>0</v>
      </c>
    </row>
    <row r="641" spans="1:75" ht="13.5" customHeight="1">
      <c r="A641" s="2" t="s">
        <v>1206</v>
      </c>
      <c r="B641" s="3" t="s">
        <v>1155</v>
      </c>
      <c r="C641" s="3" t="s">
        <v>866</v>
      </c>
      <c r="D641" s="148" t="s">
        <v>867</v>
      </c>
      <c r="E641" s="143"/>
      <c r="F641" s="3" t="s">
        <v>95</v>
      </c>
      <c r="G641" s="27">
        <v>0.0017</v>
      </c>
      <c r="H641" s="27">
        <v>0</v>
      </c>
      <c r="I641" s="27">
        <f>G641*AO641</f>
        <v>0</v>
      </c>
      <c r="J641" s="27">
        <f>G641*AP641</f>
        <v>0</v>
      </c>
      <c r="K641" s="27">
        <f>G641*H641</f>
        <v>0</v>
      </c>
      <c r="L641" s="28" t="s">
        <v>52</v>
      </c>
      <c r="Z641" s="27">
        <f>IF(AQ641="5",BJ641,0)</f>
        <v>0</v>
      </c>
      <c r="AB641" s="27">
        <f>IF(AQ641="1",BH641,0)</f>
        <v>0</v>
      </c>
      <c r="AC641" s="27">
        <f>IF(AQ641="1",BI641,0)</f>
        <v>0</v>
      </c>
      <c r="AD641" s="27">
        <f>IF(AQ641="7",BH641,0)</f>
        <v>0</v>
      </c>
      <c r="AE641" s="27">
        <f>IF(AQ641="7",BI641,0)</f>
        <v>0</v>
      </c>
      <c r="AF641" s="27">
        <f>IF(AQ641="2",BH641,0)</f>
        <v>0</v>
      </c>
      <c r="AG641" s="27">
        <f>IF(AQ641="2",BI641,0)</f>
        <v>0</v>
      </c>
      <c r="AH641" s="27">
        <f>IF(AQ641="0",BJ641,0)</f>
        <v>0</v>
      </c>
      <c r="AI641" s="9" t="s">
        <v>1155</v>
      </c>
      <c r="AJ641" s="27">
        <f>IF(AN641=0,K641,0)</f>
        <v>0</v>
      </c>
      <c r="AK641" s="27">
        <f>IF(AN641=12,K641,0)</f>
        <v>0</v>
      </c>
      <c r="AL641" s="27">
        <f>IF(AN641=21,K641,0)</f>
        <v>0</v>
      </c>
      <c r="AN641" s="27">
        <v>21</v>
      </c>
      <c r="AO641" s="27">
        <f>H641*0</f>
        <v>0</v>
      </c>
      <c r="AP641" s="27">
        <f>H641*(1-0)</f>
        <v>0</v>
      </c>
      <c r="AQ641" s="29" t="s">
        <v>78</v>
      </c>
      <c r="AV641" s="27">
        <f>AW641+AX641</f>
        <v>0</v>
      </c>
      <c r="AW641" s="27">
        <f>G641*AO641</f>
        <v>0</v>
      </c>
      <c r="AX641" s="27">
        <f>G641*AP641</f>
        <v>0</v>
      </c>
      <c r="AY641" s="29" t="s">
        <v>868</v>
      </c>
      <c r="AZ641" s="29" t="s">
        <v>1207</v>
      </c>
      <c r="BA641" s="9" t="s">
        <v>1159</v>
      </c>
      <c r="BC641" s="27">
        <f>AW641+AX641</f>
        <v>0</v>
      </c>
      <c r="BD641" s="27">
        <f>H641/(100-BE641)*100</f>
        <v>0</v>
      </c>
      <c r="BE641" s="27">
        <v>0</v>
      </c>
      <c r="BF641" s="27">
        <f>641</f>
        <v>641</v>
      </c>
      <c r="BH641" s="27">
        <f>G641*AO641</f>
        <v>0</v>
      </c>
      <c r="BI641" s="27">
        <f>G641*AP641</f>
        <v>0</v>
      </c>
      <c r="BJ641" s="27">
        <f>G641*H641</f>
        <v>0</v>
      </c>
      <c r="BK641" s="27"/>
      <c r="BL641" s="27"/>
      <c r="BW641" s="27">
        <v>21</v>
      </c>
    </row>
    <row r="642" spans="1:47" ht="15">
      <c r="A642" s="23" t="s">
        <v>52</v>
      </c>
      <c r="B642" s="24" t="s">
        <v>1155</v>
      </c>
      <c r="C642" s="24" t="s">
        <v>870</v>
      </c>
      <c r="D642" s="164" t="s">
        <v>700</v>
      </c>
      <c r="E642" s="165"/>
      <c r="F642" s="25" t="s">
        <v>4</v>
      </c>
      <c r="G642" s="25" t="s">
        <v>4</v>
      </c>
      <c r="H642" s="25" t="s">
        <v>4</v>
      </c>
      <c r="I642" s="1">
        <f>SUM(I643:I643)</f>
        <v>0</v>
      </c>
      <c r="J642" s="1">
        <f>SUM(J643:J643)</f>
        <v>0</v>
      </c>
      <c r="K642" s="1">
        <f>SUM(K643:K643)</f>
        <v>0</v>
      </c>
      <c r="L642" s="26" t="s">
        <v>52</v>
      </c>
      <c r="AI642" s="9" t="s">
        <v>1155</v>
      </c>
      <c r="AS642" s="1">
        <f>SUM(AJ643:AJ643)</f>
        <v>0</v>
      </c>
      <c r="AT642" s="1">
        <f>SUM(AK643:AK643)</f>
        <v>0</v>
      </c>
      <c r="AU642" s="1">
        <f>SUM(AL643:AL643)</f>
        <v>0</v>
      </c>
    </row>
    <row r="643" spans="1:75" ht="13.5" customHeight="1">
      <c r="A643" s="2" t="s">
        <v>1208</v>
      </c>
      <c r="B643" s="3" t="s">
        <v>1155</v>
      </c>
      <c r="C643" s="3" t="s">
        <v>872</v>
      </c>
      <c r="D643" s="148" t="s">
        <v>873</v>
      </c>
      <c r="E643" s="143"/>
      <c r="F643" s="3" t="s">
        <v>95</v>
      </c>
      <c r="G643" s="27">
        <v>0.03288</v>
      </c>
      <c r="H643" s="27">
        <v>0</v>
      </c>
      <c r="I643" s="27">
        <f>G643*AO643</f>
        <v>0</v>
      </c>
      <c r="J643" s="27">
        <f>G643*AP643</f>
        <v>0</v>
      </c>
      <c r="K643" s="27">
        <f>G643*H643</f>
        <v>0</v>
      </c>
      <c r="L643" s="28" t="s">
        <v>52</v>
      </c>
      <c r="Z643" s="27">
        <f>IF(AQ643="5",BJ643,0)</f>
        <v>0</v>
      </c>
      <c r="AB643" s="27">
        <f>IF(AQ643="1",BH643,0)</f>
        <v>0</v>
      </c>
      <c r="AC643" s="27">
        <f>IF(AQ643="1",BI643,0)</f>
        <v>0</v>
      </c>
      <c r="AD643" s="27">
        <f>IF(AQ643="7",BH643,0)</f>
        <v>0</v>
      </c>
      <c r="AE643" s="27">
        <f>IF(AQ643="7",BI643,0)</f>
        <v>0</v>
      </c>
      <c r="AF643" s="27">
        <f>IF(AQ643="2",BH643,0)</f>
        <v>0</v>
      </c>
      <c r="AG643" s="27">
        <f>IF(AQ643="2",BI643,0)</f>
        <v>0</v>
      </c>
      <c r="AH643" s="27">
        <f>IF(AQ643="0",BJ643,0)</f>
        <v>0</v>
      </c>
      <c r="AI643" s="9" t="s">
        <v>1155</v>
      </c>
      <c r="AJ643" s="27">
        <f>IF(AN643=0,K643,0)</f>
        <v>0</v>
      </c>
      <c r="AK643" s="27">
        <f>IF(AN643=12,K643,0)</f>
        <v>0</v>
      </c>
      <c r="AL643" s="27">
        <f>IF(AN643=21,K643,0)</f>
        <v>0</v>
      </c>
      <c r="AN643" s="27">
        <v>21</v>
      </c>
      <c r="AO643" s="27">
        <f>H643*0</f>
        <v>0</v>
      </c>
      <c r="AP643" s="27">
        <f>H643*(1-0)</f>
        <v>0</v>
      </c>
      <c r="AQ643" s="29" t="s">
        <v>78</v>
      </c>
      <c r="AV643" s="27">
        <f>AW643+AX643</f>
        <v>0</v>
      </c>
      <c r="AW643" s="27">
        <f>G643*AO643</f>
        <v>0</v>
      </c>
      <c r="AX643" s="27">
        <f>G643*AP643</f>
        <v>0</v>
      </c>
      <c r="AY643" s="29" t="s">
        <v>874</v>
      </c>
      <c r="AZ643" s="29" t="s">
        <v>1207</v>
      </c>
      <c r="BA643" s="9" t="s">
        <v>1159</v>
      </c>
      <c r="BC643" s="27">
        <f>AW643+AX643</f>
        <v>0</v>
      </c>
      <c r="BD643" s="27">
        <f>H643/(100-BE643)*100</f>
        <v>0</v>
      </c>
      <c r="BE643" s="27">
        <v>0</v>
      </c>
      <c r="BF643" s="27">
        <f>643</f>
        <v>643</v>
      </c>
      <c r="BH643" s="27">
        <f>G643*AO643</f>
        <v>0</v>
      </c>
      <c r="BI643" s="27">
        <f>G643*AP643</f>
        <v>0</v>
      </c>
      <c r="BJ643" s="27">
        <f>G643*H643</f>
        <v>0</v>
      </c>
      <c r="BK643" s="27"/>
      <c r="BL643" s="27"/>
      <c r="BW643" s="27">
        <v>21</v>
      </c>
    </row>
    <row r="644" spans="1:47" ht="15">
      <c r="A644" s="23" t="s">
        <v>52</v>
      </c>
      <c r="B644" s="24" t="s">
        <v>1155</v>
      </c>
      <c r="C644" s="24" t="s">
        <v>875</v>
      </c>
      <c r="D644" s="164" t="s">
        <v>210</v>
      </c>
      <c r="E644" s="165"/>
      <c r="F644" s="25" t="s">
        <v>4</v>
      </c>
      <c r="G644" s="25" t="s">
        <v>4</v>
      </c>
      <c r="H644" s="25" t="s">
        <v>4</v>
      </c>
      <c r="I644" s="1">
        <f>SUM(I645:I645)</f>
        <v>0</v>
      </c>
      <c r="J644" s="1">
        <f>SUM(J645:J645)</f>
        <v>0</v>
      </c>
      <c r="K644" s="1">
        <f>SUM(K645:K645)</f>
        <v>0</v>
      </c>
      <c r="L644" s="26" t="s">
        <v>52</v>
      </c>
      <c r="AI644" s="9" t="s">
        <v>1155</v>
      </c>
      <c r="AS644" s="1">
        <f>SUM(AJ645:AJ645)</f>
        <v>0</v>
      </c>
      <c r="AT644" s="1">
        <f>SUM(AK645:AK645)</f>
        <v>0</v>
      </c>
      <c r="AU644" s="1">
        <f>SUM(AL645:AL645)</f>
        <v>0</v>
      </c>
    </row>
    <row r="645" spans="1:75" ht="13.5" customHeight="1">
      <c r="A645" s="2" t="s">
        <v>1209</v>
      </c>
      <c r="B645" s="3" t="s">
        <v>1155</v>
      </c>
      <c r="C645" s="3" t="s">
        <v>877</v>
      </c>
      <c r="D645" s="148" t="s">
        <v>878</v>
      </c>
      <c r="E645" s="143"/>
      <c r="F645" s="3" t="s">
        <v>95</v>
      </c>
      <c r="G645" s="27">
        <v>0.05214</v>
      </c>
      <c r="H645" s="27">
        <v>0</v>
      </c>
      <c r="I645" s="27">
        <f>G645*AO645</f>
        <v>0</v>
      </c>
      <c r="J645" s="27">
        <f>G645*AP645</f>
        <v>0</v>
      </c>
      <c r="K645" s="27">
        <f>G645*H645</f>
        <v>0</v>
      </c>
      <c r="L645" s="28" t="s">
        <v>52</v>
      </c>
      <c r="Z645" s="27">
        <f>IF(AQ645="5",BJ645,0)</f>
        <v>0</v>
      </c>
      <c r="AB645" s="27">
        <f>IF(AQ645="1",BH645,0)</f>
        <v>0</v>
      </c>
      <c r="AC645" s="27">
        <f>IF(AQ645="1",BI645,0)</f>
        <v>0</v>
      </c>
      <c r="AD645" s="27">
        <f>IF(AQ645="7",BH645,0)</f>
        <v>0</v>
      </c>
      <c r="AE645" s="27">
        <f>IF(AQ645="7",BI645,0)</f>
        <v>0</v>
      </c>
      <c r="AF645" s="27">
        <f>IF(AQ645="2",BH645,0)</f>
        <v>0</v>
      </c>
      <c r="AG645" s="27">
        <f>IF(AQ645="2",BI645,0)</f>
        <v>0</v>
      </c>
      <c r="AH645" s="27">
        <f>IF(AQ645="0",BJ645,0)</f>
        <v>0</v>
      </c>
      <c r="AI645" s="9" t="s">
        <v>1155</v>
      </c>
      <c r="AJ645" s="27">
        <f>IF(AN645=0,K645,0)</f>
        <v>0</v>
      </c>
      <c r="AK645" s="27">
        <f>IF(AN645=12,K645,0)</f>
        <v>0</v>
      </c>
      <c r="AL645" s="27">
        <f>IF(AN645=21,K645,0)</f>
        <v>0</v>
      </c>
      <c r="AN645" s="27">
        <v>21</v>
      </c>
      <c r="AO645" s="27">
        <f>H645*0</f>
        <v>0</v>
      </c>
      <c r="AP645" s="27">
        <f>H645*(1-0)</f>
        <v>0</v>
      </c>
      <c r="AQ645" s="29" t="s">
        <v>78</v>
      </c>
      <c r="AV645" s="27">
        <f>AW645+AX645</f>
        <v>0</v>
      </c>
      <c r="AW645" s="27">
        <f>G645*AO645</f>
        <v>0</v>
      </c>
      <c r="AX645" s="27">
        <f>G645*AP645</f>
        <v>0</v>
      </c>
      <c r="AY645" s="29" t="s">
        <v>879</v>
      </c>
      <c r="AZ645" s="29" t="s">
        <v>1207</v>
      </c>
      <c r="BA645" s="9" t="s">
        <v>1159</v>
      </c>
      <c r="BC645" s="27">
        <f>AW645+AX645</f>
        <v>0</v>
      </c>
      <c r="BD645" s="27">
        <f>H645/(100-BE645)*100</f>
        <v>0</v>
      </c>
      <c r="BE645" s="27">
        <v>0</v>
      </c>
      <c r="BF645" s="27">
        <f>645</f>
        <v>645</v>
      </c>
      <c r="BH645" s="27">
        <f>G645*AO645</f>
        <v>0</v>
      </c>
      <c r="BI645" s="27">
        <f>G645*AP645</f>
        <v>0</v>
      </c>
      <c r="BJ645" s="27">
        <f>G645*H645</f>
        <v>0</v>
      </c>
      <c r="BK645" s="27"/>
      <c r="BL645" s="27"/>
      <c r="BW645" s="27">
        <v>21</v>
      </c>
    </row>
    <row r="646" spans="1:47" ht="15">
      <c r="A646" s="23" t="s">
        <v>52</v>
      </c>
      <c r="B646" s="24" t="s">
        <v>1155</v>
      </c>
      <c r="C646" s="24" t="s">
        <v>52</v>
      </c>
      <c r="D646" s="164" t="s">
        <v>631</v>
      </c>
      <c r="E646" s="165"/>
      <c r="F646" s="25" t="s">
        <v>4</v>
      </c>
      <c r="G646" s="25" t="s">
        <v>4</v>
      </c>
      <c r="H646" s="25" t="s">
        <v>4</v>
      </c>
      <c r="I646" s="1">
        <f>SUM(I647:I650)</f>
        <v>0</v>
      </c>
      <c r="J646" s="1">
        <f>SUM(J647:J650)</f>
        <v>0</v>
      </c>
      <c r="K646" s="1">
        <f>SUM(K647:K650)</f>
        <v>0</v>
      </c>
      <c r="L646" s="26" t="s">
        <v>52</v>
      </c>
      <c r="AI646" s="9" t="s">
        <v>1155</v>
      </c>
      <c r="AS646" s="1">
        <f>SUM(AJ647:AJ650)</f>
        <v>0</v>
      </c>
      <c r="AT646" s="1">
        <f>SUM(AK647:AK650)</f>
        <v>0</v>
      </c>
      <c r="AU646" s="1">
        <f>SUM(AL647:AL650)</f>
        <v>0</v>
      </c>
    </row>
    <row r="647" spans="1:75" ht="13.5" customHeight="1">
      <c r="A647" s="2" t="s">
        <v>1210</v>
      </c>
      <c r="B647" s="3" t="s">
        <v>1155</v>
      </c>
      <c r="C647" s="3" t="s">
        <v>633</v>
      </c>
      <c r="D647" s="148" t="s">
        <v>887</v>
      </c>
      <c r="E647" s="143"/>
      <c r="F647" s="3" t="s">
        <v>635</v>
      </c>
      <c r="G647" s="27">
        <v>4</v>
      </c>
      <c r="H647" s="27">
        <v>0</v>
      </c>
      <c r="I647" s="27">
        <f>G647*AO647</f>
        <v>0</v>
      </c>
      <c r="J647" s="27">
        <f>G647*AP647</f>
        <v>0</v>
      </c>
      <c r="K647" s="27">
        <f>G647*H647</f>
        <v>0</v>
      </c>
      <c r="L647" s="28" t="s">
        <v>52</v>
      </c>
      <c r="Z647" s="27">
        <f>IF(AQ647="5",BJ647,0)</f>
        <v>0</v>
      </c>
      <c r="AB647" s="27">
        <f>IF(AQ647="1",BH647,0)</f>
        <v>0</v>
      </c>
      <c r="AC647" s="27">
        <f>IF(AQ647="1",BI647,0)</f>
        <v>0</v>
      </c>
      <c r="AD647" s="27">
        <f>IF(AQ647="7",BH647,0)</f>
        <v>0</v>
      </c>
      <c r="AE647" s="27">
        <f>IF(AQ647="7",BI647,0)</f>
        <v>0</v>
      </c>
      <c r="AF647" s="27">
        <f>IF(AQ647="2",BH647,0)</f>
        <v>0</v>
      </c>
      <c r="AG647" s="27">
        <f>IF(AQ647="2",BI647,0)</f>
        <v>0</v>
      </c>
      <c r="AH647" s="27">
        <f>IF(AQ647="0",BJ647,0)</f>
        <v>0</v>
      </c>
      <c r="AI647" s="9" t="s">
        <v>1155</v>
      </c>
      <c r="AJ647" s="27">
        <f>IF(AN647=0,K647,0)</f>
        <v>0</v>
      </c>
      <c r="AK647" s="27">
        <f>IF(AN647=12,K647,0)</f>
        <v>0</v>
      </c>
      <c r="AL647" s="27">
        <f>IF(AN647=21,K647,0)</f>
        <v>0</v>
      </c>
      <c r="AN647" s="27">
        <v>21</v>
      </c>
      <c r="AO647" s="27">
        <f>H647*0</f>
        <v>0</v>
      </c>
      <c r="AP647" s="27">
        <f>H647*(1-0)</f>
        <v>0</v>
      </c>
      <c r="AQ647" s="29" t="s">
        <v>57</v>
      </c>
      <c r="AV647" s="27">
        <f>AW647+AX647</f>
        <v>0</v>
      </c>
      <c r="AW647" s="27">
        <f>G647*AO647</f>
        <v>0</v>
      </c>
      <c r="AX647" s="27">
        <f>G647*AP647</f>
        <v>0</v>
      </c>
      <c r="AY647" s="29" t="s">
        <v>636</v>
      </c>
      <c r="AZ647" s="29" t="s">
        <v>1211</v>
      </c>
      <c r="BA647" s="9" t="s">
        <v>1159</v>
      </c>
      <c r="BC647" s="27">
        <f>AW647+AX647</f>
        <v>0</v>
      </c>
      <c r="BD647" s="27">
        <f>H647/(100-BE647)*100</f>
        <v>0</v>
      </c>
      <c r="BE647" s="27">
        <v>0</v>
      </c>
      <c r="BF647" s="27">
        <f>647</f>
        <v>647</v>
      </c>
      <c r="BH647" s="27">
        <f>G647*AO647</f>
        <v>0</v>
      </c>
      <c r="BI647" s="27">
        <f>G647*AP647</f>
        <v>0</v>
      </c>
      <c r="BJ647" s="27">
        <f>G647*H647</f>
        <v>0</v>
      </c>
      <c r="BK647" s="27"/>
      <c r="BL647" s="27"/>
      <c r="BW647" s="27">
        <v>21</v>
      </c>
    </row>
    <row r="648" spans="1:75" ht="13.5" customHeight="1">
      <c r="A648" s="2" t="s">
        <v>1212</v>
      </c>
      <c r="B648" s="3" t="s">
        <v>1155</v>
      </c>
      <c r="C648" s="3" t="s">
        <v>639</v>
      </c>
      <c r="D648" s="148" t="s">
        <v>640</v>
      </c>
      <c r="E648" s="143"/>
      <c r="F648" s="3" t="s">
        <v>635</v>
      </c>
      <c r="G648" s="27">
        <v>4</v>
      </c>
      <c r="H648" s="27">
        <v>0</v>
      </c>
      <c r="I648" s="27">
        <f>G648*AO648</f>
        <v>0</v>
      </c>
      <c r="J648" s="27">
        <f>G648*AP648</f>
        <v>0</v>
      </c>
      <c r="K648" s="27">
        <f>G648*H648</f>
        <v>0</v>
      </c>
      <c r="L648" s="28" t="s">
        <v>52</v>
      </c>
      <c r="Z648" s="27">
        <f>IF(AQ648="5",BJ648,0)</f>
        <v>0</v>
      </c>
      <c r="AB648" s="27">
        <f>IF(AQ648="1",BH648,0)</f>
        <v>0</v>
      </c>
      <c r="AC648" s="27">
        <f>IF(AQ648="1",BI648,0)</f>
        <v>0</v>
      </c>
      <c r="AD648" s="27">
        <f>IF(AQ648="7",BH648,0)</f>
        <v>0</v>
      </c>
      <c r="AE648" s="27">
        <f>IF(AQ648="7",BI648,0)</f>
        <v>0</v>
      </c>
      <c r="AF648" s="27">
        <f>IF(AQ648="2",BH648,0)</f>
        <v>0</v>
      </c>
      <c r="AG648" s="27">
        <f>IF(AQ648="2",BI648,0)</f>
        <v>0</v>
      </c>
      <c r="AH648" s="27">
        <f>IF(AQ648="0",BJ648,0)</f>
        <v>0</v>
      </c>
      <c r="AI648" s="9" t="s">
        <v>1155</v>
      </c>
      <c r="AJ648" s="27">
        <f>IF(AN648=0,K648,0)</f>
        <v>0</v>
      </c>
      <c r="AK648" s="27">
        <f>IF(AN648=12,K648,0)</f>
        <v>0</v>
      </c>
      <c r="AL648" s="27">
        <f>IF(AN648=21,K648,0)</f>
        <v>0</v>
      </c>
      <c r="AN648" s="27">
        <v>21</v>
      </c>
      <c r="AO648" s="27">
        <f>H648*0</f>
        <v>0</v>
      </c>
      <c r="AP648" s="27">
        <f>H648*(1-0)</f>
        <v>0</v>
      </c>
      <c r="AQ648" s="29" t="s">
        <v>57</v>
      </c>
      <c r="AV648" s="27">
        <f>AW648+AX648</f>
        <v>0</v>
      </c>
      <c r="AW648" s="27">
        <f>G648*AO648</f>
        <v>0</v>
      </c>
      <c r="AX648" s="27">
        <f>G648*AP648</f>
        <v>0</v>
      </c>
      <c r="AY648" s="29" t="s">
        <v>636</v>
      </c>
      <c r="AZ648" s="29" t="s">
        <v>1211</v>
      </c>
      <c r="BA648" s="9" t="s">
        <v>1159</v>
      </c>
      <c r="BC648" s="27">
        <f>AW648+AX648</f>
        <v>0</v>
      </c>
      <c r="BD648" s="27">
        <f>H648/(100-BE648)*100</f>
        <v>0</v>
      </c>
      <c r="BE648" s="27">
        <v>0</v>
      </c>
      <c r="BF648" s="27">
        <f>648</f>
        <v>648</v>
      </c>
      <c r="BH648" s="27">
        <f>G648*AO648</f>
        <v>0</v>
      </c>
      <c r="BI648" s="27">
        <f>G648*AP648</f>
        <v>0</v>
      </c>
      <c r="BJ648" s="27">
        <f>G648*H648</f>
        <v>0</v>
      </c>
      <c r="BK648" s="27"/>
      <c r="BL648" s="27"/>
      <c r="BW648" s="27">
        <v>21</v>
      </c>
    </row>
    <row r="649" spans="1:75" ht="13.5" customHeight="1">
      <c r="A649" s="2" t="s">
        <v>1213</v>
      </c>
      <c r="B649" s="3" t="s">
        <v>1155</v>
      </c>
      <c r="C649" s="3" t="s">
        <v>642</v>
      </c>
      <c r="D649" s="148" t="s">
        <v>891</v>
      </c>
      <c r="E649" s="143"/>
      <c r="F649" s="3" t="s">
        <v>635</v>
      </c>
      <c r="G649" s="27">
        <v>4</v>
      </c>
      <c r="H649" s="27">
        <v>0</v>
      </c>
      <c r="I649" s="27">
        <f>G649*AO649</f>
        <v>0</v>
      </c>
      <c r="J649" s="27">
        <f>G649*AP649</f>
        <v>0</v>
      </c>
      <c r="K649" s="27">
        <f>G649*H649</f>
        <v>0</v>
      </c>
      <c r="L649" s="28" t="s">
        <v>52</v>
      </c>
      <c r="Z649" s="27">
        <f>IF(AQ649="5",BJ649,0)</f>
        <v>0</v>
      </c>
      <c r="AB649" s="27">
        <f>IF(AQ649="1",BH649,0)</f>
        <v>0</v>
      </c>
      <c r="AC649" s="27">
        <f>IF(AQ649="1",BI649,0)</f>
        <v>0</v>
      </c>
      <c r="AD649" s="27">
        <f>IF(AQ649="7",BH649,0)</f>
        <v>0</v>
      </c>
      <c r="AE649" s="27">
        <f>IF(AQ649="7",BI649,0)</f>
        <v>0</v>
      </c>
      <c r="AF649" s="27">
        <f>IF(AQ649="2",BH649,0)</f>
        <v>0</v>
      </c>
      <c r="AG649" s="27">
        <f>IF(AQ649="2",BI649,0)</f>
        <v>0</v>
      </c>
      <c r="AH649" s="27">
        <f>IF(AQ649="0",BJ649,0)</f>
        <v>0</v>
      </c>
      <c r="AI649" s="9" t="s">
        <v>1155</v>
      </c>
      <c r="AJ649" s="27">
        <f>IF(AN649=0,K649,0)</f>
        <v>0</v>
      </c>
      <c r="AK649" s="27">
        <f>IF(AN649=12,K649,0)</f>
        <v>0</v>
      </c>
      <c r="AL649" s="27">
        <f>IF(AN649=21,K649,0)</f>
        <v>0</v>
      </c>
      <c r="AN649" s="27">
        <v>21</v>
      </c>
      <c r="AO649" s="27">
        <f>H649*0</f>
        <v>0</v>
      </c>
      <c r="AP649" s="27">
        <f>H649*(1-0)</f>
        <v>0</v>
      </c>
      <c r="AQ649" s="29" t="s">
        <v>57</v>
      </c>
      <c r="AV649" s="27">
        <f>AW649+AX649</f>
        <v>0</v>
      </c>
      <c r="AW649" s="27">
        <f>G649*AO649</f>
        <v>0</v>
      </c>
      <c r="AX649" s="27">
        <f>G649*AP649</f>
        <v>0</v>
      </c>
      <c r="AY649" s="29" t="s">
        <v>636</v>
      </c>
      <c r="AZ649" s="29" t="s">
        <v>1211</v>
      </c>
      <c r="BA649" s="9" t="s">
        <v>1159</v>
      </c>
      <c r="BC649" s="27">
        <f>AW649+AX649</f>
        <v>0</v>
      </c>
      <c r="BD649" s="27">
        <f>H649/(100-BE649)*100</f>
        <v>0</v>
      </c>
      <c r="BE649" s="27">
        <v>0</v>
      </c>
      <c r="BF649" s="27">
        <f>649</f>
        <v>649</v>
      </c>
      <c r="BH649" s="27">
        <f>G649*AO649</f>
        <v>0</v>
      </c>
      <c r="BI649" s="27">
        <f>G649*AP649</f>
        <v>0</v>
      </c>
      <c r="BJ649" s="27">
        <f>G649*H649</f>
        <v>0</v>
      </c>
      <c r="BK649" s="27"/>
      <c r="BL649" s="27"/>
      <c r="BW649" s="27">
        <v>21</v>
      </c>
    </row>
    <row r="650" spans="1:75" ht="13.5" customHeight="1">
      <c r="A650" s="2" t="s">
        <v>1214</v>
      </c>
      <c r="B650" s="3" t="s">
        <v>1155</v>
      </c>
      <c r="C650" s="3" t="s">
        <v>645</v>
      </c>
      <c r="D650" s="148" t="s">
        <v>649</v>
      </c>
      <c r="E650" s="143"/>
      <c r="F650" s="3" t="s">
        <v>635</v>
      </c>
      <c r="G650" s="27">
        <v>8</v>
      </c>
      <c r="H650" s="27">
        <v>0</v>
      </c>
      <c r="I650" s="27">
        <f>G650*AO650</f>
        <v>0</v>
      </c>
      <c r="J650" s="27">
        <f>G650*AP650</f>
        <v>0</v>
      </c>
      <c r="K650" s="27">
        <f>G650*H650</f>
        <v>0</v>
      </c>
      <c r="L650" s="28" t="s">
        <v>52</v>
      </c>
      <c r="Z650" s="27">
        <f>IF(AQ650="5",BJ650,0)</f>
        <v>0</v>
      </c>
      <c r="AB650" s="27">
        <f>IF(AQ650="1",BH650,0)</f>
        <v>0</v>
      </c>
      <c r="AC650" s="27">
        <f>IF(AQ650="1",BI650,0)</f>
        <v>0</v>
      </c>
      <c r="AD650" s="27">
        <f>IF(AQ650="7",BH650,0)</f>
        <v>0</v>
      </c>
      <c r="AE650" s="27">
        <f>IF(AQ650="7",BI650,0)</f>
        <v>0</v>
      </c>
      <c r="AF650" s="27">
        <f>IF(AQ650="2",BH650,0)</f>
        <v>0</v>
      </c>
      <c r="AG650" s="27">
        <f>IF(AQ650="2",BI650,0)</f>
        <v>0</v>
      </c>
      <c r="AH650" s="27">
        <f>IF(AQ650="0",BJ650,0)</f>
        <v>0</v>
      </c>
      <c r="AI650" s="9" t="s">
        <v>1155</v>
      </c>
      <c r="AJ650" s="27">
        <f>IF(AN650=0,K650,0)</f>
        <v>0</v>
      </c>
      <c r="AK650" s="27">
        <f>IF(AN650=12,K650,0)</f>
        <v>0</v>
      </c>
      <c r="AL650" s="27">
        <f>IF(AN650=21,K650,0)</f>
        <v>0</v>
      </c>
      <c r="AN650" s="27">
        <v>21</v>
      </c>
      <c r="AO650" s="27">
        <f>H650*0</f>
        <v>0</v>
      </c>
      <c r="AP650" s="27">
        <f>H650*(1-0)</f>
        <v>0</v>
      </c>
      <c r="AQ650" s="29" t="s">
        <v>57</v>
      </c>
      <c r="AV650" s="27">
        <f>AW650+AX650</f>
        <v>0</v>
      </c>
      <c r="AW650" s="27">
        <f>G650*AO650</f>
        <v>0</v>
      </c>
      <c r="AX650" s="27">
        <f>G650*AP650</f>
        <v>0</v>
      </c>
      <c r="AY650" s="29" t="s">
        <v>636</v>
      </c>
      <c r="AZ650" s="29" t="s">
        <v>1211</v>
      </c>
      <c r="BA650" s="9" t="s">
        <v>1159</v>
      </c>
      <c r="BC650" s="27">
        <f>AW650+AX650</f>
        <v>0</v>
      </c>
      <c r="BD650" s="27">
        <f>H650/(100-BE650)*100</f>
        <v>0</v>
      </c>
      <c r="BE650" s="27">
        <v>0</v>
      </c>
      <c r="BF650" s="27">
        <f>650</f>
        <v>650</v>
      </c>
      <c r="BH650" s="27">
        <f>G650*AO650</f>
        <v>0</v>
      </c>
      <c r="BI650" s="27">
        <f>G650*AP650</f>
        <v>0</v>
      </c>
      <c r="BJ650" s="27">
        <f>G650*H650</f>
        <v>0</v>
      </c>
      <c r="BK650" s="27"/>
      <c r="BL650" s="27"/>
      <c r="BW650" s="27">
        <v>21</v>
      </c>
    </row>
    <row r="651" spans="1:12" ht="15">
      <c r="A651" s="36" t="s">
        <v>52</v>
      </c>
      <c r="B651" s="37" t="s">
        <v>1215</v>
      </c>
      <c r="C651" s="37" t="s">
        <v>52</v>
      </c>
      <c r="D651" s="169" t="s">
        <v>1216</v>
      </c>
      <c r="E651" s="170"/>
      <c r="F651" s="38" t="s">
        <v>4</v>
      </c>
      <c r="G651" s="38" t="s">
        <v>4</v>
      </c>
      <c r="H651" s="38" t="s">
        <v>4</v>
      </c>
      <c r="I651" s="39">
        <f>I652+I656+I660+I673+I681+I695+I726+I747+I760+I783+I790+I793+I798+I801</f>
        <v>0</v>
      </c>
      <c r="J651" s="39">
        <f>J652+J656+J660+J673+J681+J695+J726+J747+J760+J783+J790+J793+J798+J801</f>
        <v>0</v>
      </c>
      <c r="K651" s="39">
        <f>K652+K656+K660+K673+K681+K695+K726+K747+K760+K783+K790+K793+K798+K801</f>
        <v>0</v>
      </c>
      <c r="L651" s="40" t="s">
        <v>52</v>
      </c>
    </row>
    <row r="652" spans="1:47" ht="15">
      <c r="A652" s="70" t="s">
        <v>52</v>
      </c>
      <c r="B652" s="71" t="s">
        <v>1215</v>
      </c>
      <c r="C652" s="71" t="s">
        <v>104</v>
      </c>
      <c r="D652" s="183" t="s">
        <v>105</v>
      </c>
      <c r="E652" s="184"/>
      <c r="F652" s="72" t="s">
        <v>4</v>
      </c>
      <c r="G652" s="72" t="s">
        <v>4</v>
      </c>
      <c r="H652" s="72" t="s">
        <v>4</v>
      </c>
      <c r="I652" s="73">
        <f>SUM(I653:I653)</f>
        <v>0</v>
      </c>
      <c r="J652" s="73">
        <f>SUM(J653:J653)</f>
        <v>0</v>
      </c>
      <c r="K652" s="73">
        <f>SUM(K653:K653)</f>
        <v>0</v>
      </c>
      <c r="L652" s="74" t="s">
        <v>52</v>
      </c>
      <c r="AI652" s="9" t="s">
        <v>1215</v>
      </c>
      <c r="AS652" s="1">
        <f>SUM(AJ653:AJ653)</f>
        <v>0</v>
      </c>
      <c r="AT652" s="1">
        <f>SUM(AK653:AK653)</f>
        <v>0</v>
      </c>
      <c r="AU652" s="1">
        <f>SUM(AL653:AL653)</f>
        <v>0</v>
      </c>
    </row>
    <row r="653" spans="1:75" ht="13.5" customHeight="1">
      <c r="A653" s="66" t="s">
        <v>1217</v>
      </c>
      <c r="B653" s="67" t="s">
        <v>1215</v>
      </c>
      <c r="C653" s="67" t="s">
        <v>896</v>
      </c>
      <c r="D653" s="181" t="s">
        <v>897</v>
      </c>
      <c r="E653" s="182"/>
      <c r="F653" s="67" t="s">
        <v>109</v>
      </c>
      <c r="G653" s="68">
        <v>28.3</v>
      </c>
      <c r="H653" s="68">
        <v>0</v>
      </c>
      <c r="I653" s="68">
        <f>G653*AO653</f>
        <v>0</v>
      </c>
      <c r="J653" s="68">
        <f>G653*AP653</f>
        <v>0</v>
      </c>
      <c r="K653" s="68">
        <f>G653*H653</f>
        <v>0</v>
      </c>
      <c r="L653" s="69" t="s">
        <v>137</v>
      </c>
      <c r="Z653" s="27">
        <f>IF(AQ653="5",BJ653,0)</f>
        <v>0</v>
      </c>
      <c r="AB653" s="27">
        <f>IF(AQ653="1",BH653,0)</f>
        <v>0</v>
      </c>
      <c r="AC653" s="27">
        <f>IF(AQ653="1",BI653,0)</f>
        <v>0</v>
      </c>
      <c r="AD653" s="27">
        <f>IF(AQ653="7",BH653,0)</f>
        <v>0</v>
      </c>
      <c r="AE653" s="27">
        <f>IF(AQ653="7",BI653,0)</f>
        <v>0</v>
      </c>
      <c r="AF653" s="27">
        <f>IF(AQ653="2",BH653,0)</f>
        <v>0</v>
      </c>
      <c r="AG653" s="27">
        <f>IF(AQ653="2",BI653,0)</f>
        <v>0</v>
      </c>
      <c r="AH653" s="27">
        <f>IF(AQ653="0",BJ653,0)</f>
        <v>0</v>
      </c>
      <c r="AI653" s="9" t="s">
        <v>1215</v>
      </c>
      <c r="AJ653" s="27">
        <f>IF(AN653=0,K653,0)</f>
        <v>0</v>
      </c>
      <c r="AK653" s="27">
        <f>IF(AN653=12,K653,0)</f>
        <v>0</v>
      </c>
      <c r="AL653" s="27">
        <f>IF(AN653=21,K653,0)</f>
        <v>0</v>
      </c>
      <c r="AN653" s="27">
        <v>21</v>
      </c>
      <c r="AO653" s="27">
        <f>H653*0.626152381</f>
        <v>0</v>
      </c>
      <c r="AP653" s="27">
        <f>H653*(1-0.626152381)</f>
        <v>0</v>
      </c>
      <c r="AQ653" s="29" t="s">
        <v>57</v>
      </c>
      <c r="AV653" s="27">
        <f>AW653+AX653</f>
        <v>0</v>
      </c>
      <c r="AW653" s="27">
        <f>G653*AO653</f>
        <v>0</v>
      </c>
      <c r="AX653" s="27">
        <f>G653*AP653</f>
        <v>0</v>
      </c>
      <c r="AY653" s="29" t="s">
        <v>110</v>
      </c>
      <c r="AZ653" s="29" t="s">
        <v>1218</v>
      </c>
      <c r="BA653" s="9" t="s">
        <v>1219</v>
      </c>
      <c r="BC653" s="27">
        <f>AW653+AX653</f>
        <v>0</v>
      </c>
      <c r="BD653" s="27">
        <f>H653/(100-BE653)*100</f>
        <v>0</v>
      </c>
      <c r="BE653" s="27">
        <v>0</v>
      </c>
      <c r="BF653" s="27">
        <f>653</f>
        <v>653</v>
      </c>
      <c r="BH653" s="27">
        <f>G653*AO653</f>
        <v>0</v>
      </c>
      <c r="BI653" s="27">
        <f>G653*AP653</f>
        <v>0</v>
      </c>
      <c r="BJ653" s="27">
        <f>G653*H653</f>
        <v>0</v>
      </c>
      <c r="BK653" s="27"/>
      <c r="BL653" s="27">
        <v>34</v>
      </c>
      <c r="BW653" s="27">
        <v>21</v>
      </c>
    </row>
    <row r="654" spans="1:12" ht="13.5" customHeight="1">
      <c r="A654" s="45"/>
      <c r="D654" s="173" t="s">
        <v>900</v>
      </c>
      <c r="E654" s="174"/>
      <c r="F654" s="174"/>
      <c r="G654" s="174"/>
      <c r="H654" s="174"/>
      <c r="I654" s="174"/>
      <c r="J654" s="174"/>
      <c r="K654" s="174"/>
      <c r="L654" s="175"/>
    </row>
    <row r="655" spans="1:12" ht="15">
      <c r="A655" s="46"/>
      <c r="B655" s="47"/>
      <c r="C655" s="47"/>
      <c r="D655" s="48" t="s">
        <v>1220</v>
      </c>
      <c r="E655" s="49" t="s">
        <v>902</v>
      </c>
      <c r="F655" s="47"/>
      <c r="G655" s="50">
        <v>28.3</v>
      </c>
      <c r="H655" s="47"/>
      <c r="I655" s="47"/>
      <c r="J655" s="47"/>
      <c r="K655" s="47"/>
      <c r="L655" s="51"/>
    </row>
    <row r="656" spans="1:47" ht="15">
      <c r="A656" s="75" t="s">
        <v>52</v>
      </c>
      <c r="B656" s="76" t="s">
        <v>1215</v>
      </c>
      <c r="C656" s="76" t="s">
        <v>121</v>
      </c>
      <c r="D656" s="185" t="s">
        <v>122</v>
      </c>
      <c r="E656" s="186"/>
      <c r="F656" s="77" t="s">
        <v>4</v>
      </c>
      <c r="G656" s="77" t="s">
        <v>4</v>
      </c>
      <c r="H656" s="77" t="s">
        <v>4</v>
      </c>
      <c r="I656" s="78">
        <f>SUM(I657:I659)</f>
        <v>0</v>
      </c>
      <c r="J656" s="78">
        <f>SUM(J657:J659)</f>
        <v>0</v>
      </c>
      <c r="K656" s="78">
        <f>SUM(K657:K659)</f>
        <v>0</v>
      </c>
      <c r="L656" s="79" t="s">
        <v>52</v>
      </c>
      <c r="AI656" s="9" t="s">
        <v>1215</v>
      </c>
      <c r="AS656" s="1">
        <f>SUM(AJ657:AJ659)</f>
        <v>0</v>
      </c>
      <c r="AT656" s="1">
        <f>SUM(AK657:AK659)</f>
        <v>0</v>
      </c>
      <c r="AU656" s="1">
        <f>SUM(AL657:AL659)</f>
        <v>0</v>
      </c>
    </row>
    <row r="657" spans="1:75" ht="13.5" customHeight="1">
      <c r="A657" s="66" t="s">
        <v>1221</v>
      </c>
      <c r="B657" s="67" t="s">
        <v>1215</v>
      </c>
      <c r="C657" s="67" t="s">
        <v>145</v>
      </c>
      <c r="D657" s="181" t="s">
        <v>146</v>
      </c>
      <c r="E657" s="182"/>
      <c r="F657" s="67" t="s">
        <v>109</v>
      </c>
      <c r="G657" s="68">
        <v>29.48</v>
      </c>
      <c r="H657" s="68">
        <v>0</v>
      </c>
      <c r="I657" s="68">
        <f>G657*AO657</f>
        <v>0</v>
      </c>
      <c r="J657" s="68">
        <f>G657*AP657</f>
        <v>0</v>
      </c>
      <c r="K657" s="68">
        <f>G657*H657</f>
        <v>0</v>
      </c>
      <c r="L657" s="69" t="s">
        <v>137</v>
      </c>
      <c r="Z657" s="27">
        <f>IF(AQ657="5",BJ657,0)</f>
        <v>0</v>
      </c>
      <c r="AB657" s="27">
        <f>IF(AQ657="1",BH657,0)</f>
        <v>0</v>
      </c>
      <c r="AC657" s="27">
        <f>IF(AQ657="1",BI657,0)</f>
        <v>0</v>
      </c>
      <c r="AD657" s="27">
        <f>IF(AQ657="7",BH657,0)</f>
        <v>0</v>
      </c>
      <c r="AE657" s="27">
        <f>IF(AQ657="7",BI657,0)</f>
        <v>0</v>
      </c>
      <c r="AF657" s="27">
        <f>IF(AQ657="2",BH657,0)</f>
        <v>0</v>
      </c>
      <c r="AG657" s="27">
        <f>IF(AQ657="2",BI657,0)</f>
        <v>0</v>
      </c>
      <c r="AH657" s="27">
        <f>IF(AQ657="0",BJ657,0)</f>
        <v>0</v>
      </c>
      <c r="AI657" s="9" t="s">
        <v>1215</v>
      </c>
      <c r="AJ657" s="27">
        <f>IF(AN657=0,K657,0)</f>
        <v>0</v>
      </c>
      <c r="AK657" s="27">
        <f>IF(AN657=12,K657,0)</f>
        <v>0</v>
      </c>
      <c r="AL657" s="27">
        <f>IF(AN657=21,K657,0)</f>
        <v>0</v>
      </c>
      <c r="AN657" s="27">
        <v>21</v>
      </c>
      <c r="AO657" s="27">
        <f>H657*0.334083829</f>
        <v>0</v>
      </c>
      <c r="AP657" s="27">
        <f>H657*(1-0.334083829)</f>
        <v>0</v>
      </c>
      <c r="AQ657" s="29" t="s">
        <v>57</v>
      </c>
      <c r="AV657" s="27">
        <f>AW657+AX657</f>
        <v>0</v>
      </c>
      <c r="AW657" s="27">
        <f>G657*AO657</f>
        <v>0</v>
      </c>
      <c r="AX657" s="27">
        <f>G657*AP657</f>
        <v>0</v>
      </c>
      <c r="AY657" s="29" t="s">
        <v>127</v>
      </c>
      <c r="AZ657" s="29" t="s">
        <v>1222</v>
      </c>
      <c r="BA657" s="9" t="s">
        <v>1219</v>
      </c>
      <c r="BC657" s="27">
        <f>AW657+AX657</f>
        <v>0</v>
      </c>
      <c r="BD657" s="27">
        <f>H657/(100-BE657)*100</f>
        <v>0</v>
      </c>
      <c r="BE657" s="27">
        <v>0</v>
      </c>
      <c r="BF657" s="27">
        <f>657</f>
        <v>657</v>
      </c>
      <c r="BH657" s="27">
        <f>G657*AO657</f>
        <v>0</v>
      </c>
      <c r="BI657" s="27">
        <f>G657*AP657</f>
        <v>0</v>
      </c>
      <c r="BJ657" s="27">
        <f>G657*H657</f>
        <v>0</v>
      </c>
      <c r="BK657" s="27"/>
      <c r="BL657" s="27">
        <v>61</v>
      </c>
      <c r="BW657" s="27">
        <v>21</v>
      </c>
    </row>
    <row r="658" spans="1:12" ht="15">
      <c r="A658" s="52"/>
      <c r="B658" s="53"/>
      <c r="C658" s="53"/>
      <c r="D658" s="54" t="s">
        <v>1223</v>
      </c>
      <c r="E658" s="55" t="s">
        <v>914</v>
      </c>
      <c r="F658" s="53"/>
      <c r="G658" s="56">
        <v>29.48</v>
      </c>
      <c r="H658" s="53"/>
      <c r="I658" s="53"/>
      <c r="J658" s="53"/>
      <c r="K658" s="53"/>
      <c r="L658" s="57"/>
    </row>
    <row r="659" spans="1:75" ht="13.5" customHeight="1">
      <c r="A659" s="66" t="s">
        <v>1224</v>
      </c>
      <c r="B659" s="67" t="s">
        <v>1215</v>
      </c>
      <c r="C659" s="67" t="s">
        <v>916</v>
      </c>
      <c r="D659" s="181" t="s">
        <v>917</v>
      </c>
      <c r="E659" s="182"/>
      <c r="F659" s="67" t="s">
        <v>95</v>
      </c>
      <c r="G659" s="68">
        <v>0.34149</v>
      </c>
      <c r="H659" s="68">
        <v>0</v>
      </c>
      <c r="I659" s="68">
        <f>G659*AO659</f>
        <v>0</v>
      </c>
      <c r="J659" s="68">
        <f>G659*AP659</f>
        <v>0</v>
      </c>
      <c r="K659" s="68">
        <f>G659*H659</f>
        <v>0</v>
      </c>
      <c r="L659" s="69" t="s">
        <v>137</v>
      </c>
      <c r="Z659" s="27">
        <f>IF(AQ659="5",BJ659,0)</f>
        <v>0</v>
      </c>
      <c r="AB659" s="27">
        <f>IF(AQ659="1",BH659,0)</f>
        <v>0</v>
      </c>
      <c r="AC659" s="27">
        <f>IF(AQ659="1",BI659,0)</f>
        <v>0</v>
      </c>
      <c r="AD659" s="27">
        <f>IF(AQ659="7",BH659,0)</f>
        <v>0</v>
      </c>
      <c r="AE659" s="27">
        <f>IF(AQ659="7",BI659,0)</f>
        <v>0</v>
      </c>
      <c r="AF659" s="27">
        <f>IF(AQ659="2",BH659,0)</f>
        <v>0</v>
      </c>
      <c r="AG659" s="27">
        <f>IF(AQ659="2",BI659,0)</f>
        <v>0</v>
      </c>
      <c r="AH659" s="27">
        <f>IF(AQ659="0",BJ659,0)</f>
        <v>0</v>
      </c>
      <c r="AI659" s="9" t="s">
        <v>1215</v>
      </c>
      <c r="AJ659" s="27">
        <f>IF(AN659=0,K659,0)</f>
        <v>0</v>
      </c>
      <c r="AK659" s="27">
        <f>IF(AN659=12,K659,0)</f>
        <v>0</v>
      </c>
      <c r="AL659" s="27">
        <f>IF(AN659=21,K659,0)</f>
        <v>0</v>
      </c>
      <c r="AN659" s="27">
        <v>21</v>
      </c>
      <c r="AO659" s="27">
        <f>H659*0</f>
        <v>0</v>
      </c>
      <c r="AP659" s="27">
        <f>H659*(1-0)</f>
        <v>0</v>
      </c>
      <c r="AQ659" s="29" t="s">
        <v>78</v>
      </c>
      <c r="AV659" s="27">
        <f>AW659+AX659</f>
        <v>0</v>
      </c>
      <c r="AW659" s="27">
        <f>G659*AO659</f>
        <v>0</v>
      </c>
      <c r="AX659" s="27">
        <f>G659*AP659</f>
        <v>0</v>
      </c>
      <c r="AY659" s="29" t="s">
        <v>127</v>
      </c>
      <c r="AZ659" s="29" t="s">
        <v>1222</v>
      </c>
      <c r="BA659" s="9" t="s">
        <v>1219</v>
      </c>
      <c r="BC659" s="27">
        <f>AW659+AX659</f>
        <v>0</v>
      </c>
      <c r="BD659" s="27">
        <f>H659/(100-BE659)*100</f>
        <v>0</v>
      </c>
      <c r="BE659" s="27">
        <v>0</v>
      </c>
      <c r="BF659" s="27">
        <f>659</f>
        <v>659</v>
      </c>
      <c r="BH659" s="27">
        <f>G659*AO659</f>
        <v>0</v>
      </c>
      <c r="BI659" s="27">
        <f>G659*AP659</f>
        <v>0</v>
      </c>
      <c r="BJ659" s="27">
        <f>G659*H659</f>
        <v>0</v>
      </c>
      <c r="BK659" s="27"/>
      <c r="BL659" s="27">
        <v>61</v>
      </c>
      <c r="BW659" s="27">
        <v>21</v>
      </c>
    </row>
    <row r="660" spans="1:47" ht="15">
      <c r="A660" s="75" t="s">
        <v>52</v>
      </c>
      <c r="B660" s="76" t="s">
        <v>1215</v>
      </c>
      <c r="C660" s="76" t="s">
        <v>532</v>
      </c>
      <c r="D660" s="185" t="s">
        <v>533</v>
      </c>
      <c r="E660" s="186"/>
      <c r="F660" s="77" t="s">
        <v>4</v>
      </c>
      <c r="G660" s="77" t="s">
        <v>4</v>
      </c>
      <c r="H660" s="77" t="s">
        <v>4</v>
      </c>
      <c r="I660" s="78">
        <f>SUM(I661:I669)</f>
        <v>0</v>
      </c>
      <c r="J660" s="78">
        <f>SUM(J661:J669)</f>
        <v>0</v>
      </c>
      <c r="K660" s="78">
        <f>SUM(K661:K669)</f>
        <v>0</v>
      </c>
      <c r="L660" s="79" t="s">
        <v>52</v>
      </c>
      <c r="AI660" s="9" t="s">
        <v>1215</v>
      </c>
      <c r="AS660" s="1">
        <f>SUM(AJ661:AJ669)</f>
        <v>0</v>
      </c>
      <c r="AT660" s="1">
        <f>SUM(AK661:AK669)</f>
        <v>0</v>
      </c>
      <c r="AU660" s="1">
        <f>SUM(AL661:AL669)</f>
        <v>0</v>
      </c>
    </row>
    <row r="661" spans="1:75" ht="13.5" customHeight="1">
      <c r="A661" s="66" t="s">
        <v>1225</v>
      </c>
      <c r="B661" s="67" t="s">
        <v>1215</v>
      </c>
      <c r="C661" s="67" t="s">
        <v>919</v>
      </c>
      <c r="D661" s="181" t="s">
        <v>920</v>
      </c>
      <c r="E661" s="182"/>
      <c r="F661" s="67" t="s">
        <v>126</v>
      </c>
      <c r="G661" s="68">
        <v>58.78</v>
      </c>
      <c r="H661" s="68">
        <v>0</v>
      </c>
      <c r="I661" s="68">
        <f>G661*AO661</f>
        <v>0</v>
      </c>
      <c r="J661" s="68">
        <f>G661*AP661</f>
        <v>0</v>
      </c>
      <c r="K661" s="68">
        <f>G661*H661</f>
        <v>0</v>
      </c>
      <c r="L661" s="69" t="s">
        <v>137</v>
      </c>
      <c r="Z661" s="27">
        <f>IF(AQ661="5",BJ661,0)</f>
        <v>0</v>
      </c>
      <c r="AB661" s="27">
        <f>IF(AQ661="1",BH661,0)</f>
        <v>0</v>
      </c>
      <c r="AC661" s="27">
        <f>IF(AQ661="1",BI661,0)</f>
        <v>0</v>
      </c>
      <c r="AD661" s="27">
        <f>IF(AQ661="7",BH661,0)</f>
        <v>0</v>
      </c>
      <c r="AE661" s="27">
        <f>IF(AQ661="7",BI661,0)</f>
        <v>0</v>
      </c>
      <c r="AF661" s="27">
        <f>IF(AQ661="2",BH661,0)</f>
        <v>0</v>
      </c>
      <c r="AG661" s="27">
        <f>IF(AQ661="2",BI661,0)</f>
        <v>0</v>
      </c>
      <c r="AH661" s="27">
        <f>IF(AQ661="0",BJ661,0)</f>
        <v>0</v>
      </c>
      <c r="AI661" s="9" t="s">
        <v>1215</v>
      </c>
      <c r="AJ661" s="27">
        <f>IF(AN661=0,K661,0)</f>
        <v>0</v>
      </c>
      <c r="AK661" s="27">
        <f>IF(AN661=12,K661,0)</f>
        <v>0</v>
      </c>
      <c r="AL661" s="27">
        <f>IF(AN661=21,K661,0)</f>
        <v>0</v>
      </c>
      <c r="AN661" s="27">
        <v>21</v>
      </c>
      <c r="AO661" s="27">
        <f>H661*0</f>
        <v>0</v>
      </c>
      <c r="AP661" s="27">
        <f>H661*(1-0)</f>
        <v>0</v>
      </c>
      <c r="AQ661" s="29" t="s">
        <v>84</v>
      </c>
      <c r="AV661" s="27">
        <f>AW661+AX661</f>
        <v>0</v>
      </c>
      <c r="AW661" s="27">
        <f>G661*AO661</f>
        <v>0</v>
      </c>
      <c r="AX661" s="27">
        <f>G661*AP661</f>
        <v>0</v>
      </c>
      <c r="AY661" s="29" t="s">
        <v>537</v>
      </c>
      <c r="AZ661" s="29" t="s">
        <v>1226</v>
      </c>
      <c r="BA661" s="9" t="s">
        <v>1219</v>
      </c>
      <c r="BC661" s="27">
        <f>AW661+AX661</f>
        <v>0</v>
      </c>
      <c r="BD661" s="27">
        <f>H661/(100-BE661)*100</f>
        <v>0</v>
      </c>
      <c r="BE661" s="27">
        <v>0</v>
      </c>
      <c r="BF661" s="27">
        <f>661</f>
        <v>661</v>
      </c>
      <c r="BH661" s="27">
        <f>G661*AO661</f>
        <v>0</v>
      </c>
      <c r="BI661" s="27">
        <f>G661*AP661</f>
        <v>0</v>
      </c>
      <c r="BJ661" s="27">
        <f>G661*H661</f>
        <v>0</v>
      </c>
      <c r="BK661" s="27"/>
      <c r="BL661" s="27">
        <v>713</v>
      </c>
      <c r="BW661" s="27">
        <v>21</v>
      </c>
    </row>
    <row r="662" spans="1:12" ht="13.5" customHeight="1">
      <c r="A662" s="45"/>
      <c r="D662" s="173" t="s">
        <v>922</v>
      </c>
      <c r="E662" s="174"/>
      <c r="F662" s="174"/>
      <c r="G662" s="174"/>
      <c r="H662" s="174"/>
      <c r="I662" s="174"/>
      <c r="J662" s="174"/>
      <c r="K662" s="174"/>
      <c r="L662" s="175"/>
    </row>
    <row r="663" spans="1:12" ht="15">
      <c r="A663" s="46"/>
      <c r="B663" s="47"/>
      <c r="C663" s="47"/>
      <c r="D663" s="48" t="s">
        <v>1227</v>
      </c>
      <c r="E663" s="49" t="s">
        <v>924</v>
      </c>
      <c r="F663" s="47"/>
      <c r="G663" s="50">
        <v>58.78</v>
      </c>
      <c r="H663" s="47"/>
      <c r="I663" s="47"/>
      <c r="J663" s="47"/>
      <c r="K663" s="47"/>
      <c r="L663" s="51"/>
    </row>
    <row r="664" spans="1:75" ht="13.5" customHeight="1">
      <c r="A664" s="80" t="s">
        <v>1228</v>
      </c>
      <c r="B664" s="81" t="s">
        <v>1215</v>
      </c>
      <c r="C664" s="81" t="s">
        <v>926</v>
      </c>
      <c r="D664" s="187" t="s">
        <v>927</v>
      </c>
      <c r="E664" s="188"/>
      <c r="F664" s="81" t="s">
        <v>126</v>
      </c>
      <c r="G664" s="82">
        <v>64.658</v>
      </c>
      <c r="H664" s="82">
        <v>0</v>
      </c>
      <c r="I664" s="82">
        <f>G664*AO664</f>
        <v>0</v>
      </c>
      <c r="J664" s="82">
        <f>G664*AP664</f>
        <v>0</v>
      </c>
      <c r="K664" s="82">
        <f>G664*H664</f>
        <v>0</v>
      </c>
      <c r="L664" s="83" t="s">
        <v>137</v>
      </c>
      <c r="Z664" s="27">
        <f>IF(AQ664="5",BJ664,0)</f>
        <v>0</v>
      </c>
      <c r="AB664" s="27">
        <f>IF(AQ664="1",BH664,0)</f>
        <v>0</v>
      </c>
      <c r="AC664" s="27">
        <f>IF(AQ664="1",BI664,0)</f>
        <v>0</v>
      </c>
      <c r="AD664" s="27">
        <f>IF(AQ664="7",BH664,0)</f>
        <v>0</v>
      </c>
      <c r="AE664" s="27">
        <f>IF(AQ664="7",BI664,0)</f>
        <v>0</v>
      </c>
      <c r="AF664" s="27">
        <f>IF(AQ664="2",BH664,0)</f>
        <v>0</v>
      </c>
      <c r="AG664" s="27">
        <f>IF(AQ664="2",BI664,0)</f>
        <v>0</v>
      </c>
      <c r="AH664" s="27">
        <f>IF(AQ664="0",BJ664,0)</f>
        <v>0</v>
      </c>
      <c r="AI664" s="9" t="s">
        <v>1215</v>
      </c>
      <c r="AJ664" s="62">
        <f>IF(AN664=0,K664,0)</f>
        <v>0</v>
      </c>
      <c r="AK664" s="62">
        <f>IF(AN664=12,K664,0)</f>
        <v>0</v>
      </c>
      <c r="AL664" s="62">
        <f>IF(AN664=21,K664,0)</f>
        <v>0</v>
      </c>
      <c r="AN664" s="27">
        <v>21</v>
      </c>
      <c r="AO664" s="27">
        <f>H664*1</f>
        <v>0</v>
      </c>
      <c r="AP664" s="27">
        <f>H664*(1-1)</f>
        <v>0</v>
      </c>
      <c r="AQ664" s="64" t="s">
        <v>84</v>
      </c>
      <c r="AV664" s="27">
        <f>AW664+AX664</f>
        <v>0</v>
      </c>
      <c r="AW664" s="27">
        <f>G664*AO664</f>
        <v>0</v>
      </c>
      <c r="AX664" s="27">
        <f>G664*AP664</f>
        <v>0</v>
      </c>
      <c r="AY664" s="29" t="s">
        <v>537</v>
      </c>
      <c r="AZ664" s="29" t="s">
        <v>1226</v>
      </c>
      <c r="BA664" s="9" t="s">
        <v>1219</v>
      </c>
      <c r="BC664" s="27">
        <f>AW664+AX664</f>
        <v>0</v>
      </c>
      <c r="BD664" s="27">
        <f>H664/(100-BE664)*100</f>
        <v>0</v>
      </c>
      <c r="BE664" s="27">
        <v>0</v>
      </c>
      <c r="BF664" s="27">
        <f>664</f>
        <v>664</v>
      </c>
      <c r="BH664" s="62">
        <f>G664*AO664</f>
        <v>0</v>
      </c>
      <c r="BI664" s="62">
        <f>G664*AP664</f>
        <v>0</v>
      </c>
      <c r="BJ664" s="62">
        <f>G664*H664</f>
        <v>0</v>
      </c>
      <c r="BK664" s="62"/>
      <c r="BL664" s="27">
        <v>713</v>
      </c>
      <c r="BW664" s="27">
        <v>21</v>
      </c>
    </row>
    <row r="665" spans="1:12" ht="15">
      <c r="A665" s="52"/>
      <c r="B665" s="53"/>
      <c r="C665" s="53"/>
      <c r="D665" s="54" t="s">
        <v>1227</v>
      </c>
      <c r="E665" s="55" t="s">
        <v>924</v>
      </c>
      <c r="F665" s="53"/>
      <c r="G665" s="56">
        <v>58.78</v>
      </c>
      <c r="H665" s="53"/>
      <c r="I665" s="53"/>
      <c r="J665" s="53"/>
      <c r="K665" s="53"/>
      <c r="L665" s="57"/>
    </row>
    <row r="666" spans="1:12" ht="15">
      <c r="A666" s="52"/>
      <c r="B666" s="53"/>
      <c r="C666" s="53"/>
      <c r="D666" s="54" t="s">
        <v>1229</v>
      </c>
      <c r="E666" s="55" t="s">
        <v>52</v>
      </c>
      <c r="F666" s="53"/>
      <c r="G666" s="56">
        <v>5.878</v>
      </c>
      <c r="H666" s="53"/>
      <c r="I666" s="53"/>
      <c r="J666" s="53"/>
      <c r="K666" s="53"/>
      <c r="L666" s="57"/>
    </row>
    <row r="667" spans="1:75" ht="13.5" customHeight="1">
      <c r="A667" s="101" t="s">
        <v>1230</v>
      </c>
      <c r="B667" s="102" t="s">
        <v>1215</v>
      </c>
      <c r="C667" s="102" t="s">
        <v>1231</v>
      </c>
      <c r="D667" s="198" t="s">
        <v>1232</v>
      </c>
      <c r="E667" s="199"/>
      <c r="F667" s="102" t="s">
        <v>951</v>
      </c>
      <c r="G667" s="103">
        <v>17.93</v>
      </c>
      <c r="H667" s="103">
        <v>0</v>
      </c>
      <c r="I667" s="103">
        <f>G667*AO667</f>
        <v>0</v>
      </c>
      <c r="J667" s="103">
        <f>G667*AP667</f>
        <v>0</v>
      </c>
      <c r="K667" s="103">
        <f>G667*H667</f>
        <v>0</v>
      </c>
      <c r="L667" s="104" t="s">
        <v>137</v>
      </c>
      <c r="Z667" s="27">
        <f>IF(AQ667="5",BJ667,0)</f>
        <v>0</v>
      </c>
      <c r="AB667" s="27">
        <f>IF(AQ667="1",BH667,0)</f>
        <v>0</v>
      </c>
      <c r="AC667" s="27">
        <f>IF(AQ667="1",BI667,0)</f>
        <v>0</v>
      </c>
      <c r="AD667" s="27">
        <f>IF(AQ667="7",BH667,0)</f>
        <v>0</v>
      </c>
      <c r="AE667" s="27">
        <f>IF(AQ667="7",BI667,0)</f>
        <v>0</v>
      </c>
      <c r="AF667" s="27">
        <f>IF(AQ667="2",BH667,0)</f>
        <v>0</v>
      </c>
      <c r="AG667" s="27">
        <f>IF(AQ667="2",BI667,0)</f>
        <v>0</v>
      </c>
      <c r="AH667" s="27">
        <f>IF(AQ667="0",BJ667,0)</f>
        <v>0</v>
      </c>
      <c r="AI667" s="9" t="s">
        <v>1215</v>
      </c>
      <c r="AJ667" s="27">
        <f>IF(AN667=0,K667,0)</f>
        <v>0</v>
      </c>
      <c r="AK667" s="27">
        <f>IF(AN667=12,K667,0)</f>
        <v>0</v>
      </c>
      <c r="AL667" s="27">
        <f>IF(AN667=21,K667,0)</f>
        <v>0</v>
      </c>
      <c r="AN667" s="27">
        <v>21</v>
      </c>
      <c r="AO667" s="27">
        <f>H667*0</f>
        <v>0</v>
      </c>
      <c r="AP667" s="27">
        <f>H667*(1-0)</f>
        <v>0</v>
      </c>
      <c r="AQ667" s="29" t="s">
        <v>78</v>
      </c>
      <c r="AV667" s="27">
        <f>AW667+AX667</f>
        <v>0</v>
      </c>
      <c r="AW667" s="27">
        <f>G667*AO667</f>
        <v>0</v>
      </c>
      <c r="AX667" s="27">
        <f>G667*AP667</f>
        <v>0</v>
      </c>
      <c r="AY667" s="29" t="s">
        <v>537</v>
      </c>
      <c r="AZ667" s="29" t="s">
        <v>1226</v>
      </c>
      <c r="BA667" s="9" t="s">
        <v>1219</v>
      </c>
      <c r="BC667" s="27">
        <f>AW667+AX667</f>
        <v>0</v>
      </c>
      <c r="BD667" s="27">
        <f>H667/(100-BE667)*100</f>
        <v>0</v>
      </c>
      <c r="BE667" s="27">
        <v>0</v>
      </c>
      <c r="BF667" s="27">
        <f>667</f>
        <v>667</v>
      </c>
      <c r="BH667" s="27">
        <f>G667*AO667</f>
        <v>0</v>
      </c>
      <c r="BI667" s="27">
        <f>G667*AP667</f>
        <v>0</v>
      </c>
      <c r="BJ667" s="27">
        <f>G667*H667</f>
        <v>0</v>
      </c>
      <c r="BK667" s="27"/>
      <c r="BL667" s="27">
        <v>713</v>
      </c>
      <c r="BW667" s="27">
        <v>21</v>
      </c>
    </row>
    <row r="668" spans="1:12" ht="15">
      <c r="A668" s="30"/>
      <c r="D668" s="32" t="s">
        <v>1233</v>
      </c>
      <c r="E668" s="31" t="s">
        <v>52</v>
      </c>
      <c r="G668" s="33">
        <v>17.93</v>
      </c>
      <c r="L668" s="34"/>
    </row>
    <row r="669" spans="1:75" ht="13.5" customHeight="1">
      <c r="A669" s="2" t="s">
        <v>1234</v>
      </c>
      <c r="B669" s="3" t="s">
        <v>1215</v>
      </c>
      <c r="C669" s="3" t="s">
        <v>931</v>
      </c>
      <c r="D669" s="148" t="s">
        <v>932</v>
      </c>
      <c r="E669" s="143"/>
      <c r="F669" s="3" t="s">
        <v>154</v>
      </c>
      <c r="G669" s="27">
        <v>3</v>
      </c>
      <c r="H669" s="27">
        <v>0</v>
      </c>
      <c r="I669" s="27">
        <f>G669*AO669</f>
        <v>0</v>
      </c>
      <c r="J669" s="27">
        <f>G669*AP669</f>
        <v>0</v>
      </c>
      <c r="K669" s="27">
        <f>G669*H669</f>
        <v>0</v>
      </c>
      <c r="L669" s="28" t="s">
        <v>137</v>
      </c>
      <c r="Z669" s="27">
        <f>IF(AQ669="5",BJ669,0)</f>
        <v>0</v>
      </c>
      <c r="AB669" s="27">
        <f>IF(AQ669="1",BH669,0)</f>
        <v>0</v>
      </c>
      <c r="AC669" s="27">
        <f>IF(AQ669="1",BI669,0)</f>
        <v>0</v>
      </c>
      <c r="AD669" s="27">
        <f>IF(AQ669="7",BH669,0)</f>
        <v>0</v>
      </c>
      <c r="AE669" s="27">
        <f>IF(AQ669="7",BI669,0)</f>
        <v>0</v>
      </c>
      <c r="AF669" s="27">
        <f>IF(AQ669="2",BH669,0)</f>
        <v>0</v>
      </c>
      <c r="AG669" s="27">
        <f>IF(AQ669="2",BI669,0)</f>
        <v>0</v>
      </c>
      <c r="AH669" s="27">
        <f>IF(AQ669="0",BJ669,0)</f>
        <v>0</v>
      </c>
      <c r="AI669" s="9" t="s">
        <v>1215</v>
      </c>
      <c r="AJ669" s="27">
        <f>IF(AN669=0,K669,0)</f>
        <v>0</v>
      </c>
      <c r="AK669" s="27">
        <f>IF(AN669=12,K669,0)</f>
        <v>0</v>
      </c>
      <c r="AL669" s="27">
        <f>IF(AN669=21,K669,0)</f>
        <v>0</v>
      </c>
      <c r="AN669" s="27">
        <v>21</v>
      </c>
      <c r="AO669" s="27">
        <f>H669*0.76852917</f>
        <v>0</v>
      </c>
      <c r="AP669" s="27">
        <f>H669*(1-0.76852917)</f>
        <v>0</v>
      </c>
      <c r="AQ669" s="29" t="s">
        <v>84</v>
      </c>
      <c r="AV669" s="27">
        <f>AW669+AX669</f>
        <v>0</v>
      </c>
      <c r="AW669" s="27">
        <f>G669*AO669</f>
        <v>0</v>
      </c>
      <c r="AX669" s="27">
        <f>G669*AP669</f>
        <v>0</v>
      </c>
      <c r="AY669" s="29" t="s">
        <v>537</v>
      </c>
      <c r="AZ669" s="29" t="s">
        <v>1226</v>
      </c>
      <c r="BA669" s="9" t="s">
        <v>1219</v>
      </c>
      <c r="BC669" s="27">
        <f>AW669+AX669</f>
        <v>0</v>
      </c>
      <c r="BD669" s="27">
        <f>H669/(100-BE669)*100</f>
        <v>0</v>
      </c>
      <c r="BE669" s="27">
        <v>0</v>
      </c>
      <c r="BF669" s="27">
        <f>669</f>
        <v>669</v>
      </c>
      <c r="BH669" s="27">
        <f>G669*AO669</f>
        <v>0</v>
      </c>
      <c r="BI669" s="27">
        <f>G669*AP669</f>
        <v>0</v>
      </c>
      <c r="BJ669" s="27">
        <f>G669*H669</f>
        <v>0</v>
      </c>
      <c r="BK669" s="27"/>
      <c r="BL669" s="27">
        <v>713</v>
      </c>
      <c r="BW669" s="27">
        <v>21</v>
      </c>
    </row>
    <row r="670" spans="1:12" ht="13.5" customHeight="1">
      <c r="A670" s="30"/>
      <c r="D670" s="166" t="s">
        <v>933</v>
      </c>
      <c r="E670" s="167"/>
      <c r="F670" s="167"/>
      <c r="G670" s="167"/>
      <c r="H670" s="167"/>
      <c r="I670" s="167"/>
      <c r="J670" s="167"/>
      <c r="K670" s="167"/>
      <c r="L670" s="168"/>
    </row>
    <row r="671" spans="1:12" ht="15">
      <c r="A671" s="30"/>
      <c r="D671" s="32" t="s">
        <v>72</v>
      </c>
      <c r="E671" s="31" t="s">
        <v>934</v>
      </c>
      <c r="G671" s="33">
        <v>3</v>
      </c>
      <c r="L671" s="34"/>
    </row>
    <row r="672" spans="1:12" ht="13.5" customHeight="1">
      <c r="A672" s="98"/>
      <c r="C672" s="99" t="s">
        <v>102</v>
      </c>
      <c r="D672" s="195" t="s">
        <v>1235</v>
      </c>
      <c r="E672" s="196"/>
      <c r="F672" s="196"/>
      <c r="G672" s="196"/>
      <c r="H672" s="196"/>
      <c r="I672" s="196"/>
      <c r="J672" s="196"/>
      <c r="K672" s="196"/>
      <c r="L672" s="197"/>
    </row>
    <row r="673" spans="1:47" ht="15">
      <c r="A673" s="70" t="s">
        <v>52</v>
      </c>
      <c r="B673" s="71" t="s">
        <v>1215</v>
      </c>
      <c r="C673" s="71" t="s">
        <v>935</v>
      </c>
      <c r="D673" s="183" t="s">
        <v>936</v>
      </c>
      <c r="E673" s="184"/>
      <c r="F673" s="72" t="s">
        <v>4</v>
      </c>
      <c r="G673" s="72" t="s">
        <v>4</v>
      </c>
      <c r="H673" s="72" t="s">
        <v>4</v>
      </c>
      <c r="I673" s="73">
        <f>SUM(I674:I678)</f>
        <v>0</v>
      </c>
      <c r="J673" s="73">
        <f>SUM(J674:J678)</f>
        <v>0</v>
      </c>
      <c r="K673" s="73">
        <f>SUM(K674:K678)</f>
        <v>0</v>
      </c>
      <c r="L673" s="74" t="s">
        <v>52</v>
      </c>
      <c r="AI673" s="9" t="s">
        <v>1215</v>
      </c>
      <c r="AS673" s="1">
        <f>SUM(AJ674:AJ678)</f>
        <v>0</v>
      </c>
      <c r="AT673" s="1">
        <f>SUM(AK674:AK678)</f>
        <v>0</v>
      </c>
      <c r="AU673" s="1">
        <f>SUM(AL674:AL678)</f>
        <v>0</v>
      </c>
    </row>
    <row r="674" spans="1:75" ht="13.5" customHeight="1">
      <c r="A674" s="66" t="s">
        <v>1236</v>
      </c>
      <c r="B674" s="67" t="s">
        <v>1215</v>
      </c>
      <c r="C674" s="67" t="s">
        <v>1237</v>
      </c>
      <c r="D674" s="181" t="s">
        <v>939</v>
      </c>
      <c r="E674" s="182"/>
      <c r="F674" s="67" t="s">
        <v>940</v>
      </c>
      <c r="G674" s="68">
        <v>3</v>
      </c>
      <c r="H674" s="68">
        <v>0</v>
      </c>
      <c r="I674" s="68">
        <f>G674*AO674</f>
        <v>0</v>
      </c>
      <c r="J674" s="68">
        <f>G674*AP674</f>
        <v>0</v>
      </c>
      <c r="K674" s="68">
        <f>G674*H674</f>
        <v>0</v>
      </c>
      <c r="L674" s="69" t="s">
        <v>70</v>
      </c>
      <c r="Z674" s="27">
        <f>IF(AQ674="5",BJ674,0)</f>
        <v>0</v>
      </c>
      <c r="AB674" s="27">
        <f>IF(AQ674="1",BH674,0)</f>
        <v>0</v>
      </c>
      <c r="AC674" s="27">
        <f>IF(AQ674="1",BI674,0)</f>
        <v>0</v>
      </c>
      <c r="AD674" s="27">
        <f>IF(AQ674="7",BH674,0)</f>
        <v>0</v>
      </c>
      <c r="AE674" s="27">
        <f>IF(AQ674="7",BI674,0)</f>
        <v>0</v>
      </c>
      <c r="AF674" s="27">
        <f>IF(AQ674="2",BH674,0)</f>
        <v>0</v>
      </c>
      <c r="AG674" s="27">
        <f>IF(AQ674="2",BI674,0)</f>
        <v>0</v>
      </c>
      <c r="AH674" s="27">
        <f>IF(AQ674="0",BJ674,0)</f>
        <v>0</v>
      </c>
      <c r="AI674" s="9" t="s">
        <v>1215</v>
      </c>
      <c r="AJ674" s="27">
        <f>IF(AN674=0,K674,0)</f>
        <v>0</v>
      </c>
      <c r="AK674" s="27">
        <f>IF(AN674=12,K674,0)</f>
        <v>0</v>
      </c>
      <c r="AL674" s="27">
        <f>IF(AN674=21,K674,0)</f>
        <v>0</v>
      </c>
      <c r="AN674" s="27">
        <v>21</v>
      </c>
      <c r="AO674" s="27">
        <f>H674*0</f>
        <v>0</v>
      </c>
      <c r="AP674" s="27">
        <f>H674*(1-0)</f>
        <v>0</v>
      </c>
      <c r="AQ674" s="29" t="s">
        <v>84</v>
      </c>
      <c r="AV674" s="27">
        <f>AW674+AX674</f>
        <v>0</v>
      </c>
      <c r="AW674" s="27">
        <f>G674*AO674</f>
        <v>0</v>
      </c>
      <c r="AX674" s="27">
        <f>G674*AP674</f>
        <v>0</v>
      </c>
      <c r="AY674" s="29" t="s">
        <v>941</v>
      </c>
      <c r="AZ674" s="29" t="s">
        <v>1238</v>
      </c>
      <c r="BA674" s="9" t="s">
        <v>1219</v>
      </c>
      <c r="BC674" s="27">
        <f>AW674+AX674</f>
        <v>0</v>
      </c>
      <c r="BD674" s="27">
        <f>H674/(100-BE674)*100</f>
        <v>0</v>
      </c>
      <c r="BE674" s="27">
        <v>0</v>
      </c>
      <c r="BF674" s="27">
        <f>674</f>
        <v>674</v>
      </c>
      <c r="BH674" s="27">
        <f>G674*AO674</f>
        <v>0</v>
      </c>
      <c r="BI674" s="27">
        <f>G674*AP674</f>
        <v>0</v>
      </c>
      <c r="BJ674" s="27">
        <f>G674*H674</f>
        <v>0</v>
      </c>
      <c r="BK674" s="27"/>
      <c r="BL674" s="27">
        <v>728</v>
      </c>
      <c r="BW674" s="27">
        <v>21</v>
      </c>
    </row>
    <row r="675" spans="1:12" ht="54" customHeight="1">
      <c r="A675" s="45"/>
      <c r="D675" s="173" t="s">
        <v>1239</v>
      </c>
      <c r="E675" s="174"/>
      <c r="F675" s="174"/>
      <c r="G675" s="174"/>
      <c r="H675" s="174"/>
      <c r="I675" s="174"/>
      <c r="J675" s="174"/>
      <c r="K675" s="174"/>
      <c r="L675" s="175"/>
    </row>
    <row r="676" spans="1:12" ht="15">
      <c r="A676" s="46"/>
      <c r="B676" s="47"/>
      <c r="C676" s="47"/>
      <c r="D676" s="48" t="s">
        <v>60</v>
      </c>
      <c r="E676" s="49" t="s">
        <v>1240</v>
      </c>
      <c r="F676" s="47"/>
      <c r="G676" s="50">
        <v>2</v>
      </c>
      <c r="H676" s="47"/>
      <c r="I676" s="47"/>
      <c r="J676" s="47"/>
      <c r="K676" s="47"/>
      <c r="L676" s="51"/>
    </row>
    <row r="677" spans="1:12" ht="15">
      <c r="A677" s="52"/>
      <c r="B677" s="53"/>
      <c r="C677" s="53"/>
      <c r="D677" s="54" t="s">
        <v>57</v>
      </c>
      <c r="E677" s="55" t="s">
        <v>1241</v>
      </c>
      <c r="F677" s="53"/>
      <c r="G677" s="56">
        <v>1</v>
      </c>
      <c r="H677" s="53"/>
      <c r="I677" s="53"/>
      <c r="J677" s="53"/>
      <c r="K677" s="53"/>
      <c r="L677" s="57"/>
    </row>
    <row r="678" spans="1:75" ht="13.5" customHeight="1">
      <c r="A678" s="101" t="s">
        <v>1242</v>
      </c>
      <c r="B678" s="102" t="s">
        <v>1215</v>
      </c>
      <c r="C678" s="102" t="s">
        <v>1243</v>
      </c>
      <c r="D678" s="198" t="s">
        <v>1244</v>
      </c>
      <c r="E678" s="199"/>
      <c r="F678" s="102" t="s">
        <v>940</v>
      </c>
      <c r="G678" s="103">
        <v>1</v>
      </c>
      <c r="H678" s="103">
        <v>0</v>
      </c>
      <c r="I678" s="103">
        <f>G678*AO678</f>
        <v>0</v>
      </c>
      <c r="J678" s="103">
        <f>G678*AP678</f>
        <v>0</v>
      </c>
      <c r="K678" s="103">
        <f>G678*H678</f>
        <v>0</v>
      </c>
      <c r="L678" s="104" t="s">
        <v>70</v>
      </c>
      <c r="Z678" s="27">
        <f>IF(AQ678="5",BJ678,0)</f>
        <v>0</v>
      </c>
      <c r="AB678" s="27">
        <f>IF(AQ678="1",BH678,0)</f>
        <v>0</v>
      </c>
      <c r="AC678" s="27">
        <f>IF(AQ678="1",BI678,0)</f>
        <v>0</v>
      </c>
      <c r="AD678" s="27">
        <f>IF(AQ678="7",BH678,0)</f>
        <v>0</v>
      </c>
      <c r="AE678" s="27">
        <f>IF(AQ678="7",BI678,0)</f>
        <v>0</v>
      </c>
      <c r="AF678" s="27">
        <f>IF(AQ678="2",BH678,0)</f>
        <v>0</v>
      </c>
      <c r="AG678" s="27">
        <f>IF(AQ678="2",BI678,0)</f>
        <v>0</v>
      </c>
      <c r="AH678" s="27">
        <f>IF(AQ678="0",BJ678,0)</f>
        <v>0</v>
      </c>
      <c r="AI678" s="9" t="s">
        <v>1215</v>
      </c>
      <c r="AJ678" s="27">
        <f>IF(AN678=0,K678,0)</f>
        <v>0</v>
      </c>
      <c r="AK678" s="27">
        <f>IF(AN678=12,K678,0)</f>
        <v>0</v>
      </c>
      <c r="AL678" s="27">
        <f>IF(AN678=21,K678,0)</f>
        <v>0</v>
      </c>
      <c r="AN678" s="27">
        <v>21</v>
      </c>
      <c r="AO678" s="27">
        <f>H678*0</f>
        <v>0</v>
      </c>
      <c r="AP678" s="27">
        <f>H678*(1-0)</f>
        <v>0</v>
      </c>
      <c r="AQ678" s="29" t="s">
        <v>84</v>
      </c>
      <c r="AV678" s="27">
        <f>AW678+AX678</f>
        <v>0</v>
      </c>
      <c r="AW678" s="27">
        <f>G678*AO678</f>
        <v>0</v>
      </c>
      <c r="AX678" s="27">
        <f>G678*AP678</f>
        <v>0</v>
      </c>
      <c r="AY678" s="29" t="s">
        <v>941</v>
      </c>
      <c r="AZ678" s="29" t="s">
        <v>1238</v>
      </c>
      <c r="BA678" s="9" t="s">
        <v>1219</v>
      </c>
      <c r="BC678" s="27">
        <f>AW678+AX678</f>
        <v>0</v>
      </c>
      <c r="BD678" s="27">
        <f>H678/(100-BE678)*100</f>
        <v>0</v>
      </c>
      <c r="BE678" s="27">
        <v>0</v>
      </c>
      <c r="BF678" s="27">
        <f>678</f>
        <v>678</v>
      </c>
      <c r="BH678" s="27">
        <f>G678*AO678</f>
        <v>0</v>
      </c>
      <c r="BI678" s="27">
        <f>G678*AP678</f>
        <v>0</v>
      </c>
      <c r="BJ678" s="27">
        <f>G678*H678</f>
        <v>0</v>
      </c>
      <c r="BK678" s="27"/>
      <c r="BL678" s="27">
        <v>728</v>
      </c>
      <c r="BW678" s="27">
        <v>21</v>
      </c>
    </row>
    <row r="679" spans="1:12" ht="27" customHeight="1">
      <c r="A679" s="30"/>
      <c r="D679" s="166" t="s">
        <v>1245</v>
      </c>
      <c r="E679" s="167"/>
      <c r="F679" s="167"/>
      <c r="G679" s="167"/>
      <c r="H679" s="167"/>
      <c r="I679" s="167"/>
      <c r="J679" s="167"/>
      <c r="K679" s="167"/>
      <c r="L679" s="168"/>
    </row>
    <row r="680" spans="1:12" ht="15">
      <c r="A680" s="98"/>
      <c r="D680" s="105" t="s">
        <v>57</v>
      </c>
      <c r="E680" s="100" t="s">
        <v>52</v>
      </c>
      <c r="G680" s="106">
        <v>1</v>
      </c>
      <c r="L680" s="107"/>
    </row>
    <row r="681" spans="1:47" ht="15">
      <c r="A681" s="70" t="s">
        <v>52</v>
      </c>
      <c r="B681" s="71" t="s">
        <v>1215</v>
      </c>
      <c r="C681" s="71" t="s">
        <v>946</v>
      </c>
      <c r="D681" s="183" t="s">
        <v>947</v>
      </c>
      <c r="E681" s="184"/>
      <c r="F681" s="72" t="s">
        <v>4</v>
      </c>
      <c r="G681" s="72" t="s">
        <v>4</v>
      </c>
      <c r="H681" s="72" t="s">
        <v>4</v>
      </c>
      <c r="I681" s="73">
        <f>SUM(I682:I693)</f>
        <v>0</v>
      </c>
      <c r="J681" s="73">
        <f>SUM(J682:J693)</f>
        <v>0</v>
      </c>
      <c r="K681" s="73">
        <f>SUM(K682:K693)</f>
        <v>0</v>
      </c>
      <c r="L681" s="74" t="s">
        <v>52</v>
      </c>
      <c r="AI681" s="9" t="s">
        <v>1215</v>
      </c>
      <c r="AS681" s="1">
        <f>SUM(AJ682:AJ693)</f>
        <v>0</v>
      </c>
      <c r="AT681" s="1">
        <f>SUM(AK682:AK693)</f>
        <v>0</v>
      </c>
      <c r="AU681" s="1">
        <f>SUM(AL682:AL693)</f>
        <v>0</v>
      </c>
    </row>
    <row r="682" spans="1:75" ht="13.5" customHeight="1">
      <c r="A682" s="66" t="s">
        <v>1246</v>
      </c>
      <c r="B682" s="67" t="s">
        <v>1215</v>
      </c>
      <c r="C682" s="67" t="s">
        <v>961</v>
      </c>
      <c r="D682" s="181" t="s">
        <v>962</v>
      </c>
      <c r="E682" s="182"/>
      <c r="F682" s="67" t="s">
        <v>154</v>
      </c>
      <c r="G682" s="68">
        <v>3</v>
      </c>
      <c r="H682" s="68">
        <v>0</v>
      </c>
      <c r="I682" s="68">
        <f>G682*AO682</f>
        <v>0</v>
      </c>
      <c r="J682" s="68">
        <f>G682*AP682</f>
        <v>0</v>
      </c>
      <c r="K682" s="68">
        <f>G682*H682</f>
        <v>0</v>
      </c>
      <c r="L682" s="69" t="s">
        <v>137</v>
      </c>
      <c r="Z682" s="27">
        <f>IF(AQ682="5",BJ682,0)</f>
        <v>0</v>
      </c>
      <c r="AB682" s="27">
        <f>IF(AQ682="1",BH682,0)</f>
        <v>0</v>
      </c>
      <c r="AC682" s="27">
        <f>IF(AQ682="1",BI682,0)</f>
        <v>0</v>
      </c>
      <c r="AD682" s="27">
        <f>IF(AQ682="7",BH682,0)</f>
        <v>0</v>
      </c>
      <c r="AE682" s="27">
        <f>IF(AQ682="7",BI682,0)</f>
        <v>0</v>
      </c>
      <c r="AF682" s="27">
        <f>IF(AQ682="2",BH682,0)</f>
        <v>0</v>
      </c>
      <c r="AG682" s="27">
        <f>IF(AQ682="2",BI682,0)</f>
        <v>0</v>
      </c>
      <c r="AH682" s="27">
        <f>IF(AQ682="0",BJ682,0)</f>
        <v>0</v>
      </c>
      <c r="AI682" s="9" t="s">
        <v>1215</v>
      </c>
      <c r="AJ682" s="27">
        <f>IF(AN682=0,K682,0)</f>
        <v>0</v>
      </c>
      <c r="AK682" s="27">
        <f>IF(AN682=12,K682,0)</f>
        <v>0</v>
      </c>
      <c r="AL682" s="27">
        <f>IF(AN682=21,K682,0)</f>
        <v>0</v>
      </c>
      <c r="AN682" s="27">
        <v>21</v>
      </c>
      <c r="AO682" s="27">
        <f>H682*0</f>
        <v>0</v>
      </c>
      <c r="AP682" s="27">
        <f>H682*(1-0)</f>
        <v>0</v>
      </c>
      <c r="AQ682" s="29" t="s">
        <v>84</v>
      </c>
      <c r="AV682" s="27">
        <f>AW682+AX682</f>
        <v>0</v>
      </c>
      <c r="AW682" s="27">
        <f>G682*AO682</f>
        <v>0</v>
      </c>
      <c r="AX682" s="27">
        <f>G682*AP682</f>
        <v>0</v>
      </c>
      <c r="AY682" s="29" t="s">
        <v>952</v>
      </c>
      <c r="AZ682" s="29" t="s">
        <v>1247</v>
      </c>
      <c r="BA682" s="9" t="s">
        <v>1219</v>
      </c>
      <c r="BC682" s="27">
        <f>AW682+AX682</f>
        <v>0</v>
      </c>
      <c r="BD682" s="27">
        <f>H682/(100-BE682)*100</f>
        <v>0</v>
      </c>
      <c r="BE682" s="27">
        <v>0</v>
      </c>
      <c r="BF682" s="27">
        <f>682</f>
        <v>682</v>
      </c>
      <c r="BH682" s="27">
        <f>G682*AO682</f>
        <v>0</v>
      </c>
      <c r="BI682" s="27">
        <f>G682*AP682</f>
        <v>0</v>
      </c>
      <c r="BJ682" s="27">
        <f>G682*H682</f>
        <v>0</v>
      </c>
      <c r="BK682" s="27"/>
      <c r="BL682" s="27">
        <v>766</v>
      </c>
      <c r="BW682" s="27">
        <v>21</v>
      </c>
    </row>
    <row r="683" spans="1:12" ht="15">
      <c r="A683" s="52"/>
      <c r="B683" s="53"/>
      <c r="C683" s="53"/>
      <c r="D683" s="54" t="s">
        <v>60</v>
      </c>
      <c r="E683" s="55" t="s">
        <v>963</v>
      </c>
      <c r="F683" s="53"/>
      <c r="G683" s="56">
        <v>2</v>
      </c>
      <c r="H683" s="53"/>
      <c r="I683" s="53"/>
      <c r="J683" s="53"/>
      <c r="K683" s="53"/>
      <c r="L683" s="57"/>
    </row>
    <row r="684" spans="1:12" ht="15">
      <c r="A684" s="52"/>
      <c r="B684" s="53"/>
      <c r="C684" s="53"/>
      <c r="D684" s="54" t="s">
        <v>57</v>
      </c>
      <c r="E684" s="55" t="s">
        <v>1248</v>
      </c>
      <c r="F684" s="53"/>
      <c r="G684" s="56">
        <v>1</v>
      </c>
      <c r="H684" s="53"/>
      <c r="I684" s="53"/>
      <c r="J684" s="53"/>
      <c r="K684" s="53"/>
      <c r="L684" s="57"/>
    </row>
    <row r="685" spans="1:75" ht="13.5" customHeight="1">
      <c r="A685" s="80" t="s">
        <v>1249</v>
      </c>
      <c r="B685" s="81" t="s">
        <v>1215</v>
      </c>
      <c r="C685" s="81" t="s">
        <v>956</v>
      </c>
      <c r="D685" s="187" t="s">
        <v>957</v>
      </c>
      <c r="E685" s="188"/>
      <c r="F685" s="81" t="s">
        <v>154</v>
      </c>
      <c r="G685" s="82">
        <v>1</v>
      </c>
      <c r="H685" s="82">
        <v>0</v>
      </c>
      <c r="I685" s="82">
        <f>G685*AO685</f>
        <v>0</v>
      </c>
      <c r="J685" s="82">
        <f>G685*AP685</f>
        <v>0</v>
      </c>
      <c r="K685" s="82">
        <f>G685*H685</f>
        <v>0</v>
      </c>
      <c r="L685" s="83" t="s">
        <v>137</v>
      </c>
      <c r="Z685" s="27">
        <f>IF(AQ685="5",BJ685,0)</f>
        <v>0</v>
      </c>
      <c r="AB685" s="27">
        <f>IF(AQ685="1",BH685,0)</f>
        <v>0</v>
      </c>
      <c r="AC685" s="27">
        <f>IF(AQ685="1",BI685,0)</f>
        <v>0</v>
      </c>
      <c r="AD685" s="27">
        <f>IF(AQ685="7",BH685,0)</f>
        <v>0</v>
      </c>
      <c r="AE685" s="27">
        <f>IF(AQ685="7",BI685,0)</f>
        <v>0</v>
      </c>
      <c r="AF685" s="27">
        <f>IF(AQ685="2",BH685,0)</f>
        <v>0</v>
      </c>
      <c r="AG685" s="27">
        <f>IF(AQ685="2",BI685,0)</f>
        <v>0</v>
      </c>
      <c r="AH685" s="27">
        <f>IF(AQ685="0",BJ685,0)</f>
        <v>0</v>
      </c>
      <c r="AI685" s="9" t="s">
        <v>1215</v>
      </c>
      <c r="AJ685" s="62">
        <f>IF(AN685=0,K685,0)</f>
        <v>0</v>
      </c>
      <c r="AK685" s="62">
        <f>IF(AN685=12,K685,0)</f>
        <v>0</v>
      </c>
      <c r="AL685" s="62">
        <f>IF(AN685=21,K685,0)</f>
        <v>0</v>
      </c>
      <c r="AN685" s="27">
        <v>21</v>
      </c>
      <c r="AO685" s="27">
        <f>H685*1</f>
        <v>0</v>
      </c>
      <c r="AP685" s="27">
        <f>H685*(1-1)</f>
        <v>0</v>
      </c>
      <c r="AQ685" s="64" t="s">
        <v>84</v>
      </c>
      <c r="AV685" s="27">
        <f>AW685+AX685</f>
        <v>0</v>
      </c>
      <c r="AW685" s="27">
        <f>G685*AO685</f>
        <v>0</v>
      </c>
      <c r="AX685" s="27">
        <f>G685*AP685</f>
        <v>0</v>
      </c>
      <c r="AY685" s="29" t="s">
        <v>952</v>
      </c>
      <c r="AZ685" s="29" t="s">
        <v>1247</v>
      </c>
      <c r="BA685" s="9" t="s">
        <v>1219</v>
      </c>
      <c r="BC685" s="27">
        <f>AW685+AX685</f>
        <v>0</v>
      </c>
      <c r="BD685" s="27">
        <f>H685/(100-BE685)*100</f>
        <v>0</v>
      </c>
      <c r="BE685" s="27">
        <v>0</v>
      </c>
      <c r="BF685" s="27">
        <f>685</f>
        <v>685</v>
      </c>
      <c r="BH685" s="62">
        <f>G685*AO685</f>
        <v>0</v>
      </c>
      <c r="BI685" s="62">
        <f>G685*AP685</f>
        <v>0</v>
      </c>
      <c r="BJ685" s="62">
        <f>G685*H685</f>
        <v>0</v>
      </c>
      <c r="BK685" s="62"/>
      <c r="BL685" s="27">
        <v>766</v>
      </c>
      <c r="BW685" s="27">
        <v>21</v>
      </c>
    </row>
    <row r="686" spans="1:12" ht="15">
      <c r="A686" s="52"/>
      <c r="B686" s="53"/>
      <c r="C686" s="53"/>
      <c r="D686" s="54" t="s">
        <v>57</v>
      </c>
      <c r="E686" s="55" t="s">
        <v>958</v>
      </c>
      <c r="F686" s="53"/>
      <c r="G686" s="56">
        <v>1</v>
      </c>
      <c r="H686" s="53"/>
      <c r="I686" s="53"/>
      <c r="J686" s="53"/>
      <c r="K686" s="53"/>
      <c r="L686" s="57"/>
    </row>
    <row r="687" spans="1:12" ht="13.5" customHeight="1">
      <c r="A687" s="45"/>
      <c r="C687" s="65" t="s">
        <v>102</v>
      </c>
      <c r="D687" s="173" t="s">
        <v>959</v>
      </c>
      <c r="E687" s="174"/>
      <c r="F687" s="174"/>
      <c r="G687" s="174"/>
      <c r="H687" s="174"/>
      <c r="I687" s="174"/>
      <c r="J687" s="174"/>
      <c r="K687" s="174"/>
      <c r="L687" s="175"/>
    </row>
    <row r="688" spans="1:75" ht="13.5" customHeight="1">
      <c r="A688" s="89" t="s">
        <v>1250</v>
      </c>
      <c r="B688" s="90" t="s">
        <v>1215</v>
      </c>
      <c r="C688" s="90" t="s">
        <v>965</v>
      </c>
      <c r="D688" s="191" t="s">
        <v>966</v>
      </c>
      <c r="E688" s="192"/>
      <c r="F688" s="90" t="s">
        <v>154</v>
      </c>
      <c r="G688" s="91">
        <v>2</v>
      </c>
      <c r="H688" s="91">
        <v>0</v>
      </c>
      <c r="I688" s="91">
        <f>G688*AO688</f>
        <v>0</v>
      </c>
      <c r="J688" s="91">
        <f>G688*AP688</f>
        <v>0</v>
      </c>
      <c r="K688" s="91">
        <f>G688*H688</f>
        <v>0</v>
      </c>
      <c r="L688" s="92" t="s">
        <v>137</v>
      </c>
      <c r="Z688" s="27">
        <f>IF(AQ688="5",BJ688,0)</f>
        <v>0</v>
      </c>
      <c r="AB688" s="27">
        <f>IF(AQ688="1",BH688,0)</f>
        <v>0</v>
      </c>
      <c r="AC688" s="27">
        <f>IF(AQ688="1",BI688,0)</f>
        <v>0</v>
      </c>
      <c r="AD688" s="27">
        <f>IF(AQ688="7",BH688,0)</f>
        <v>0</v>
      </c>
      <c r="AE688" s="27">
        <f>IF(AQ688="7",BI688,0)</f>
        <v>0</v>
      </c>
      <c r="AF688" s="27">
        <f>IF(AQ688="2",BH688,0)</f>
        <v>0</v>
      </c>
      <c r="AG688" s="27">
        <f>IF(AQ688="2",BI688,0)</f>
        <v>0</v>
      </c>
      <c r="AH688" s="27">
        <f>IF(AQ688="0",BJ688,0)</f>
        <v>0</v>
      </c>
      <c r="AI688" s="9" t="s">
        <v>1215</v>
      </c>
      <c r="AJ688" s="62">
        <f>IF(AN688=0,K688,0)</f>
        <v>0</v>
      </c>
      <c r="AK688" s="62">
        <f>IF(AN688=12,K688,0)</f>
        <v>0</v>
      </c>
      <c r="AL688" s="62">
        <f>IF(AN688=21,K688,0)</f>
        <v>0</v>
      </c>
      <c r="AN688" s="27">
        <v>21</v>
      </c>
      <c r="AO688" s="27">
        <f>H688*1</f>
        <v>0</v>
      </c>
      <c r="AP688" s="27">
        <f>H688*(1-1)</f>
        <v>0</v>
      </c>
      <c r="AQ688" s="64" t="s">
        <v>84</v>
      </c>
      <c r="AV688" s="27">
        <f>AW688+AX688</f>
        <v>0</v>
      </c>
      <c r="AW688" s="27">
        <f>G688*AO688</f>
        <v>0</v>
      </c>
      <c r="AX688" s="27">
        <f>G688*AP688</f>
        <v>0</v>
      </c>
      <c r="AY688" s="29" t="s">
        <v>952</v>
      </c>
      <c r="AZ688" s="29" t="s">
        <v>1247</v>
      </c>
      <c r="BA688" s="9" t="s">
        <v>1219</v>
      </c>
      <c r="BC688" s="27">
        <f>AW688+AX688</f>
        <v>0</v>
      </c>
      <c r="BD688" s="27">
        <f>H688/(100-BE688)*100</f>
        <v>0</v>
      </c>
      <c r="BE688" s="27">
        <v>0</v>
      </c>
      <c r="BF688" s="27">
        <f>688</f>
        <v>688</v>
      </c>
      <c r="BH688" s="62">
        <f>G688*AO688</f>
        <v>0</v>
      </c>
      <c r="BI688" s="62">
        <f>G688*AP688</f>
        <v>0</v>
      </c>
      <c r="BJ688" s="62">
        <f>G688*H688</f>
        <v>0</v>
      </c>
      <c r="BK688" s="62"/>
      <c r="BL688" s="27">
        <v>766</v>
      </c>
      <c r="BW688" s="27">
        <v>21</v>
      </c>
    </row>
    <row r="689" spans="1:12" ht="15">
      <c r="A689" s="52"/>
      <c r="B689" s="53"/>
      <c r="C689" s="53"/>
      <c r="D689" s="54" t="s">
        <v>60</v>
      </c>
      <c r="E689" s="55" t="s">
        <v>52</v>
      </c>
      <c r="F689" s="53"/>
      <c r="G689" s="56">
        <v>2</v>
      </c>
      <c r="H689" s="53"/>
      <c r="I689" s="53"/>
      <c r="J689" s="53"/>
      <c r="K689" s="53"/>
      <c r="L689" s="57"/>
    </row>
    <row r="690" spans="1:75" ht="13.5" customHeight="1">
      <c r="A690" s="80" t="s">
        <v>1251</v>
      </c>
      <c r="B690" s="81" t="s">
        <v>1215</v>
      </c>
      <c r="C690" s="81" t="s">
        <v>1252</v>
      </c>
      <c r="D690" s="187" t="s">
        <v>1253</v>
      </c>
      <c r="E690" s="188"/>
      <c r="F690" s="81" t="s">
        <v>154</v>
      </c>
      <c r="G690" s="82">
        <v>1</v>
      </c>
      <c r="H690" s="82">
        <v>0</v>
      </c>
      <c r="I690" s="82">
        <f>G690*AO690</f>
        <v>0</v>
      </c>
      <c r="J690" s="82">
        <f>G690*AP690</f>
        <v>0</v>
      </c>
      <c r="K690" s="82">
        <f>G690*H690</f>
        <v>0</v>
      </c>
      <c r="L690" s="83" t="s">
        <v>137</v>
      </c>
      <c r="Z690" s="27">
        <f>IF(AQ690="5",BJ690,0)</f>
        <v>0</v>
      </c>
      <c r="AB690" s="27">
        <f>IF(AQ690="1",BH690,0)</f>
        <v>0</v>
      </c>
      <c r="AC690" s="27">
        <f>IF(AQ690="1",BI690,0)</f>
        <v>0</v>
      </c>
      <c r="AD690" s="27">
        <f>IF(AQ690="7",BH690,0)</f>
        <v>0</v>
      </c>
      <c r="AE690" s="27">
        <f>IF(AQ690="7",BI690,0)</f>
        <v>0</v>
      </c>
      <c r="AF690" s="27">
        <f>IF(AQ690="2",BH690,0)</f>
        <v>0</v>
      </c>
      <c r="AG690" s="27">
        <f>IF(AQ690="2",BI690,0)</f>
        <v>0</v>
      </c>
      <c r="AH690" s="27">
        <f>IF(AQ690="0",BJ690,0)</f>
        <v>0</v>
      </c>
      <c r="AI690" s="9" t="s">
        <v>1215</v>
      </c>
      <c r="AJ690" s="62">
        <f>IF(AN690=0,K690,0)</f>
        <v>0</v>
      </c>
      <c r="AK690" s="62">
        <f>IF(AN690=12,K690,0)</f>
        <v>0</v>
      </c>
      <c r="AL690" s="62">
        <f>IF(AN690=21,K690,0)</f>
        <v>0</v>
      </c>
      <c r="AN690" s="27">
        <v>21</v>
      </c>
      <c r="AO690" s="27">
        <f>H690*1</f>
        <v>0</v>
      </c>
      <c r="AP690" s="27">
        <f>H690*(1-1)</f>
        <v>0</v>
      </c>
      <c r="AQ690" s="64" t="s">
        <v>84</v>
      </c>
      <c r="AV690" s="27">
        <f>AW690+AX690</f>
        <v>0</v>
      </c>
      <c r="AW690" s="27">
        <f>G690*AO690</f>
        <v>0</v>
      </c>
      <c r="AX690" s="27">
        <f>G690*AP690</f>
        <v>0</v>
      </c>
      <c r="AY690" s="29" t="s">
        <v>952</v>
      </c>
      <c r="AZ690" s="29" t="s">
        <v>1247</v>
      </c>
      <c r="BA690" s="9" t="s">
        <v>1219</v>
      </c>
      <c r="BC690" s="27">
        <f>AW690+AX690</f>
        <v>0</v>
      </c>
      <c r="BD690" s="27">
        <f>H690/(100-BE690)*100</f>
        <v>0</v>
      </c>
      <c r="BE690" s="27">
        <v>0</v>
      </c>
      <c r="BF690" s="27">
        <f>690</f>
        <v>690</v>
      </c>
      <c r="BH690" s="62">
        <f>G690*AO690</f>
        <v>0</v>
      </c>
      <c r="BI690" s="62">
        <f>G690*AP690</f>
        <v>0</v>
      </c>
      <c r="BJ690" s="62">
        <f>G690*H690</f>
        <v>0</v>
      </c>
      <c r="BK690" s="62"/>
      <c r="BL690" s="27">
        <v>766</v>
      </c>
      <c r="BW690" s="27">
        <v>21</v>
      </c>
    </row>
    <row r="691" spans="1:12" ht="15">
      <c r="A691" s="52"/>
      <c r="B691" s="53"/>
      <c r="C691" s="53"/>
      <c r="D691" s="54" t="s">
        <v>57</v>
      </c>
      <c r="E691" s="55" t="s">
        <v>52</v>
      </c>
      <c r="F691" s="53"/>
      <c r="G691" s="56">
        <v>1</v>
      </c>
      <c r="H691" s="53"/>
      <c r="I691" s="53"/>
      <c r="J691" s="53"/>
      <c r="K691" s="53"/>
      <c r="L691" s="57"/>
    </row>
    <row r="692" spans="1:12" ht="13.5" customHeight="1">
      <c r="A692" s="45"/>
      <c r="C692" s="65" t="s">
        <v>102</v>
      </c>
      <c r="D692" s="173" t="s">
        <v>1254</v>
      </c>
      <c r="E692" s="174"/>
      <c r="F692" s="174"/>
      <c r="G692" s="174"/>
      <c r="H692" s="174"/>
      <c r="I692" s="174"/>
      <c r="J692" s="174"/>
      <c r="K692" s="174"/>
      <c r="L692" s="175"/>
    </row>
    <row r="693" spans="1:75" ht="13.5" customHeight="1">
      <c r="A693" s="41" t="s">
        <v>1255</v>
      </c>
      <c r="B693" s="42" t="s">
        <v>1215</v>
      </c>
      <c r="C693" s="42" t="s">
        <v>949</v>
      </c>
      <c r="D693" s="171" t="s">
        <v>950</v>
      </c>
      <c r="E693" s="172"/>
      <c r="F693" s="42" t="s">
        <v>951</v>
      </c>
      <c r="G693" s="43">
        <v>523.45</v>
      </c>
      <c r="H693" s="43">
        <v>0</v>
      </c>
      <c r="I693" s="43">
        <f>G693*AO693</f>
        <v>0</v>
      </c>
      <c r="J693" s="43">
        <f>G693*AP693</f>
        <v>0</v>
      </c>
      <c r="K693" s="43">
        <f>G693*H693</f>
        <v>0</v>
      </c>
      <c r="L693" s="44" t="s">
        <v>137</v>
      </c>
      <c r="Z693" s="27">
        <f>IF(AQ693="5",BJ693,0)</f>
        <v>0</v>
      </c>
      <c r="AB693" s="27">
        <f>IF(AQ693="1",BH693,0)</f>
        <v>0</v>
      </c>
      <c r="AC693" s="27">
        <f>IF(AQ693="1",BI693,0)</f>
        <v>0</v>
      </c>
      <c r="AD693" s="27">
        <f>IF(AQ693="7",BH693,0)</f>
        <v>0</v>
      </c>
      <c r="AE693" s="27">
        <f>IF(AQ693="7",BI693,0)</f>
        <v>0</v>
      </c>
      <c r="AF693" s="27">
        <f>IF(AQ693="2",BH693,0)</f>
        <v>0</v>
      </c>
      <c r="AG693" s="27">
        <f>IF(AQ693="2",BI693,0)</f>
        <v>0</v>
      </c>
      <c r="AH693" s="27">
        <f>IF(AQ693="0",BJ693,0)</f>
        <v>0</v>
      </c>
      <c r="AI693" s="9" t="s">
        <v>1215</v>
      </c>
      <c r="AJ693" s="27">
        <f>IF(AN693=0,K693,0)</f>
        <v>0</v>
      </c>
      <c r="AK693" s="27">
        <f>IF(AN693=12,K693,0)</f>
        <v>0</v>
      </c>
      <c r="AL693" s="27">
        <f>IF(AN693=21,K693,0)</f>
        <v>0</v>
      </c>
      <c r="AN693" s="27">
        <v>21</v>
      </c>
      <c r="AO693" s="27">
        <f>H693*0</f>
        <v>0</v>
      </c>
      <c r="AP693" s="27">
        <f>H693*(1-0)</f>
        <v>0</v>
      </c>
      <c r="AQ693" s="29" t="s">
        <v>78</v>
      </c>
      <c r="AV693" s="27">
        <f>AW693+AX693</f>
        <v>0</v>
      </c>
      <c r="AW693" s="27">
        <f>G693*AO693</f>
        <v>0</v>
      </c>
      <c r="AX693" s="27">
        <f>G693*AP693</f>
        <v>0</v>
      </c>
      <c r="AY693" s="29" t="s">
        <v>952</v>
      </c>
      <c r="AZ693" s="29" t="s">
        <v>1247</v>
      </c>
      <c r="BA693" s="9" t="s">
        <v>1219</v>
      </c>
      <c r="BC693" s="27">
        <f>AW693+AX693</f>
        <v>0</v>
      </c>
      <c r="BD693" s="27">
        <f>H693/(100-BE693)*100</f>
        <v>0</v>
      </c>
      <c r="BE693" s="27">
        <v>0</v>
      </c>
      <c r="BF693" s="27">
        <f>693</f>
        <v>693</v>
      </c>
      <c r="BH693" s="27">
        <f>G693*AO693</f>
        <v>0</v>
      </c>
      <c r="BI693" s="27">
        <f>G693*AP693</f>
        <v>0</v>
      </c>
      <c r="BJ693" s="27">
        <f>G693*H693</f>
        <v>0</v>
      </c>
      <c r="BK693" s="27"/>
      <c r="BL693" s="27">
        <v>766</v>
      </c>
      <c r="BW693" s="27">
        <v>21</v>
      </c>
    </row>
    <row r="694" spans="1:12" ht="15">
      <c r="A694" s="52"/>
      <c r="B694" s="53"/>
      <c r="C694" s="53"/>
      <c r="D694" s="54" t="s">
        <v>1256</v>
      </c>
      <c r="E694" s="55" t="s">
        <v>52</v>
      </c>
      <c r="F694" s="53"/>
      <c r="G694" s="56">
        <v>523.45</v>
      </c>
      <c r="H694" s="53"/>
      <c r="I694" s="53"/>
      <c r="J694" s="53"/>
      <c r="K694" s="53"/>
      <c r="L694" s="57"/>
    </row>
    <row r="695" spans="1:47" ht="15">
      <c r="A695" s="75" t="s">
        <v>52</v>
      </c>
      <c r="B695" s="76" t="s">
        <v>1215</v>
      </c>
      <c r="C695" s="76" t="s">
        <v>968</v>
      </c>
      <c r="D695" s="185" t="s">
        <v>969</v>
      </c>
      <c r="E695" s="186"/>
      <c r="F695" s="77" t="s">
        <v>4</v>
      </c>
      <c r="G695" s="77" t="s">
        <v>4</v>
      </c>
      <c r="H695" s="77" t="s">
        <v>4</v>
      </c>
      <c r="I695" s="78">
        <f>SUM(I696:I724)</f>
        <v>0</v>
      </c>
      <c r="J695" s="78">
        <f>SUM(J696:J724)</f>
        <v>0</v>
      </c>
      <c r="K695" s="78">
        <f>SUM(K696:K724)</f>
        <v>0</v>
      </c>
      <c r="L695" s="79" t="s">
        <v>52</v>
      </c>
      <c r="AI695" s="9" t="s">
        <v>1215</v>
      </c>
      <c r="AS695" s="1">
        <f>SUM(AJ696:AJ724)</f>
        <v>0</v>
      </c>
      <c r="AT695" s="1">
        <f>SUM(AK696:AK724)</f>
        <v>0</v>
      </c>
      <c r="AU695" s="1">
        <f>SUM(AL696:AL724)</f>
        <v>0</v>
      </c>
    </row>
    <row r="696" spans="1:75" ht="13.5" customHeight="1">
      <c r="A696" s="66" t="s">
        <v>1257</v>
      </c>
      <c r="B696" s="67" t="s">
        <v>1215</v>
      </c>
      <c r="C696" s="67" t="s">
        <v>971</v>
      </c>
      <c r="D696" s="181" t="s">
        <v>972</v>
      </c>
      <c r="E696" s="182"/>
      <c r="F696" s="67" t="s">
        <v>126</v>
      </c>
      <c r="G696" s="68">
        <v>58.78</v>
      </c>
      <c r="H696" s="68">
        <v>0</v>
      </c>
      <c r="I696" s="68">
        <f>G696*AO696</f>
        <v>0</v>
      </c>
      <c r="J696" s="68">
        <f>G696*AP696</f>
        <v>0</v>
      </c>
      <c r="K696" s="68">
        <f>G696*H696</f>
        <v>0</v>
      </c>
      <c r="L696" s="69" t="s">
        <v>137</v>
      </c>
      <c r="Z696" s="27">
        <f>IF(AQ696="5",BJ696,0)</f>
        <v>0</v>
      </c>
      <c r="AB696" s="27">
        <f>IF(AQ696="1",BH696,0)</f>
        <v>0</v>
      </c>
      <c r="AC696" s="27">
        <f>IF(AQ696="1",BI696,0)</f>
        <v>0</v>
      </c>
      <c r="AD696" s="27">
        <f>IF(AQ696="7",BH696,0)</f>
        <v>0</v>
      </c>
      <c r="AE696" s="27">
        <f>IF(AQ696="7",BI696,0)</f>
        <v>0</v>
      </c>
      <c r="AF696" s="27">
        <f>IF(AQ696="2",BH696,0)</f>
        <v>0</v>
      </c>
      <c r="AG696" s="27">
        <f>IF(AQ696="2",BI696,0)</f>
        <v>0</v>
      </c>
      <c r="AH696" s="27">
        <f>IF(AQ696="0",BJ696,0)</f>
        <v>0</v>
      </c>
      <c r="AI696" s="9" t="s">
        <v>1215</v>
      </c>
      <c r="AJ696" s="27">
        <f>IF(AN696=0,K696,0)</f>
        <v>0</v>
      </c>
      <c r="AK696" s="27">
        <f>IF(AN696=12,K696,0)</f>
        <v>0</v>
      </c>
      <c r="AL696" s="27">
        <f>IF(AN696=21,K696,0)</f>
        <v>0</v>
      </c>
      <c r="AN696" s="27">
        <v>21</v>
      </c>
      <c r="AO696" s="27">
        <f>H696*0</f>
        <v>0</v>
      </c>
      <c r="AP696" s="27">
        <f>H696*(1-0)</f>
        <v>0</v>
      </c>
      <c r="AQ696" s="29" t="s">
        <v>84</v>
      </c>
      <c r="AV696" s="27">
        <f>AW696+AX696</f>
        <v>0</v>
      </c>
      <c r="AW696" s="27">
        <f>G696*AO696</f>
        <v>0</v>
      </c>
      <c r="AX696" s="27">
        <f>G696*AP696</f>
        <v>0</v>
      </c>
      <c r="AY696" s="29" t="s">
        <v>973</v>
      </c>
      <c r="AZ696" s="29" t="s">
        <v>1258</v>
      </c>
      <c r="BA696" s="9" t="s">
        <v>1219</v>
      </c>
      <c r="BC696" s="27">
        <f>AW696+AX696</f>
        <v>0</v>
      </c>
      <c r="BD696" s="27">
        <f>H696/(100-BE696)*100</f>
        <v>0</v>
      </c>
      <c r="BE696" s="27">
        <v>0</v>
      </c>
      <c r="BF696" s="27">
        <f>696</f>
        <v>696</v>
      </c>
      <c r="BH696" s="27">
        <f>G696*AO696</f>
        <v>0</v>
      </c>
      <c r="BI696" s="27">
        <f>G696*AP696</f>
        <v>0</v>
      </c>
      <c r="BJ696" s="27">
        <f>G696*H696</f>
        <v>0</v>
      </c>
      <c r="BK696" s="27"/>
      <c r="BL696" s="27">
        <v>776</v>
      </c>
      <c r="BW696" s="27">
        <v>21</v>
      </c>
    </row>
    <row r="697" spans="1:12" ht="13.5" customHeight="1">
      <c r="A697" s="45"/>
      <c r="D697" s="173" t="s">
        <v>975</v>
      </c>
      <c r="E697" s="174"/>
      <c r="F697" s="174"/>
      <c r="G697" s="174"/>
      <c r="H697" s="174"/>
      <c r="I697" s="174"/>
      <c r="J697" s="174"/>
      <c r="K697" s="174"/>
      <c r="L697" s="175"/>
    </row>
    <row r="698" spans="1:12" ht="15">
      <c r="A698" s="46"/>
      <c r="B698" s="47"/>
      <c r="C698" s="47"/>
      <c r="D698" s="48" t="s">
        <v>1227</v>
      </c>
      <c r="E698" s="49" t="s">
        <v>924</v>
      </c>
      <c r="F698" s="47"/>
      <c r="G698" s="50">
        <v>58.78</v>
      </c>
      <c r="H698" s="47"/>
      <c r="I698" s="47"/>
      <c r="J698" s="47"/>
      <c r="K698" s="47"/>
      <c r="L698" s="51"/>
    </row>
    <row r="699" spans="1:75" ht="13.5" customHeight="1">
      <c r="A699" s="66" t="s">
        <v>1259</v>
      </c>
      <c r="B699" s="67" t="s">
        <v>1215</v>
      </c>
      <c r="C699" s="67" t="s">
        <v>977</v>
      </c>
      <c r="D699" s="181" t="s">
        <v>978</v>
      </c>
      <c r="E699" s="182"/>
      <c r="F699" s="67" t="s">
        <v>109</v>
      </c>
      <c r="G699" s="68">
        <v>89.88</v>
      </c>
      <c r="H699" s="68">
        <v>0</v>
      </c>
      <c r="I699" s="68">
        <f>G699*AO699</f>
        <v>0</v>
      </c>
      <c r="J699" s="68">
        <f>G699*AP699</f>
        <v>0</v>
      </c>
      <c r="K699" s="68">
        <f>G699*H699</f>
        <v>0</v>
      </c>
      <c r="L699" s="69" t="s">
        <v>137</v>
      </c>
      <c r="Z699" s="27">
        <f>IF(AQ699="5",BJ699,0)</f>
        <v>0</v>
      </c>
      <c r="AB699" s="27">
        <f>IF(AQ699="1",BH699,0)</f>
        <v>0</v>
      </c>
      <c r="AC699" s="27">
        <f>IF(AQ699="1",BI699,0)</f>
        <v>0</v>
      </c>
      <c r="AD699" s="27">
        <f>IF(AQ699="7",BH699,0)</f>
        <v>0</v>
      </c>
      <c r="AE699" s="27">
        <f>IF(AQ699="7",BI699,0)</f>
        <v>0</v>
      </c>
      <c r="AF699" s="27">
        <f>IF(AQ699="2",BH699,0)</f>
        <v>0</v>
      </c>
      <c r="AG699" s="27">
        <f>IF(AQ699="2",BI699,0)</f>
        <v>0</v>
      </c>
      <c r="AH699" s="27">
        <f>IF(AQ699="0",BJ699,0)</f>
        <v>0</v>
      </c>
      <c r="AI699" s="9" t="s">
        <v>1215</v>
      </c>
      <c r="AJ699" s="27">
        <f>IF(AN699=0,K699,0)</f>
        <v>0</v>
      </c>
      <c r="AK699" s="27">
        <f>IF(AN699=12,K699,0)</f>
        <v>0</v>
      </c>
      <c r="AL699" s="27">
        <f>IF(AN699=21,K699,0)</f>
        <v>0</v>
      </c>
      <c r="AN699" s="27">
        <v>21</v>
      </c>
      <c r="AO699" s="27">
        <f>H699*0</f>
        <v>0</v>
      </c>
      <c r="AP699" s="27">
        <f>H699*(1-0)</f>
        <v>0</v>
      </c>
      <c r="AQ699" s="29" t="s">
        <v>84</v>
      </c>
      <c r="AV699" s="27">
        <f>AW699+AX699</f>
        <v>0</v>
      </c>
      <c r="AW699" s="27">
        <f>G699*AO699</f>
        <v>0</v>
      </c>
      <c r="AX699" s="27">
        <f>G699*AP699</f>
        <v>0</v>
      </c>
      <c r="AY699" s="29" t="s">
        <v>973</v>
      </c>
      <c r="AZ699" s="29" t="s">
        <v>1258</v>
      </c>
      <c r="BA699" s="9" t="s">
        <v>1219</v>
      </c>
      <c r="BC699" s="27">
        <f>AW699+AX699</f>
        <v>0</v>
      </c>
      <c r="BD699" s="27">
        <f>H699/(100-BE699)*100</f>
        <v>0</v>
      </c>
      <c r="BE699" s="27">
        <v>0</v>
      </c>
      <c r="BF699" s="27">
        <f>699</f>
        <v>699</v>
      </c>
      <c r="BH699" s="27">
        <f>G699*AO699</f>
        <v>0</v>
      </c>
      <c r="BI699" s="27">
        <f>G699*AP699</f>
        <v>0</v>
      </c>
      <c r="BJ699" s="27">
        <f>G699*H699</f>
        <v>0</v>
      </c>
      <c r="BK699" s="27"/>
      <c r="BL699" s="27">
        <v>776</v>
      </c>
      <c r="BW699" s="27">
        <v>21</v>
      </c>
    </row>
    <row r="700" spans="1:12" ht="27" customHeight="1">
      <c r="A700" s="45"/>
      <c r="D700" s="173" t="s">
        <v>979</v>
      </c>
      <c r="E700" s="174"/>
      <c r="F700" s="174"/>
      <c r="G700" s="174"/>
      <c r="H700" s="174"/>
      <c r="I700" s="174"/>
      <c r="J700" s="174"/>
      <c r="K700" s="174"/>
      <c r="L700" s="175"/>
    </row>
    <row r="701" spans="1:12" ht="15">
      <c r="A701" s="46"/>
      <c r="B701" s="47"/>
      <c r="C701" s="47"/>
      <c r="D701" s="48" t="s">
        <v>1260</v>
      </c>
      <c r="E701" s="49" t="s">
        <v>924</v>
      </c>
      <c r="F701" s="47"/>
      <c r="G701" s="50">
        <v>89.88</v>
      </c>
      <c r="H701" s="47"/>
      <c r="I701" s="47"/>
      <c r="J701" s="47"/>
      <c r="K701" s="47"/>
      <c r="L701" s="51"/>
    </row>
    <row r="702" spans="1:75" ht="13.5" customHeight="1">
      <c r="A702" s="66" t="s">
        <v>1261</v>
      </c>
      <c r="B702" s="67" t="s">
        <v>1215</v>
      </c>
      <c r="C702" s="67" t="s">
        <v>982</v>
      </c>
      <c r="D702" s="181" t="s">
        <v>983</v>
      </c>
      <c r="E702" s="182"/>
      <c r="F702" s="67" t="s">
        <v>109</v>
      </c>
      <c r="G702" s="68">
        <v>89.88</v>
      </c>
      <c r="H702" s="68">
        <v>0</v>
      </c>
      <c r="I702" s="68">
        <f>G702*AO702</f>
        <v>0</v>
      </c>
      <c r="J702" s="68">
        <f>G702*AP702</f>
        <v>0</v>
      </c>
      <c r="K702" s="68">
        <f>G702*H702</f>
        <v>0</v>
      </c>
      <c r="L702" s="69" t="s">
        <v>137</v>
      </c>
      <c r="Z702" s="27">
        <f>IF(AQ702="5",BJ702,0)</f>
        <v>0</v>
      </c>
      <c r="AB702" s="27">
        <f>IF(AQ702="1",BH702,0)</f>
        <v>0</v>
      </c>
      <c r="AC702" s="27">
        <f>IF(AQ702="1",BI702,0)</f>
        <v>0</v>
      </c>
      <c r="AD702" s="27">
        <f>IF(AQ702="7",BH702,0)</f>
        <v>0</v>
      </c>
      <c r="AE702" s="27">
        <f>IF(AQ702="7",BI702,0)</f>
        <v>0</v>
      </c>
      <c r="AF702" s="27">
        <f>IF(AQ702="2",BH702,0)</f>
        <v>0</v>
      </c>
      <c r="AG702" s="27">
        <f>IF(AQ702="2",BI702,0)</f>
        <v>0</v>
      </c>
      <c r="AH702" s="27">
        <f>IF(AQ702="0",BJ702,0)</f>
        <v>0</v>
      </c>
      <c r="AI702" s="9" t="s">
        <v>1215</v>
      </c>
      <c r="AJ702" s="27">
        <f>IF(AN702=0,K702,0)</f>
        <v>0</v>
      </c>
      <c r="AK702" s="27">
        <f>IF(AN702=12,K702,0)</f>
        <v>0</v>
      </c>
      <c r="AL702" s="27">
        <f>IF(AN702=21,K702,0)</f>
        <v>0</v>
      </c>
      <c r="AN702" s="27">
        <v>21</v>
      </c>
      <c r="AO702" s="27">
        <f>H702*0</f>
        <v>0</v>
      </c>
      <c r="AP702" s="27">
        <f>H702*(1-0)</f>
        <v>0</v>
      </c>
      <c r="AQ702" s="29" t="s">
        <v>84</v>
      </c>
      <c r="AV702" s="27">
        <f>AW702+AX702</f>
        <v>0</v>
      </c>
      <c r="AW702" s="27">
        <f>G702*AO702</f>
        <v>0</v>
      </c>
      <c r="AX702" s="27">
        <f>G702*AP702</f>
        <v>0</v>
      </c>
      <c r="AY702" s="29" t="s">
        <v>973</v>
      </c>
      <c r="AZ702" s="29" t="s">
        <v>1258</v>
      </c>
      <c r="BA702" s="9" t="s">
        <v>1219</v>
      </c>
      <c r="BC702" s="27">
        <f>AW702+AX702</f>
        <v>0</v>
      </c>
      <c r="BD702" s="27">
        <f>H702/(100-BE702)*100</f>
        <v>0</v>
      </c>
      <c r="BE702" s="27">
        <v>0</v>
      </c>
      <c r="BF702" s="27">
        <f>702</f>
        <v>702</v>
      </c>
      <c r="BH702" s="27">
        <f>G702*AO702</f>
        <v>0</v>
      </c>
      <c r="BI702" s="27">
        <f>G702*AP702</f>
        <v>0</v>
      </c>
      <c r="BJ702" s="27">
        <f>G702*H702</f>
        <v>0</v>
      </c>
      <c r="BK702" s="27"/>
      <c r="BL702" s="27">
        <v>776</v>
      </c>
      <c r="BW702" s="27">
        <v>21</v>
      </c>
    </row>
    <row r="703" spans="1:12" ht="13.5" customHeight="1">
      <c r="A703" s="45"/>
      <c r="D703" s="173" t="s">
        <v>1262</v>
      </c>
      <c r="E703" s="174"/>
      <c r="F703" s="174"/>
      <c r="G703" s="174"/>
      <c r="H703" s="174"/>
      <c r="I703" s="174"/>
      <c r="J703" s="174"/>
      <c r="K703" s="174"/>
      <c r="L703" s="175"/>
    </row>
    <row r="704" spans="1:12" ht="15">
      <c r="A704" s="46"/>
      <c r="B704" s="47"/>
      <c r="C704" s="47"/>
      <c r="D704" s="48" t="s">
        <v>1260</v>
      </c>
      <c r="E704" s="49" t="s">
        <v>984</v>
      </c>
      <c r="F704" s="47"/>
      <c r="G704" s="50">
        <v>89.88</v>
      </c>
      <c r="H704" s="47"/>
      <c r="I704" s="47"/>
      <c r="J704" s="47"/>
      <c r="K704" s="47"/>
      <c r="L704" s="51"/>
    </row>
    <row r="705" spans="1:75" ht="13.5" customHeight="1">
      <c r="A705" s="80" t="s">
        <v>1263</v>
      </c>
      <c r="B705" s="81" t="s">
        <v>1215</v>
      </c>
      <c r="C705" s="81" t="s">
        <v>987</v>
      </c>
      <c r="D705" s="187" t="s">
        <v>1264</v>
      </c>
      <c r="E705" s="188"/>
      <c r="F705" s="81" t="s">
        <v>282</v>
      </c>
      <c r="G705" s="82">
        <v>458.388</v>
      </c>
      <c r="H705" s="82">
        <v>0</v>
      </c>
      <c r="I705" s="82">
        <f>G705*AO705</f>
        <v>0</v>
      </c>
      <c r="J705" s="82">
        <f>G705*AP705</f>
        <v>0</v>
      </c>
      <c r="K705" s="82">
        <f>G705*H705</f>
        <v>0</v>
      </c>
      <c r="L705" s="83" t="s">
        <v>137</v>
      </c>
      <c r="Z705" s="27">
        <f>IF(AQ705="5",BJ705,0)</f>
        <v>0</v>
      </c>
      <c r="AB705" s="27">
        <f>IF(AQ705="1",BH705,0)</f>
        <v>0</v>
      </c>
      <c r="AC705" s="27">
        <f>IF(AQ705="1",BI705,0)</f>
        <v>0</v>
      </c>
      <c r="AD705" s="27">
        <f>IF(AQ705="7",BH705,0)</f>
        <v>0</v>
      </c>
      <c r="AE705" s="27">
        <f>IF(AQ705="7",BI705,0)</f>
        <v>0</v>
      </c>
      <c r="AF705" s="27">
        <f>IF(AQ705="2",BH705,0)</f>
        <v>0</v>
      </c>
      <c r="AG705" s="27">
        <f>IF(AQ705="2",BI705,0)</f>
        <v>0</v>
      </c>
      <c r="AH705" s="27">
        <f>IF(AQ705="0",BJ705,0)</f>
        <v>0</v>
      </c>
      <c r="AI705" s="9" t="s">
        <v>1215</v>
      </c>
      <c r="AJ705" s="62">
        <f>IF(AN705=0,K705,0)</f>
        <v>0</v>
      </c>
      <c r="AK705" s="62">
        <f>IF(AN705=12,K705,0)</f>
        <v>0</v>
      </c>
      <c r="AL705" s="62">
        <f>IF(AN705=21,K705,0)</f>
        <v>0</v>
      </c>
      <c r="AN705" s="27">
        <v>21</v>
      </c>
      <c r="AO705" s="27">
        <f>H705*1</f>
        <v>0</v>
      </c>
      <c r="AP705" s="27">
        <f>H705*(1-1)</f>
        <v>0</v>
      </c>
      <c r="AQ705" s="64" t="s">
        <v>84</v>
      </c>
      <c r="AV705" s="27">
        <f>AW705+AX705</f>
        <v>0</v>
      </c>
      <c r="AW705" s="27">
        <f>G705*AO705</f>
        <v>0</v>
      </c>
      <c r="AX705" s="27">
        <f>G705*AP705</f>
        <v>0</v>
      </c>
      <c r="AY705" s="29" t="s">
        <v>973</v>
      </c>
      <c r="AZ705" s="29" t="s">
        <v>1258</v>
      </c>
      <c r="BA705" s="9" t="s">
        <v>1219</v>
      </c>
      <c r="BC705" s="27">
        <f>AW705+AX705</f>
        <v>0</v>
      </c>
      <c r="BD705" s="27">
        <f>H705/(100-BE705)*100</f>
        <v>0</v>
      </c>
      <c r="BE705" s="27">
        <v>0</v>
      </c>
      <c r="BF705" s="27">
        <f>705</f>
        <v>705</v>
      </c>
      <c r="BH705" s="62">
        <f>G705*AO705</f>
        <v>0</v>
      </c>
      <c r="BI705" s="62">
        <f>G705*AP705</f>
        <v>0</v>
      </c>
      <c r="BJ705" s="62">
        <f>G705*H705</f>
        <v>0</v>
      </c>
      <c r="BK705" s="62"/>
      <c r="BL705" s="27">
        <v>776</v>
      </c>
      <c r="BW705" s="27">
        <v>21</v>
      </c>
    </row>
    <row r="706" spans="1:12" ht="15">
      <c r="A706" s="52"/>
      <c r="B706" s="53"/>
      <c r="C706" s="53"/>
      <c r="D706" s="54" t="s">
        <v>1265</v>
      </c>
      <c r="E706" s="55" t="s">
        <v>52</v>
      </c>
      <c r="F706" s="53"/>
      <c r="G706" s="56">
        <v>458.388</v>
      </c>
      <c r="H706" s="53"/>
      <c r="I706" s="53"/>
      <c r="J706" s="53"/>
      <c r="K706" s="53"/>
      <c r="L706" s="57"/>
    </row>
    <row r="707" spans="1:75" ht="13.5" customHeight="1">
      <c r="A707" s="66" t="s">
        <v>1266</v>
      </c>
      <c r="B707" s="67" t="s">
        <v>1215</v>
      </c>
      <c r="C707" s="67" t="s">
        <v>993</v>
      </c>
      <c r="D707" s="181" t="s">
        <v>994</v>
      </c>
      <c r="E707" s="182"/>
      <c r="F707" s="67" t="s">
        <v>109</v>
      </c>
      <c r="G707" s="68">
        <v>179.76</v>
      </c>
      <c r="H707" s="68">
        <v>0</v>
      </c>
      <c r="I707" s="68">
        <f>G707*AO707</f>
        <v>0</v>
      </c>
      <c r="J707" s="68">
        <f>G707*AP707</f>
        <v>0</v>
      </c>
      <c r="K707" s="68">
        <f>G707*H707</f>
        <v>0</v>
      </c>
      <c r="L707" s="69" t="s">
        <v>137</v>
      </c>
      <c r="Z707" s="27">
        <f>IF(AQ707="5",BJ707,0)</f>
        <v>0</v>
      </c>
      <c r="AB707" s="27">
        <f>IF(AQ707="1",BH707,0)</f>
        <v>0</v>
      </c>
      <c r="AC707" s="27">
        <f>IF(AQ707="1",BI707,0)</f>
        <v>0</v>
      </c>
      <c r="AD707" s="27">
        <f>IF(AQ707="7",BH707,0)</f>
        <v>0</v>
      </c>
      <c r="AE707" s="27">
        <f>IF(AQ707="7",BI707,0)</f>
        <v>0</v>
      </c>
      <c r="AF707" s="27">
        <f>IF(AQ707="2",BH707,0)</f>
        <v>0</v>
      </c>
      <c r="AG707" s="27">
        <f>IF(AQ707="2",BI707,0)</f>
        <v>0</v>
      </c>
      <c r="AH707" s="27">
        <f>IF(AQ707="0",BJ707,0)</f>
        <v>0</v>
      </c>
      <c r="AI707" s="9" t="s">
        <v>1215</v>
      </c>
      <c r="AJ707" s="27">
        <f>IF(AN707=0,K707,0)</f>
        <v>0</v>
      </c>
      <c r="AK707" s="27">
        <f>IF(AN707=12,K707,0)</f>
        <v>0</v>
      </c>
      <c r="AL707" s="27">
        <f>IF(AN707=21,K707,0)</f>
        <v>0</v>
      </c>
      <c r="AN707" s="27">
        <v>21</v>
      </c>
      <c r="AO707" s="27">
        <f>H707*0</f>
        <v>0</v>
      </c>
      <c r="AP707" s="27">
        <f>H707*(1-0)</f>
        <v>0</v>
      </c>
      <c r="AQ707" s="29" t="s">
        <v>84</v>
      </c>
      <c r="AV707" s="27">
        <f>AW707+AX707</f>
        <v>0</v>
      </c>
      <c r="AW707" s="27">
        <f>G707*AO707</f>
        <v>0</v>
      </c>
      <c r="AX707" s="27">
        <f>G707*AP707</f>
        <v>0</v>
      </c>
      <c r="AY707" s="29" t="s">
        <v>973</v>
      </c>
      <c r="AZ707" s="29" t="s">
        <v>1258</v>
      </c>
      <c r="BA707" s="9" t="s">
        <v>1219</v>
      </c>
      <c r="BC707" s="27">
        <f>AW707+AX707</f>
        <v>0</v>
      </c>
      <c r="BD707" s="27">
        <f>H707/(100-BE707)*100</f>
        <v>0</v>
      </c>
      <c r="BE707" s="27">
        <v>0</v>
      </c>
      <c r="BF707" s="27">
        <f>707</f>
        <v>707</v>
      </c>
      <c r="BH707" s="27">
        <f>G707*AO707</f>
        <v>0</v>
      </c>
      <c r="BI707" s="27">
        <f>G707*AP707</f>
        <v>0</v>
      </c>
      <c r="BJ707" s="27">
        <f>G707*H707</f>
        <v>0</v>
      </c>
      <c r="BK707" s="27"/>
      <c r="BL707" s="27">
        <v>776</v>
      </c>
      <c r="BW707" s="27">
        <v>21</v>
      </c>
    </row>
    <row r="708" spans="1:12" ht="15">
      <c r="A708" s="52"/>
      <c r="B708" s="53"/>
      <c r="C708" s="53"/>
      <c r="D708" s="54" t="s">
        <v>1267</v>
      </c>
      <c r="E708" s="55" t="s">
        <v>996</v>
      </c>
      <c r="F708" s="53"/>
      <c r="G708" s="56">
        <v>179.76</v>
      </c>
      <c r="H708" s="53"/>
      <c r="I708" s="53"/>
      <c r="J708" s="53"/>
      <c r="K708" s="53"/>
      <c r="L708" s="57"/>
    </row>
    <row r="709" spans="1:75" ht="13.5" customHeight="1">
      <c r="A709" s="80" t="s">
        <v>1268</v>
      </c>
      <c r="B709" s="81" t="s">
        <v>1215</v>
      </c>
      <c r="C709" s="81" t="s">
        <v>999</v>
      </c>
      <c r="D709" s="187" t="s">
        <v>1000</v>
      </c>
      <c r="E709" s="188"/>
      <c r="F709" s="81" t="s">
        <v>282</v>
      </c>
      <c r="G709" s="82">
        <v>35.952</v>
      </c>
      <c r="H709" s="82">
        <v>0</v>
      </c>
      <c r="I709" s="82">
        <f>G709*AO709</f>
        <v>0</v>
      </c>
      <c r="J709" s="82">
        <f>G709*AP709</f>
        <v>0</v>
      </c>
      <c r="K709" s="82">
        <f>G709*H709</f>
        <v>0</v>
      </c>
      <c r="L709" s="83" t="s">
        <v>137</v>
      </c>
      <c r="Z709" s="27">
        <f>IF(AQ709="5",BJ709,0)</f>
        <v>0</v>
      </c>
      <c r="AB709" s="27">
        <f>IF(AQ709="1",BH709,0)</f>
        <v>0</v>
      </c>
      <c r="AC709" s="27">
        <f>IF(AQ709="1",BI709,0)</f>
        <v>0</v>
      </c>
      <c r="AD709" s="27">
        <f>IF(AQ709="7",BH709,0)</f>
        <v>0</v>
      </c>
      <c r="AE709" s="27">
        <f>IF(AQ709="7",BI709,0)</f>
        <v>0</v>
      </c>
      <c r="AF709" s="27">
        <f>IF(AQ709="2",BH709,0)</f>
        <v>0</v>
      </c>
      <c r="AG709" s="27">
        <f>IF(AQ709="2",BI709,0)</f>
        <v>0</v>
      </c>
      <c r="AH709" s="27">
        <f>IF(AQ709="0",BJ709,0)</f>
        <v>0</v>
      </c>
      <c r="AI709" s="9" t="s">
        <v>1215</v>
      </c>
      <c r="AJ709" s="62">
        <f>IF(AN709=0,K709,0)</f>
        <v>0</v>
      </c>
      <c r="AK709" s="62">
        <f>IF(AN709=12,K709,0)</f>
        <v>0</v>
      </c>
      <c r="AL709" s="62">
        <f>IF(AN709=21,K709,0)</f>
        <v>0</v>
      </c>
      <c r="AN709" s="27">
        <v>21</v>
      </c>
      <c r="AO709" s="27">
        <f>H709*1</f>
        <v>0</v>
      </c>
      <c r="AP709" s="27">
        <f>H709*(1-1)</f>
        <v>0</v>
      </c>
      <c r="AQ709" s="64" t="s">
        <v>84</v>
      </c>
      <c r="AV709" s="27">
        <f>AW709+AX709</f>
        <v>0</v>
      </c>
      <c r="AW709" s="27">
        <f>G709*AO709</f>
        <v>0</v>
      </c>
      <c r="AX709" s="27">
        <f>G709*AP709</f>
        <v>0</v>
      </c>
      <c r="AY709" s="29" t="s">
        <v>973</v>
      </c>
      <c r="AZ709" s="29" t="s">
        <v>1258</v>
      </c>
      <c r="BA709" s="9" t="s">
        <v>1219</v>
      </c>
      <c r="BC709" s="27">
        <f>AW709+AX709</f>
        <v>0</v>
      </c>
      <c r="BD709" s="27">
        <f>H709/(100-BE709)*100</f>
        <v>0</v>
      </c>
      <c r="BE709" s="27">
        <v>0</v>
      </c>
      <c r="BF709" s="27">
        <f>709</f>
        <v>709</v>
      </c>
      <c r="BH709" s="62">
        <f>G709*AO709</f>
        <v>0</v>
      </c>
      <c r="BI709" s="62">
        <f>G709*AP709</f>
        <v>0</v>
      </c>
      <c r="BJ709" s="62">
        <f>G709*H709</f>
        <v>0</v>
      </c>
      <c r="BK709" s="62"/>
      <c r="BL709" s="27">
        <v>776</v>
      </c>
      <c r="BW709" s="27">
        <v>21</v>
      </c>
    </row>
    <row r="710" spans="1:12" ht="15">
      <c r="A710" s="52"/>
      <c r="B710" s="53"/>
      <c r="C710" s="53"/>
      <c r="D710" s="54" t="s">
        <v>1269</v>
      </c>
      <c r="E710" s="55" t="s">
        <v>984</v>
      </c>
      <c r="F710" s="53"/>
      <c r="G710" s="56">
        <v>35.952</v>
      </c>
      <c r="H710" s="53"/>
      <c r="I710" s="53"/>
      <c r="J710" s="53"/>
      <c r="K710" s="53"/>
      <c r="L710" s="57"/>
    </row>
    <row r="711" spans="1:75" ht="13.5" customHeight="1">
      <c r="A711" s="66" t="s">
        <v>1270</v>
      </c>
      <c r="B711" s="67" t="s">
        <v>1215</v>
      </c>
      <c r="C711" s="67" t="s">
        <v>1005</v>
      </c>
      <c r="D711" s="181" t="s">
        <v>1006</v>
      </c>
      <c r="E711" s="182"/>
      <c r="F711" s="67" t="s">
        <v>109</v>
      </c>
      <c r="G711" s="68">
        <v>89.88</v>
      </c>
      <c r="H711" s="68">
        <v>0</v>
      </c>
      <c r="I711" s="68">
        <f>G711*AO711</f>
        <v>0</v>
      </c>
      <c r="J711" s="68">
        <f>G711*AP711</f>
        <v>0</v>
      </c>
      <c r="K711" s="68">
        <f>G711*H711</f>
        <v>0</v>
      </c>
      <c r="L711" s="69" t="s">
        <v>137</v>
      </c>
      <c r="Z711" s="27">
        <f>IF(AQ711="5",BJ711,0)</f>
        <v>0</v>
      </c>
      <c r="AB711" s="27">
        <f>IF(AQ711="1",BH711,0)</f>
        <v>0</v>
      </c>
      <c r="AC711" s="27">
        <f>IF(AQ711="1",BI711,0)</f>
        <v>0</v>
      </c>
      <c r="AD711" s="27">
        <f>IF(AQ711="7",BH711,0)</f>
        <v>0</v>
      </c>
      <c r="AE711" s="27">
        <f>IF(AQ711="7",BI711,0)</f>
        <v>0</v>
      </c>
      <c r="AF711" s="27">
        <f>IF(AQ711="2",BH711,0)</f>
        <v>0</v>
      </c>
      <c r="AG711" s="27">
        <f>IF(AQ711="2",BI711,0)</f>
        <v>0</v>
      </c>
      <c r="AH711" s="27">
        <f>IF(AQ711="0",BJ711,0)</f>
        <v>0</v>
      </c>
      <c r="AI711" s="9" t="s">
        <v>1215</v>
      </c>
      <c r="AJ711" s="27">
        <f>IF(AN711=0,K711,0)</f>
        <v>0</v>
      </c>
      <c r="AK711" s="27">
        <f>IF(AN711=12,K711,0)</f>
        <v>0</v>
      </c>
      <c r="AL711" s="27">
        <f>IF(AN711=21,K711,0)</f>
        <v>0</v>
      </c>
      <c r="AN711" s="27">
        <v>21</v>
      </c>
      <c r="AO711" s="27">
        <f>H711*0.313877942</f>
        <v>0</v>
      </c>
      <c r="AP711" s="27">
        <f>H711*(1-0.313877942)</f>
        <v>0</v>
      </c>
      <c r="AQ711" s="29" t="s">
        <v>84</v>
      </c>
      <c r="AV711" s="27">
        <f>AW711+AX711</f>
        <v>0</v>
      </c>
      <c r="AW711" s="27">
        <f>G711*AO711</f>
        <v>0</v>
      </c>
      <c r="AX711" s="27">
        <f>G711*AP711</f>
        <v>0</v>
      </c>
      <c r="AY711" s="29" t="s">
        <v>973</v>
      </c>
      <c r="AZ711" s="29" t="s">
        <v>1258</v>
      </c>
      <c r="BA711" s="9" t="s">
        <v>1219</v>
      </c>
      <c r="BC711" s="27">
        <f>AW711+AX711</f>
        <v>0</v>
      </c>
      <c r="BD711" s="27">
        <f>H711/(100-BE711)*100</f>
        <v>0</v>
      </c>
      <c r="BE711" s="27">
        <v>0</v>
      </c>
      <c r="BF711" s="27">
        <f>711</f>
        <v>711</v>
      </c>
      <c r="BH711" s="27">
        <f>G711*AO711</f>
        <v>0</v>
      </c>
      <c r="BI711" s="27">
        <f>G711*AP711</f>
        <v>0</v>
      </c>
      <c r="BJ711" s="27">
        <f>G711*H711</f>
        <v>0</v>
      </c>
      <c r="BK711" s="27"/>
      <c r="BL711" s="27">
        <v>776</v>
      </c>
      <c r="BW711" s="27">
        <v>21</v>
      </c>
    </row>
    <row r="712" spans="1:12" ht="13.5" customHeight="1">
      <c r="A712" s="45"/>
      <c r="D712" s="173" t="s">
        <v>1007</v>
      </c>
      <c r="E712" s="174"/>
      <c r="F712" s="174"/>
      <c r="G712" s="174"/>
      <c r="H712" s="174"/>
      <c r="I712" s="174"/>
      <c r="J712" s="174"/>
      <c r="K712" s="174"/>
      <c r="L712" s="175"/>
    </row>
    <row r="713" spans="1:12" ht="15">
      <c r="A713" s="46"/>
      <c r="B713" s="47"/>
      <c r="C713" s="47"/>
      <c r="D713" s="48" t="s">
        <v>1271</v>
      </c>
      <c r="E713" s="49" t="s">
        <v>984</v>
      </c>
      <c r="F713" s="47"/>
      <c r="G713" s="50">
        <v>89.88</v>
      </c>
      <c r="H713" s="47"/>
      <c r="I713" s="47"/>
      <c r="J713" s="47"/>
      <c r="K713" s="47"/>
      <c r="L713" s="51"/>
    </row>
    <row r="714" spans="1:75" ht="13.5" customHeight="1">
      <c r="A714" s="80" t="s">
        <v>1272</v>
      </c>
      <c r="B714" s="81" t="s">
        <v>1215</v>
      </c>
      <c r="C714" s="81" t="s">
        <v>1010</v>
      </c>
      <c r="D714" s="187" t="s">
        <v>1011</v>
      </c>
      <c r="E714" s="188"/>
      <c r="F714" s="81" t="s">
        <v>109</v>
      </c>
      <c r="G714" s="82">
        <v>94.374</v>
      </c>
      <c r="H714" s="82">
        <v>0</v>
      </c>
      <c r="I714" s="82">
        <f>G714*AO714</f>
        <v>0</v>
      </c>
      <c r="J714" s="82">
        <f>G714*AP714</f>
        <v>0</v>
      </c>
      <c r="K714" s="82">
        <f>G714*H714</f>
        <v>0</v>
      </c>
      <c r="L714" s="83" t="s">
        <v>137</v>
      </c>
      <c r="Z714" s="27">
        <f>IF(AQ714="5",BJ714,0)</f>
        <v>0</v>
      </c>
      <c r="AB714" s="27">
        <f>IF(AQ714="1",BH714,0)</f>
        <v>0</v>
      </c>
      <c r="AC714" s="27">
        <f>IF(AQ714="1",BI714,0)</f>
        <v>0</v>
      </c>
      <c r="AD714" s="27">
        <f>IF(AQ714="7",BH714,0)</f>
        <v>0</v>
      </c>
      <c r="AE714" s="27">
        <f>IF(AQ714="7",BI714,0)</f>
        <v>0</v>
      </c>
      <c r="AF714" s="27">
        <f>IF(AQ714="2",BH714,0)</f>
        <v>0</v>
      </c>
      <c r="AG714" s="27">
        <f>IF(AQ714="2",BI714,0)</f>
        <v>0</v>
      </c>
      <c r="AH714" s="27">
        <f>IF(AQ714="0",BJ714,0)</f>
        <v>0</v>
      </c>
      <c r="AI714" s="9" t="s">
        <v>1215</v>
      </c>
      <c r="AJ714" s="62">
        <f>IF(AN714=0,K714,0)</f>
        <v>0</v>
      </c>
      <c r="AK714" s="62">
        <f>IF(AN714=12,K714,0)</f>
        <v>0</v>
      </c>
      <c r="AL714" s="62">
        <f>IF(AN714=21,K714,0)</f>
        <v>0</v>
      </c>
      <c r="AN714" s="27">
        <v>21</v>
      </c>
      <c r="AO714" s="27">
        <f>H714*1</f>
        <v>0</v>
      </c>
      <c r="AP714" s="27">
        <f>H714*(1-1)</f>
        <v>0</v>
      </c>
      <c r="AQ714" s="64" t="s">
        <v>84</v>
      </c>
      <c r="AV714" s="27">
        <f>AW714+AX714</f>
        <v>0</v>
      </c>
      <c r="AW714" s="27">
        <f>G714*AO714</f>
        <v>0</v>
      </c>
      <c r="AX714" s="27">
        <f>G714*AP714</f>
        <v>0</v>
      </c>
      <c r="AY714" s="29" t="s">
        <v>973</v>
      </c>
      <c r="AZ714" s="29" t="s">
        <v>1258</v>
      </c>
      <c r="BA714" s="9" t="s">
        <v>1219</v>
      </c>
      <c r="BC714" s="27">
        <f>AW714+AX714</f>
        <v>0</v>
      </c>
      <c r="BD714" s="27">
        <f>H714/(100-BE714)*100</f>
        <v>0</v>
      </c>
      <c r="BE714" s="27">
        <v>0</v>
      </c>
      <c r="BF714" s="27">
        <f>714</f>
        <v>714</v>
      </c>
      <c r="BH714" s="62">
        <f>G714*AO714</f>
        <v>0</v>
      </c>
      <c r="BI714" s="62">
        <f>G714*AP714</f>
        <v>0</v>
      </c>
      <c r="BJ714" s="62">
        <f>G714*H714</f>
        <v>0</v>
      </c>
      <c r="BK714" s="62"/>
      <c r="BL714" s="27">
        <v>776</v>
      </c>
      <c r="BW714" s="27">
        <v>21</v>
      </c>
    </row>
    <row r="715" spans="1:12" ht="15">
      <c r="A715" s="52"/>
      <c r="B715" s="53"/>
      <c r="C715" s="53"/>
      <c r="D715" s="54" t="s">
        <v>1271</v>
      </c>
      <c r="E715" s="55" t="s">
        <v>52</v>
      </c>
      <c r="F715" s="53"/>
      <c r="G715" s="56">
        <v>89.88</v>
      </c>
      <c r="H715" s="53"/>
      <c r="I715" s="53"/>
      <c r="J715" s="53"/>
      <c r="K715" s="53"/>
      <c r="L715" s="57"/>
    </row>
    <row r="716" spans="1:12" ht="15">
      <c r="A716" s="52"/>
      <c r="B716" s="53"/>
      <c r="C716" s="53"/>
      <c r="D716" s="54" t="s">
        <v>1273</v>
      </c>
      <c r="E716" s="55" t="s">
        <v>52</v>
      </c>
      <c r="F716" s="53"/>
      <c r="G716" s="56">
        <v>4.494</v>
      </c>
      <c r="H716" s="53"/>
      <c r="I716" s="53"/>
      <c r="J716" s="53"/>
      <c r="K716" s="53"/>
      <c r="L716" s="57"/>
    </row>
    <row r="717" spans="1:75" ht="13.5" customHeight="1">
      <c r="A717" s="66" t="s">
        <v>1274</v>
      </c>
      <c r="B717" s="67" t="s">
        <v>1215</v>
      </c>
      <c r="C717" s="67" t="s">
        <v>1015</v>
      </c>
      <c r="D717" s="181" t="s">
        <v>1016</v>
      </c>
      <c r="E717" s="182"/>
      <c r="F717" s="67" t="s">
        <v>126</v>
      </c>
      <c r="G717" s="68">
        <v>58.78</v>
      </c>
      <c r="H717" s="68">
        <v>0</v>
      </c>
      <c r="I717" s="68">
        <f>G717*AO717</f>
        <v>0</v>
      </c>
      <c r="J717" s="68">
        <f>G717*AP717</f>
        <v>0</v>
      </c>
      <c r="K717" s="68">
        <f>G717*H717</f>
        <v>0</v>
      </c>
      <c r="L717" s="69" t="s">
        <v>137</v>
      </c>
      <c r="Z717" s="27">
        <f>IF(AQ717="5",BJ717,0)</f>
        <v>0</v>
      </c>
      <c r="AB717" s="27">
        <f>IF(AQ717="1",BH717,0)</f>
        <v>0</v>
      </c>
      <c r="AC717" s="27">
        <f>IF(AQ717="1",BI717,0)</f>
        <v>0</v>
      </c>
      <c r="AD717" s="27">
        <f>IF(AQ717="7",BH717,0)</f>
        <v>0</v>
      </c>
      <c r="AE717" s="27">
        <f>IF(AQ717="7",BI717,0)</f>
        <v>0</v>
      </c>
      <c r="AF717" s="27">
        <f>IF(AQ717="2",BH717,0)</f>
        <v>0</v>
      </c>
      <c r="AG717" s="27">
        <f>IF(AQ717="2",BI717,0)</f>
        <v>0</v>
      </c>
      <c r="AH717" s="27">
        <f>IF(AQ717="0",BJ717,0)</f>
        <v>0</v>
      </c>
      <c r="AI717" s="9" t="s">
        <v>1215</v>
      </c>
      <c r="AJ717" s="27">
        <f>IF(AN717=0,K717,0)</f>
        <v>0</v>
      </c>
      <c r="AK717" s="27">
        <f>IF(AN717=12,K717,0)</f>
        <v>0</v>
      </c>
      <c r="AL717" s="27">
        <f>IF(AN717=21,K717,0)</f>
        <v>0</v>
      </c>
      <c r="AN717" s="27">
        <v>21</v>
      </c>
      <c r="AO717" s="27">
        <f>H717*0.35575</f>
        <v>0</v>
      </c>
      <c r="AP717" s="27">
        <f>H717*(1-0.35575)</f>
        <v>0</v>
      </c>
      <c r="AQ717" s="29" t="s">
        <v>84</v>
      </c>
      <c r="AV717" s="27">
        <f>AW717+AX717</f>
        <v>0</v>
      </c>
      <c r="AW717" s="27">
        <f>G717*AO717</f>
        <v>0</v>
      </c>
      <c r="AX717" s="27">
        <f>G717*AP717</f>
        <v>0</v>
      </c>
      <c r="AY717" s="29" t="s">
        <v>973</v>
      </c>
      <c r="AZ717" s="29" t="s">
        <v>1258</v>
      </c>
      <c r="BA717" s="9" t="s">
        <v>1219</v>
      </c>
      <c r="BC717" s="27">
        <f>AW717+AX717</f>
        <v>0</v>
      </c>
      <c r="BD717" s="27">
        <f>H717/(100-BE717)*100</f>
        <v>0</v>
      </c>
      <c r="BE717" s="27">
        <v>0</v>
      </c>
      <c r="BF717" s="27">
        <f>717</f>
        <v>717</v>
      </c>
      <c r="BH717" s="27">
        <f>G717*AO717</f>
        <v>0</v>
      </c>
      <c r="BI717" s="27">
        <f>G717*AP717</f>
        <v>0</v>
      </c>
      <c r="BJ717" s="27">
        <f>G717*H717</f>
        <v>0</v>
      </c>
      <c r="BK717" s="27"/>
      <c r="BL717" s="27">
        <v>776</v>
      </c>
      <c r="BW717" s="27">
        <v>21</v>
      </c>
    </row>
    <row r="718" spans="1:12" ht="13.5" customHeight="1">
      <c r="A718" s="45"/>
      <c r="D718" s="173" t="s">
        <v>1017</v>
      </c>
      <c r="E718" s="174"/>
      <c r="F718" s="174"/>
      <c r="G718" s="174"/>
      <c r="H718" s="174"/>
      <c r="I718" s="174"/>
      <c r="J718" s="174"/>
      <c r="K718" s="174"/>
      <c r="L718" s="175"/>
    </row>
    <row r="719" spans="1:12" ht="15">
      <c r="A719" s="46"/>
      <c r="B719" s="47"/>
      <c r="C719" s="47"/>
      <c r="D719" s="48" t="s">
        <v>1227</v>
      </c>
      <c r="E719" s="49" t="s">
        <v>924</v>
      </c>
      <c r="F719" s="47"/>
      <c r="G719" s="50">
        <v>58.78</v>
      </c>
      <c r="H719" s="47"/>
      <c r="I719" s="47"/>
      <c r="J719" s="47"/>
      <c r="K719" s="47"/>
      <c r="L719" s="51"/>
    </row>
    <row r="720" spans="1:75" ht="13.5" customHeight="1">
      <c r="A720" s="66" t="s">
        <v>1275</v>
      </c>
      <c r="B720" s="67" t="s">
        <v>1215</v>
      </c>
      <c r="C720" s="67" t="s">
        <v>1021</v>
      </c>
      <c r="D720" s="181" t="s">
        <v>1022</v>
      </c>
      <c r="E720" s="182"/>
      <c r="F720" s="67" t="s">
        <v>126</v>
      </c>
      <c r="G720" s="68">
        <v>2.5</v>
      </c>
      <c r="H720" s="68">
        <v>0</v>
      </c>
      <c r="I720" s="68">
        <f>G720*AO720</f>
        <v>0</v>
      </c>
      <c r="J720" s="68">
        <f>G720*AP720</f>
        <v>0</v>
      </c>
      <c r="K720" s="68">
        <f>G720*H720</f>
        <v>0</v>
      </c>
      <c r="L720" s="69" t="s">
        <v>137</v>
      </c>
      <c r="Z720" s="27">
        <f>IF(AQ720="5",BJ720,0)</f>
        <v>0</v>
      </c>
      <c r="AB720" s="27">
        <f>IF(AQ720="1",BH720,0)</f>
        <v>0</v>
      </c>
      <c r="AC720" s="27">
        <f>IF(AQ720="1",BI720,0)</f>
        <v>0</v>
      </c>
      <c r="AD720" s="27">
        <f>IF(AQ720="7",BH720,0)</f>
        <v>0</v>
      </c>
      <c r="AE720" s="27">
        <f>IF(AQ720="7",BI720,0)</f>
        <v>0</v>
      </c>
      <c r="AF720" s="27">
        <f>IF(AQ720="2",BH720,0)</f>
        <v>0</v>
      </c>
      <c r="AG720" s="27">
        <f>IF(AQ720="2",BI720,0)</f>
        <v>0</v>
      </c>
      <c r="AH720" s="27">
        <f>IF(AQ720="0",BJ720,0)</f>
        <v>0</v>
      </c>
      <c r="AI720" s="9" t="s">
        <v>1215</v>
      </c>
      <c r="AJ720" s="27">
        <f>IF(AN720=0,K720,0)</f>
        <v>0</v>
      </c>
      <c r="AK720" s="27">
        <f>IF(AN720=12,K720,0)</f>
        <v>0</v>
      </c>
      <c r="AL720" s="27">
        <f>IF(AN720=21,K720,0)</f>
        <v>0</v>
      </c>
      <c r="AN720" s="27">
        <v>21</v>
      </c>
      <c r="AO720" s="27">
        <f>H720*0.662874016</f>
        <v>0</v>
      </c>
      <c r="AP720" s="27">
        <f>H720*(1-0.662874016)</f>
        <v>0</v>
      </c>
      <c r="AQ720" s="29" t="s">
        <v>84</v>
      </c>
      <c r="AV720" s="27">
        <f>AW720+AX720</f>
        <v>0</v>
      </c>
      <c r="AW720" s="27">
        <f>G720*AO720</f>
        <v>0</v>
      </c>
      <c r="AX720" s="27">
        <f>G720*AP720</f>
        <v>0</v>
      </c>
      <c r="AY720" s="29" t="s">
        <v>973</v>
      </c>
      <c r="AZ720" s="29" t="s">
        <v>1258</v>
      </c>
      <c r="BA720" s="9" t="s">
        <v>1219</v>
      </c>
      <c r="BC720" s="27">
        <f>AW720+AX720</f>
        <v>0</v>
      </c>
      <c r="BD720" s="27">
        <f>H720/(100-BE720)*100</f>
        <v>0</v>
      </c>
      <c r="BE720" s="27">
        <v>0</v>
      </c>
      <c r="BF720" s="27">
        <f>720</f>
        <v>720</v>
      </c>
      <c r="BH720" s="27">
        <f>G720*AO720</f>
        <v>0</v>
      </c>
      <c r="BI720" s="27">
        <f>G720*AP720</f>
        <v>0</v>
      </c>
      <c r="BJ720" s="27">
        <f>G720*H720</f>
        <v>0</v>
      </c>
      <c r="BK720" s="27"/>
      <c r="BL720" s="27">
        <v>776</v>
      </c>
      <c r="BW720" s="27">
        <v>21</v>
      </c>
    </row>
    <row r="721" spans="1:12" ht="13.5" customHeight="1">
      <c r="A721" s="45"/>
      <c r="D721" s="173" t="s">
        <v>1023</v>
      </c>
      <c r="E721" s="174"/>
      <c r="F721" s="174"/>
      <c r="G721" s="174"/>
      <c r="H721" s="174"/>
      <c r="I721" s="174"/>
      <c r="J721" s="174"/>
      <c r="K721" s="174"/>
      <c r="L721" s="175"/>
    </row>
    <row r="722" spans="1:12" ht="15">
      <c r="A722" s="46"/>
      <c r="B722" s="47"/>
      <c r="C722" s="47"/>
      <c r="D722" s="48" t="s">
        <v>1276</v>
      </c>
      <c r="E722" s="49" t="s">
        <v>963</v>
      </c>
      <c r="F722" s="47"/>
      <c r="G722" s="50">
        <v>1.6</v>
      </c>
      <c r="H722" s="47"/>
      <c r="I722" s="47"/>
      <c r="J722" s="47"/>
      <c r="K722" s="47"/>
      <c r="L722" s="51"/>
    </row>
    <row r="723" spans="1:12" ht="15">
      <c r="A723" s="52"/>
      <c r="B723" s="53"/>
      <c r="C723" s="53"/>
      <c r="D723" s="54" t="s">
        <v>1277</v>
      </c>
      <c r="E723" s="55" t="s">
        <v>1248</v>
      </c>
      <c r="F723" s="53"/>
      <c r="G723" s="56">
        <v>0.9</v>
      </c>
      <c r="H723" s="53"/>
      <c r="I723" s="53"/>
      <c r="J723" s="53"/>
      <c r="K723" s="53"/>
      <c r="L723" s="57"/>
    </row>
    <row r="724" spans="1:75" ht="13.5" customHeight="1">
      <c r="A724" s="66" t="s">
        <v>1278</v>
      </c>
      <c r="B724" s="67" t="s">
        <v>1215</v>
      </c>
      <c r="C724" s="67" t="s">
        <v>1027</v>
      </c>
      <c r="D724" s="181" t="s">
        <v>1028</v>
      </c>
      <c r="E724" s="182"/>
      <c r="F724" s="67" t="s">
        <v>951</v>
      </c>
      <c r="G724" s="68">
        <v>1165</v>
      </c>
      <c r="H724" s="68">
        <v>0</v>
      </c>
      <c r="I724" s="68">
        <f>G724*AO724</f>
        <v>0</v>
      </c>
      <c r="J724" s="68">
        <f>G724*AP724</f>
        <v>0</v>
      </c>
      <c r="K724" s="68">
        <f>G724*H724</f>
        <v>0</v>
      </c>
      <c r="L724" s="69" t="s">
        <v>137</v>
      </c>
      <c r="Z724" s="27">
        <f>IF(AQ724="5",BJ724,0)</f>
        <v>0</v>
      </c>
      <c r="AB724" s="27">
        <f>IF(AQ724="1",BH724,0)</f>
        <v>0</v>
      </c>
      <c r="AC724" s="27">
        <f>IF(AQ724="1",BI724,0)</f>
        <v>0</v>
      </c>
      <c r="AD724" s="27">
        <f>IF(AQ724="7",BH724,0)</f>
        <v>0</v>
      </c>
      <c r="AE724" s="27">
        <f>IF(AQ724="7",BI724,0)</f>
        <v>0</v>
      </c>
      <c r="AF724" s="27">
        <f>IF(AQ724="2",BH724,0)</f>
        <v>0</v>
      </c>
      <c r="AG724" s="27">
        <f>IF(AQ724="2",BI724,0)</f>
        <v>0</v>
      </c>
      <c r="AH724" s="27">
        <f>IF(AQ724="0",BJ724,0)</f>
        <v>0</v>
      </c>
      <c r="AI724" s="9" t="s">
        <v>1215</v>
      </c>
      <c r="AJ724" s="27">
        <f>IF(AN724=0,K724,0)</f>
        <v>0</v>
      </c>
      <c r="AK724" s="27">
        <f>IF(AN724=12,K724,0)</f>
        <v>0</v>
      </c>
      <c r="AL724" s="27">
        <f>IF(AN724=21,K724,0)</f>
        <v>0</v>
      </c>
      <c r="AN724" s="27">
        <v>21</v>
      </c>
      <c r="AO724" s="27">
        <f>H724*0</f>
        <v>0</v>
      </c>
      <c r="AP724" s="27">
        <f>H724*(1-0)</f>
        <v>0</v>
      </c>
      <c r="AQ724" s="29" t="s">
        <v>78</v>
      </c>
      <c r="AV724" s="27">
        <f>AW724+AX724</f>
        <v>0</v>
      </c>
      <c r="AW724" s="27">
        <f>G724*AO724</f>
        <v>0</v>
      </c>
      <c r="AX724" s="27">
        <f>G724*AP724</f>
        <v>0</v>
      </c>
      <c r="AY724" s="29" t="s">
        <v>973</v>
      </c>
      <c r="AZ724" s="29" t="s">
        <v>1258</v>
      </c>
      <c r="BA724" s="9" t="s">
        <v>1219</v>
      </c>
      <c r="BC724" s="27">
        <f>AW724+AX724</f>
        <v>0</v>
      </c>
      <c r="BD724" s="27">
        <f>H724/(100-BE724)*100</f>
        <v>0</v>
      </c>
      <c r="BE724" s="27">
        <v>0</v>
      </c>
      <c r="BF724" s="27">
        <f>724</f>
        <v>724</v>
      </c>
      <c r="BH724" s="27">
        <f>G724*AO724</f>
        <v>0</v>
      </c>
      <c r="BI724" s="27">
        <f>G724*AP724</f>
        <v>0</v>
      </c>
      <c r="BJ724" s="27">
        <f>G724*H724</f>
        <v>0</v>
      </c>
      <c r="BK724" s="27"/>
      <c r="BL724" s="27">
        <v>776</v>
      </c>
      <c r="BW724" s="27">
        <v>21</v>
      </c>
    </row>
    <row r="725" spans="1:12" ht="15">
      <c r="A725" s="52"/>
      <c r="B725" s="53"/>
      <c r="C725" s="53"/>
      <c r="D725" s="54" t="s">
        <v>1279</v>
      </c>
      <c r="E725" s="55" t="s">
        <v>52</v>
      </c>
      <c r="F725" s="53"/>
      <c r="G725" s="56">
        <v>1165</v>
      </c>
      <c r="H725" s="53"/>
      <c r="I725" s="53"/>
      <c r="J725" s="53"/>
      <c r="K725" s="53"/>
      <c r="L725" s="57"/>
    </row>
    <row r="726" spans="1:47" ht="15">
      <c r="A726" s="75" t="s">
        <v>52</v>
      </c>
      <c r="B726" s="76" t="s">
        <v>1215</v>
      </c>
      <c r="C726" s="76" t="s">
        <v>308</v>
      </c>
      <c r="D726" s="185" t="s">
        <v>309</v>
      </c>
      <c r="E726" s="186"/>
      <c r="F726" s="77" t="s">
        <v>4</v>
      </c>
      <c r="G726" s="77" t="s">
        <v>4</v>
      </c>
      <c r="H726" s="77" t="s">
        <v>4</v>
      </c>
      <c r="I726" s="78">
        <f>SUM(I727:I745)</f>
        <v>0</v>
      </c>
      <c r="J726" s="78">
        <f>SUM(J727:J745)</f>
        <v>0</v>
      </c>
      <c r="K726" s="78">
        <f>SUM(K727:K745)</f>
        <v>0</v>
      </c>
      <c r="L726" s="79" t="s">
        <v>52</v>
      </c>
      <c r="AI726" s="9" t="s">
        <v>1215</v>
      </c>
      <c r="AS726" s="1">
        <f>SUM(AJ727:AJ745)</f>
        <v>0</v>
      </c>
      <c r="AT726" s="1">
        <f>SUM(AK727:AK745)</f>
        <v>0</v>
      </c>
      <c r="AU726" s="1">
        <f>SUM(AL727:AL745)</f>
        <v>0</v>
      </c>
    </row>
    <row r="727" spans="1:75" ht="13.5" customHeight="1">
      <c r="A727" s="66" t="s">
        <v>1280</v>
      </c>
      <c r="B727" s="67" t="s">
        <v>1215</v>
      </c>
      <c r="C727" s="67" t="s">
        <v>324</v>
      </c>
      <c r="D727" s="181" t="s">
        <v>1031</v>
      </c>
      <c r="E727" s="182"/>
      <c r="F727" s="67" t="s">
        <v>109</v>
      </c>
      <c r="G727" s="68">
        <v>2.25</v>
      </c>
      <c r="H727" s="68">
        <v>0</v>
      </c>
      <c r="I727" s="68">
        <f>G727*AO727</f>
        <v>0</v>
      </c>
      <c r="J727" s="68">
        <f>G727*AP727</f>
        <v>0</v>
      </c>
      <c r="K727" s="68">
        <f>G727*H727</f>
        <v>0</v>
      </c>
      <c r="L727" s="69" t="s">
        <v>137</v>
      </c>
      <c r="Z727" s="27">
        <f>IF(AQ727="5",BJ727,0)</f>
        <v>0</v>
      </c>
      <c r="AB727" s="27">
        <f>IF(AQ727="1",BH727,0)</f>
        <v>0</v>
      </c>
      <c r="AC727" s="27">
        <f>IF(AQ727="1",BI727,0)</f>
        <v>0</v>
      </c>
      <c r="AD727" s="27">
        <f>IF(AQ727="7",BH727,0)</f>
        <v>0</v>
      </c>
      <c r="AE727" s="27">
        <f>IF(AQ727="7",BI727,0)</f>
        <v>0</v>
      </c>
      <c r="AF727" s="27">
        <f>IF(AQ727="2",BH727,0)</f>
        <v>0</v>
      </c>
      <c r="AG727" s="27">
        <f>IF(AQ727="2",BI727,0)</f>
        <v>0</v>
      </c>
      <c r="AH727" s="27">
        <f>IF(AQ727="0",BJ727,0)</f>
        <v>0</v>
      </c>
      <c r="AI727" s="9" t="s">
        <v>1215</v>
      </c>
      <c r="AJ727" s="27">
        <f>IF(AN727=0,K727,0)</f>
        <v>0</v>
      </c>
      <c r="AK727" s="27">
        <f>IF(AN727=12,K727,0)</f>
        <v>0</v>
      </c>
      <c r="AL727" s="27">
        <f>IF(AN727=21,K727,0)</f>
        <v>0</v>
      </c>
      <c r="AN727" s="27">
        <v>21</v>
      </c>
      <c r="AO727" s="27">
        <f>H727*0.214537634</f>
        <v>0</v>
      </c>
      <c r="AP727" s="27">
        <f>H727*(1-0.214537634)</f>
        <v>0</v>
      </c>
      <c r="AQ727" s="29" t="s">
        <v>84</v>
      </c>
      <c r="AV727" s="27">
        <f>AW727+AX727</f>
        <v>0</v>
      </c>
      <c r="AW727" s="27">
        <f>G727*AO727</f>
        <v>0</v>
      </c>
      <c r="AX727" s="27">
        <f>G727*AP727</f>
        <v>0</v>
      </c>
      <c r="AY727" s="29" t="s">
        <v>313</v>
      </c>
      <c r="AZ727" s="29" t="s">
        <v>1281</v>
      </c>
      <c r="BA727" s="9" t="s">
        <v>1219</v>
      </c>
      <c r="BC727" s="27">
        <f>AW727+AX727</f>
        <v>0</v>
      </c>
      <c r="BD727" s="27">
        <f>H727/(100-BE727)*100</f>
        <v>0</v>
      </c>
      <c r="BE727" s="27">
        <v>0</v>
      </c>
      <c r="BF727" s="27">
        <f>727</f>
        <v>727</v>
      </c>
      <c r="BH727" s="27">
        <f>G727*AO727</f>
        <v>0</v>
      </c>
      <c r="BI727" s="27">
        <f>G727*AP727</f>
        <v>0</v>
      </c>
      <c r="BJ727" s="27">
        <f>G727*H727</f>
        <v>0</v>
      </c>
      <c r="BK727" s="27"/>
      <c r="BL727" s="27">
        <v>781</v>
      </c>
      <c r="BW727" s="27">
        <v>21</v>
      </c>
    </row>
    <row r="728" spans="1:12" ht="13.5" customHeight="1">
      <c r="A728" s="45"/>
      <c r="D728" s="173" t="s">
        <v>1033</v>
      </c>
      <c r="E728" s="174"/>
      <c r="F728" s="174"/>
      <c r="G728" s="174"/>
      <c r="H728" s="174"/>
      <c r="I728" s="174"/>
      <c r="J728" s="174"/>
      <c r="K728" s="174"/>
      <c r="L728" s="175"/>
    </row>
    <row r="729" spans="1:12" ht="15">
      <c r="A729" s="46"/>
      <c r="B729" s="47"/>
      <c r="C729" s="47"/>
      <c r="D729" s="48" t="s">
        <v>1282</v>
      </c>
      <c r="E729" s="49" t="s">
        <v>1035</v>
      </c>
      <c r="F729" s="47"/>
      <c r="G729" s="50">
        <v>2.25</v>
      </c>
      <c r="H729" s="47"/>
      <c r="I729" s="47"/>
      <c r="J729" s="47"/>
      <c r="K729" s="47"/>
      <c r="L729" s="51"/>
    </row>
    <row r="730" spans="1:75" ht="13.5" customHeight="1">
      <c r="A730" s="80" t="s">
        <v>1283</v>
      </c>
      <c r="B730" s="81" t="s">
        <v>1215</v>
      </c>
      <c r="C730" s="81" t="s">
        <v>1037</v>
      </c>
      <c r="D730" s="187" t="s">
        <v>1038</v>
      </c>
      <c r="E730" s="188"/>
      <c r="F730" s="81" t="s">
        <v>109</v>
      </c>
      <c r="G730" s="82">
        <v>2.25</v>
      </c>
      <c r="H730" s="82">
        <v>0</v>
      </c>
      <c r="I730" s="82">
        <f>G730*AO730</f>
        <v>0</v>
      </c>
      <c r="J730" s="82">
        <f>G730*AP730</f>
        <v>0</v>
      </c>
      <c r="K730" s="82">
        <f>G730*H730</f>
        <v>0</v>
      </c>
      <c r="L730" s="83" t="s">
        <v>137</v>
      </c>
      <c r="Z730" s="27">
        <f>IF(AQ730="5",BJ730,0)</f>
        <v>0</v>
      </c>
      <c r="AB730" s="27">
        <f>IF(AQ730="1",BH730,0)</f>
        <v>0</v>
      </c>
      <c r="AC730" s="27">
        <f>IF(AQ730="1",BI730,0)</f>
        <v>0</v>
      </c>
      <c r="AD730" s="27">
        <f>IF(AQ730="7",BH730,0)</f>
        <v>0</v>
      </c>
      <c r="AE730" s="27">
        <f>IF(AQ730="7",BI730,0)</f>
        <v>0</v>
      </c>
      <c r="AF730" s="27">
        <f>IF(AQ730="2",BH730,0)</f>
        <v>0</v>
      </c>
      <c r="AG730" s="27">
        <f>IF(AQ730="2",BI730,0)</f>
        <v>0</v>
      </c>
      <c r="AH730" s="27">
        <f>IF(AQ730="0",BJ730,0)</f>
        <v>0</v>
      </c>
      <c r="AI730" s="9" t="s">
        <v>1215</v>
      </c>
      <c r="AJ730" s="62">
        <f>IF(AN730=0,K730,0)</f>
        <v>0</v>
      </c>
      <c r="AK730" s="62">
        <f>IF(AN730=12,K730,0)</f>
        <v>0</v>
      </c>
      <c r="AL730" s="62">
        <f>IF(AN730=21,K730,0)</f>
        <v>0</v>
      </c>
      <c r="AN730" s="27">
        <v>21</v>
      </c>
      <c r="AO730" s="27">
        <f>H730*1</f>
        <v>0</v>
      </c>
      <c r="AP730" s="27">
        <f>H730*(1-1)</f>
        <v>0</v>
      </c>
      <c r="AQ730" s="64" t="s">
        <v>84</v>
      </c>
      <c r="AV730" s="27">
        <f>AW730+AX730</f>
        <v>0</v>
      </c>
      <c r="AW730" s="27">
        <f>G730*AO730</f>
        <v>0</v>
      </c>
      <c r="AX730" s="27">
        <f>G730*AP730</f>
        <v>0</v>
      </c>
      <c r="AY730" s="29" t="s">
        <v>313</v>
      </c>
      <c r="AZ730" s="29" t="s">
        <v>1281</v>
      </c>
      <c r="BA730" s="9" t="s">
        <v>1219</v>
      </c>
      <c r="BC730" s="27">
        <f>AW730+AX730</f>
        <v>0</v>
      </c>
      <c r="BD730" s="27">
        <f>H730/(100-BE730)*100</f>
        <v>0</v>
      </c>
      <c r="BE730" s="27">
        <v>0</v>
      </c>
      <c r="BF730" s="27">
        <f>730</f>
        <v>730</v>
      </c>
      <c r="BH730" s="62">
        <f>G730*AO730</f>
        <v>0</v>
      </c>
      <c r="BI730" s="62">
        <f>G730*AP730</f>
        <v>0</v>
      </c>
      <c r="BJ730" s="62">
        <f>G730*H730</f>
        <v>0</v>
      </c>
      <c r="BK730" s="62"/>
      <c r="BL730" s="27">
        <v>781</v>
      </c>
      <c r="BW730" s="27">
        <v>21</v>
      </c>
    </row>
    <row r="731" spans="1:12" ht="15">
      <c r="A731" s="52"/>
      <c r="B731" s="53"/>
      <c r="C731" s="53"/>
      <c r="D731" s="54" t="s">
        <v>1282</v>
      </c>
      <c r="E731" s="55" t="s">
        <v>1035</v>
      </c>
      <c r="F731" s="53"/>
      <c r="G731" s="56">
        <v>2.25</v>
      </c>
      <c r="H731" s="53"/>
      <c r="I731" s="53"/>
      <c r="J731" s="53"/>
      <c r="K731" s="53"/>
      <c r="L731" s="57"/>
    </row>
    <row r="732" spans="1:75" ht="13.5" customHeight="1">
      <c r="A732" s="66" t="s">
        <v>1284</v>
      </c>
      <c r="B732" s="67" t="s">
        <v>1215</v>
      </c>
      <c r="C732" s="67" t="s">
        <v>1042</v>
      </c>
      <c r="D732" s="181" t="s">
        <v>1043</v>
      </c>
      <c r="E732" s="182"/>
      <c r="F732" s="67" t="s">
        <v>126</v>
      </c>
      <c r="G732" s="68">
        <v>4.5</v>
      </c>
      <c r="H732" s="68">
        <v>0</v>
      </c>
      <c r="I732" s="68">
        <f>G732*AO732</f>
        <v>0</v>
      </c>
      <c r="J732" s="68">
        <f>G732*AP732</f>
        <v>0</v>
      </c>
      <c r="K732" s="68">
        <f>G732*H732</f>
        <v>0</v>
      </c>
      <c r="L732" s="69" t="s">
        <v>137</v>
      </c>
      <c r="Z732" s="27">
        <f>IF(AQ732="5",BJ732,0)</f>
        <v>0</v>
      </c>
      <c r="AB732" s="27">
        <f>IF(AQ732="1",BH732,0)</f>
        <v>0</v>
      </c>
      <c r="AC732" s="27">
        <f>IF(AQ732="1",BI732,0)</f>
        <v>0</v>
      </c>
      <c r="AD732" s="27">
        <f>IF(AQ732="7",BH732,0)</f>
        <v>0</v>
      </c>
      <c r="AE732" s="27">
        <f>IF(AQ732="7",BI732,0)</f>
        <v>0</v>
      </c>
      <c r="AF732" s="27">
        <f>IF(AQ732="2",BH732,0)</f>
        <v>0</v>
      </c>
      <c r="AG732" s="27">
        <f>IF(AQ732="2",BI732,0)</f>
        <v>0</v>
      </c>
      <c r="AH732" s="27">
        <f>IF(AQ732="0",BJ732,0)</f>
        <v>0</v>
      </c>
      <c r="AI732" s="9" t="s">
        <v>1215</v>
      </c>
      <c r="AJ732" s="27">
        <f>IF(AN732=0,K732,0)</f>
        <v>0</v>
      </c>
      <c r="AK732" s="27">
        <f>IF(AN732=12,K732,0)</f>
        <v>0</v>
      </c>
      <c r="AL732" s="27">
        <f>IF(AN732=21,K732,0)</f>
        <v>0</v>
      </c>
      <c r="AN732" s="27">
        <v>21</v>
      </c>
      <c r="AO732" s="27">
        <f>H732*0.788056426</f>
        <v>0</v>
      </c>
      <c r="AP732" s="27">
        <f>H732*(1-0.788056426)</f>
        <v>0</v>
      </c>
      <c r="AQ732" s="29" t="s">
        <v>84</v>
      </c>
      <c r="AV732" s="27">
        <f>AW732+AX732</f>
        <v>0</v>
      </c>
      <c r="AW732" s="27">
        <f>G732*AO732</f>
        <v>0</v>
      </c>
      <c r="AX732" s="27">
        <f>G732*AP732</f>
        <v>0</v>
      </c>
      <c r="AY732" s="29" t="s">
        <v>313</v>
      </c>
      <c r="AZ732" s="29" t="s">
        <v>1281</v>
      </c>
      <c r="BA732" s="9" t="s">
        <v>1219</v>
      </c>
      <c r="BC732" s="27">
        <f>AW732+AX732</f>
        <v>0</v>
      </c>
      <c r="BD732" s="27">
        <f>H732/(100-BE732)*100</f>
        <v>0</v>
      </c>
      <c r="BE732" s="27">
        <v>0</v>
      </c>
      <c r="BF732" s="27">
        <f>732</f>
        <v>732</v>
      </c>
      <c r="BH732" s="27">
        <f>G732*AO732</f>
        <v>0</v>
      </c>
      <c r="BI732" s="27">
        <f>G732*AP732</f>
        <v>0</v>
      </c>
      <c r="BJ732" s="27">
        <f>G732*H732</f>
        <v>0</v>
      </c>
      <c r="BK732" s="27"/>
      <c r="BL732" s="27">
        <v>781</v>
      </c>
      <c r="BW732" s="27">
        <v>21</v>
      </c>
    </row>
    <row r="733" spans="1:12" ht="13.5" customHeight="1">
      <c r="A733" s="45"/>
      <c r="D733" s="173" t="s">
        <v>337</v>
      </c>
      <c r="E733" s="174"/>
      <c r="F733" s="174"/>
      <c r="G733" s="174"/>
      <c r="H733" s="174"/>
      <c r="I733" s="174"/>
      <c r="J733" s="174"/>
      <c r="K733" s="174"/>
      <c r="L733" s="175"/>
    </row>
    <row r="734" spans="1:12" ht="15">
      <c r="A734" s="46"/>
      <c r="B734" s="47"/>
      <c r="C734" s="47"/>
      <c r="D734" s="48" t="s">
        <v>1285</v>
      </c>
      <c r="E734" s="49" t="s">
        <v>1035</v>
      </c>
      <c r="F734" s="47"/>
      <c r="G734" s="50">
        <v>4.5</v>
      </c>
      <c r="H734" s="47"/>
      <c r="I734" s="47"/>
      <c r="J734" s="47"/>
      <c r="K734" s="47"/>
      <c r="L734" s="51"/>
    </row>
    <row r="735" spans="1:75" ht="13.5" customHeight="1">
      <c r="A735" s="66" t="s">
        <v>1286</v>
      </c>
      <c r="B735" s="67" t="s">
        <v>1215</v>
      </c>
      <c r="C735" s="67" t="s">
        <v>356</v>
      </c>
      <c r="D735" s="181" t="s">
        <v>357</v>
      </c>
      <c r="E735" s="182"/>
      <c r="F735" s="67" t="s">
        <v>154</v>
      </c>
      <c r="G735" s="68">
        <v>2</v>
      </c>
      <c r="H735" s="68">
        <v>0</v>
      </c>
      <c r="I735" s="68">
        <f>G735*AO735</f>
        <v>0</v>
      </c>
      <c r="J735" s="68">
        <f>G735*AP735</f>
        <v>0</v>
      </c>
      <c r="K735" s="68">
        <f>G735*H735</f>
        <v>0</v>
      </c>
      <c r="L735" s="69" t="s">
        <v>137</v>
      </c>
      <c r="Z735" s="27">
        <f>IF(AQ735="5",BJ735,0)</f>
        <v>0</v>
      </c>
      <c r="AB735" s="27">
        <f>IF(AQ735="1",BH735,0)</f>
        <v>0</v>
      </c>
      <c r="AC735" s="27">
        <f>IF(AQ735="1",BI735,0)</f>
        <v>0</v>
      </c>
      <c r="AD735" s="27">
        <f>IF(AQ735="7",BH735,0)</f>
        <v>0</v>
      </c>
      <c r="AE735" s="27">
        <f>IF(AQ735="7",BI735,0)</f>
        <v>0</v>
      </c>
      <c r="AF735" s="27">
        <f>IF(AQ735="2",BH735,0)</f>
        <v>0</v>
      </c>
      <c r="AG735" s="27">
        <f>IF(AQ735="2",BI735,0)</f>
        <v>0</v>
      </c>
      <c r="AH735" s="27">
        <f>IF(AQ735="0",BJ735,0)</f>
        <v>0</v>
      </c>
      <c r="AI735" s="9" t="s">
        <v>1215</v>
      </c>
      <c r="AJ735" s="27">
        <f>IF(AN735=0,K735,0)</f>
        <v>0</v>
      </c>
      <c r="AK735" s="27">
        <f>IF(AN735=12,K735,0)</f>
        <v>0</v>
      </c>
      <c r="AL735" s="27">
        <f>IF(AN735=21,K735,0)</f>
        <v>0</v>
      </c>
      <c r="AN735" s="27">
        <v>21</v>
      </c>
      <c r="AO735" s="27">
        <f>H735*0.017595819</f>
        <v>0</v>
      </c>
      <c r="AP735" s="27">
        <f>H735*(1-0.017595819)</f>
        <v>0</v>
      </c>
      <c r="AQ735" s="29" t="s">
        <v>84</v>
      </c>
      <c r="AV735" s="27">
        <f>AW735+AX735</f>
        <v>0</v>
      </c>
      <c r="AW735" s="27">
        <f>G735*AO735</f>
        <v>0</v>
      </c>
      <c r="AX735" s="27">
        <f>G735*AP735</f>
        <v>0</v>
      </c>
      <c r="AY735" s="29" t="s">
        <v>313</v>
      </c>
      <c r="AZ735" s="29" t="s">
        <v>1281</v>
      </c>
      <c r="BA735" s="9" t="s">
        <v>1219</v>
      </c>
      <c r="BC735" s="27">
        <f>AW735+AX735</f>
        <v>0</v>
      </c>
      <c r="BD735" s="27">
        <f>H735/(100-BE735)*100</f>
        <v>0</v>
      </c>
      <c r="BE735" s="27">
        <v>0</v>
      </c>
      <c r="BF735" s="27">
        <f>735</f>
        <v>735</v>
      </c>
      <c r="BH735" s="27">
        <f>G735*AO735</f>
        <v>0</v>
      </c>
      <c r="BI735" s="27">
        <f>G735*AP735</f>
        <v>0</v>
      </c>
      <c r="BJ735" s="27">
        <f>G735*H735</f>
        <v>0</v>
      </c>
      <c r="BK735" s="27"/>
      <c r="BL735" s="27">
        <v>781</v>
      </c>
      <c r="BW735" s="27">
        <v>21</v>
      </c>
    </row>
    <row r="736" spans="1:12" ht="15">
      <c r="A736" s="52"/>
      <c r="B736" s="53"/>
      <c r="C736" s="53"/>
      <c r="D736" s="54" t="s">
        <v>60</v>
      </c>
      <c r="E736" s="55" t="s">
        <v>52</v>
      </c>
      <c r="F736" s="53"/>
      <c r="G736" s="56">
        <v>2</v>
      </c>
      <c r="H736" s="53"/>
      <c r="I736" s="53"/>
      <c r="J736" s="53"/>
      <c r="K736" s="53"/>
      <c r="L736" s="57"/>
    </row>
    <row r="737" spans="1:75" ht="13.5" customHeight="1">
      <c r="A737" s="66" t="s">
        <v>1287</v>
      </c>
      <c r="B737" s="67" t="s">
        <v>1215</v>
      </c>
      <c r="C737" s="67" t="s">
        <v>361</v>
      </c>
      <c r="D737" s="181" t="s">
        <v>362</v>
      </c>
      <c r="E737" s="182"/>
      <c r="F737" s="67" t="s">
        <v>154</v>
      </c>
      <c r="G737" s="68">
        <v>1</v>
      </c>
      <c r="H737" s="68">
        <v>0</v>
      </c>
      <c r="I737" s="68">
        <f>G737*AO737</f>
        <v>0</v>
      </c>
      <c r="J737" s="68">
        <f>G737*AP737</f>
        <v>0</v>
      </c>
      <c r="K737" s="68">
        <f>G737*H737</f>
        <v>0</v>
      </c>
      <c r="L737" s="69" t="s">
        <v>137</v>
      </c>
      <c r="Z737" s="27">
        <f>IF(AQ737="5",BJ737,0)</f>
        <v>0</v>
      </c>
      <c r="AB737" s="27">
        <f>IF(AQ737="1",BH737,0)</f>
        <v>0</v>
      </c>
      <c r="AC737" s="27">
        <f>IF(AQ737="1",BI737,0)</f>
        <v>0</v>
      </c>
      <c r="AD737" s="27">
        <f>IF(AQ737="7",BH737,0)</f>
        <v>0</v>
      </c>
      <c r="AE737" s="27">
        <f>IF(AQ737="7",BI737,0)</f>
        <v>0</v>
      </c>
      <c r="AF737" s="27">
        <f>IF(AQ737="2",BH737,0)</f>
        <v>0</v>
      </c>
      <c r="AG737" s="27">
        <f>IF(AQ737="2",BI737,0)</f>
        <v>0</v>
      </c>
      <c r="AH737" s="27">
        <f>IF(AQ737="0",BJ737,0)</f>
        <v>0</v>
      </c>
      <c r="AI737" s="9" t="s">
        <v>1215</v>
      </c>
      <c r="AJ737" s="27">
        <f>IF(AN737=0,K737,0)</f>
        <v>0</v>
      </c>
      <c r="AK737" s="27">
        <f>IF(AN737=12,K737,0)</f>
        <v>0</v>
      </c>
      <c r="AL737" s="27">
        <f>IF(AN737=21,K737,0)</f>
        <v>0</v>
      </c>
      <c r="AN737" s="27">
        <v>21</v>
      </c>
      <c r="AO737" s="27">
        <f>H737*0.058054711</f>
        <v>0</v>
      </c>
      <c r="AP737" s="27">
        <f>H737*(1-0.058054711)</f>
        <v>0</v>
      </c>
      <c r="AQ737" s="29" t="s">
        <v>84</v>
      </c>
      <c r="AV737" s="27">
        <f>AW737+AX737</f>
        <v>0</v>
      </c>
      <c r="AW737" s="27">
        <f>G737*AO737</f>
        <v>0</v>
      </c>
      <c r="AX737" s="27">
        <f>G737*AP737</f>
        <v>0</v>
      </c>
      <c r="AY737" s="29" t="s">
        <v>313</v>
      </c>
      <c r="AZ737" s="29" t="s">
        <v>1281</v>
      </c>
      <c r="BA737" s="9" t="s">
        <v>1219</v>
      </c>
      <c r="BC737" s="27">
        <f>AW737+AX737</f>
        <v>0</v>
      </c>
      <c r="BD737" s="27">
        <f>H737/(100-BE737)*100</f>
        <v>0</v>
      </c>
      <c r="BE737" s="27">
        <v>0</v>
      </c>
      <c r="BF737" s="27">
        <f>737</f>
        <v>737</v>
      </c>
      <c r="BH737" s="27">
        <f>G737*AO737</f>
        <v>0</v>
      </c>
      <c r="BI737" s="27">
        <f>G737*AP737</f>
        <v>0</v>
      </c>
      <c r="BJ737" s="27">
        <f>G737*H737</f>
        <v>0</v>
      </c>
      <c r="BK737" s="27"/>
      <c r="BL737" s="27">
        <v>781</v>
      </c>
      <c r="BW737" s="27">
        <v>21</v>
      </c>
    </row>
    <row r="738" spans="1:12" ht="15">
      <c r="A738" s="52"/>
      <c r="B738" s="53"/>
      <c r="C738" s="53"/>
      <c r="D738" s="54" t="s">
        <v>57</v>
      </c>
      <c r="E738" s="55" t="s">
        <v>52</v>
      </c>
      <c r="F738" s="53"/>
      <c r="G738" s="56">
        <v>1</v>
      </c>
      <c r="H738" s="53"/>
      <c r="I738" s="53"/>
      <c r="J738" s="53"/>
      <c r="K738" s="53"/>
      <c r="L738" s="57"/>
    </row>
    <row r="739" spans="1:75" ht="13.5" customHeight="1">
      <c r="A739" s="66" t="s">
        <v>1288</v>
      </c>
      <c r="B739" s="67" t="s">
        <v>1215</v>
      </c>
      <c r="C739" s="67" t="s">
        <v>350</v>
      </c>
      <c r="D739" s="181" t="s">
        <v>351</v>
      </c>
      <c r="E739" s="182"/>
      <c r="F739" s="67" t="s">
        <v>109</v>
      </c>
      <c r="G739" s="68">
        <v>2.25</v>
      </c>
      <c r="H739" s="68">
        <v>0</v>
      </c>
      <c r="I739" s="68">
        <f>G739*AO739</f>
        <v>0</v>
      </c>
      <c r="J739" s="68">
        <f>G739*AP739</f>
        <v>0</v>
      </c>
      <c r="K739" s="68">
        <f>G739*H739</f>
        <v>0</v>
      </c>
      <c r="L739" s="69" t="s">
        <v>137</v>
      </c>
      <c r="Z739" s="27">
        <f>IF(AQ739="5",BJ739,0)</f>
        <v>0</v>
      </c>
      <c r="AB739" s="27">
        <f>IF(AQ739="1",BH739,0)</f>
        <v>0</v>
      </c>
      <c r="AC739" s="27">
        <f>IF(AQ739="1",BI739,0)</f>
        <v>0</v>
      </c>
      <c r="AD739" s="27">
        <f>IF(AQ739="7",BH739,0)</f>
        <v>0</v>
      </c>
      <c r="AE739" s="27">
        <f>IF(AQ739="7",BI739,0)</f>
        <v>0</v>
      </c>
      <c r="AF739" s="27">
        <f>IF(AQ739="2",BH739,0)</f>
        <v>0</v>
      </c>
      <c r="AG739" s="27">
        <f>IF(AQ739="2",BI739,0)</f>
        <v>0</v>
      </c>
      <c r="AH739" s="27">
        <f>IF(AQ739="0",BJ739,0)</f>
        <v>0</v>
      </c>
      <c r="AI739" s="9" t="s">
        <v>1215</v>
      </c>
      <c r="AJ739" s="27">
        <f>IF(AN739=0,K739,0)</f>
        <v>0</v>
      </c>
      <c r="AK739" s="27">
        <f>IF(AN739=12,K739,0)</f>
        <v>0</v>
      </c>
      <c r="AL739" s="27">
        <f>IF(AN739=21,K739,0)</f>
        <v>0</v>
      </c>
      <c r="AN739" s="27">
        <v>21</v>
      </c>
      <c r="AO739" s="27">
        <f>H739*0</f>
        <v>0</v>
      </c>
      <c r="AP739" s="27">
        <f>H739*(1-0)</f>
        <v>0</v>
      </c>
      <c r="AQ739" s="29" t="s">
        <v>84</v>
      </c>
      <c r="AV739" s="27">
        <f>AW739+AX739</f>
        <v>0</v>
      </c>
      <c r="AW739" s="27">
        <f>G739*AO739</f>
        <v>0</v>
      </c>
      <c r="AX739" s="27">
        <f>G739*AP739</f>
        <v>0</v>
      </c>
      <c r="AY739" s="29" t="s">
        <v>313</v>
      </c>
      <c r="AZ739" s="29" t="s">
        <v>1281</v>
      </c>
      <c r="BA739" s="9" t="s">
        <v>1219</v>
      </c>
      <c r="BC739" s="27">
        <f>AW739+AX739</f>
        <v>0</v>
      </c>
      <c r="BD739" s="27">
        <f>H739/(100-BE739)*100</f>
        <v>0</v>
      </c>
      <c r="BE739" s="27">
        <v>0</v>
      </c>
      <c r="BF739" s="27">
        <f>739</f>
        <v>739</v>
      </c>
      <c r="BH739" s="27">
        <f>G739*AO739</f>
        <v>0</v>
      </c>
      <c r="BI739" s="27">
        <f>G739*AP739</f>
        <v>0</v>
      </c>
      <c r="BJ739" s="27">
        <f>G739*H739</f>
        <v>0</v>
      </c>
      <c r="BK739" s="27"/>
      <c r="BL739" s="27">
        <v>781</v>
      </c>
      <c r="BW739" s="27">
        <v>21</v>
      </c>
    </row>
    <row r="740" spans="1:12" ht="15">
      <c r="A740" s="52"/>
      <c r="B740" s="53"/>
      <c r="C740" s="53"/>
      <c r="D740" s="54" t="s">
        <v>1282</v>
      </c>
      <c r="E740" s="55" t="s">
        <v>1035</v>
      </c>
      <c r="F740" s="53"/>
      <c r="G740" s="56">
        <v>2.25</v>
      </c>
      <c r="H740" s="53"/>
      <c r="I740" s="53"/>
      <c r="J740" s="53"/>
      <c r="K740" s="53"/>
      <c r="L740" s="57"/>
    </row>
    <row r="741" spans="1:75" ht="13.5" customHeight="1">
      <c r="A741" s="80" t="s">
        <v>1289</v>
      </c>
      <c r="B741" s="81" t="s">
        <v>1215</v>
      </c>
      <c r="C741" s="81" t="s">
        <v>1049</v>
      </c>
      <c r="D741" s="187" t="s">
        <v>1050</v>
      </c>
      <c r="E741" s="188"/>
      <c r="F741" s="81" t="s">
        <v>282</v>
      </c>
      <c r="G741" s="82">
        <v>3.375</v>
      </c>
      <c r="H741" s="82">
        <v>0</v>
      </c>
      <c r="I741" s="82">
        <f>G741*AO741</f>
        <v>0</v>
      </c>
      <c r="J741" s="82">
        <f>G741*AP741</f>
        <v>0</v>
      </c>
      <c r="K741" s="82">
        <f>G741*H741</f>
        <v>0</v>
      </c>
      <c r="L741" s="83" t="s">
        <v>137</v>
      </c>
      <c r="Z741" s="27">
        <f>IF(AQ741="5",BJ741,0)</f>
        <v>0</v>
      </c>
      <c r="AB741" s="27">
        <f>IF(AQ741="1",BH741,0)</f>
        <v>0</v>
      </c>
      <c r="AC741" s="27">
        <f>IF(AQ741="1",BI741,0)</f>
        <v>0</v>
      </c>
      <c r="AD741" s="27">
        <f>IF(AQ741="7",BH741,0)</f>
        <v>0</v>
      </c>
      <c r="AE741" s="27">
        <f>IF(AQ741="7",BI741,0)</f>
        <v>0</v>
      </c>
      <c r="AF741" s="27">
        <f>IF(AQ741="2",BH741,0)</f>
        <v>0</v>
      </c>
      <c r="AG741" s="27">
        <f>IF(AQ741="2",BI741,0)</f>
        <v>0</v>
      </c>
      <c r="AH741" s="27">
        <f>IF(AQ741="0",BJ741,0)</f>
        <v>0</v>
      </c>
      <c r="AI741" s="9" t="s">
        <v>1215</v>
      </c>
      <c r="AJ741" s="62">
        <f>IF(AN741=0,K741,0)</f>
        <v>0</v>
      </c>
      <c r="AK741" s="62">
        <f>IF(AN741=12,K741,0)</f>
        <v>0</v>
      </c>
      <c r="AL741" s="62">
        <f>IF(AN741=21,K741,0)</f>
        <v>0</v>
      </c>
      <c r="AN741" s="27">
        <v>21</v>
      </c>
      <c r="AO741" s="27">
        <f>H741*1</f>
        <v>0</v>
      </c>
      <c r="AP741" s="27">
        <f>H741*(1-1)</f>
        <v>0</v>
      </c>
      <c r="AQ741" s="64" t="s">
        <v>84</v>
      </c>
      <c r="AV741" s="27">
        <f>AW741+AX741</f>
        <v>0</v>
      </c>
      <c r="AW741" s="27">
        <f>G741*AO741</f>
        <v>0</v>
      </c>
      <c r="AX741" s="27">
        <f>G741*AP741</f>
        <v>0</v>
      </c>
      <c r="AY741" s="29" t="s">
        <v>313</v>
      </c>
      <c r="AZ741" s="29" t="s">
        <v>1281</v>
      </c>
      <c r="BA741" s="9" t="s">
        <v>1219</v>
      </c>
      <c r="BC741" s="27">
        <f>AW741+AX741</f>
        <v>0</v>
      </c>
      <c r="BD741" s="27">
        <f>H741/(100-BE741)*100</f>
        <v>0</v>
      </c>
      <c r="BE741" s="27">
        <v>0</v>
      </c>
      <c r="BF741" s="27">
        <f>741</f>
        <v>741</v>
      </c>
      <c r="BH741" s="62">
        <f>G741*AO741</f>
        <v>0</v>
      </c>
      <c r="BI741" s="62">
        <f>G741*AP741</f>
        <v>0</v>
      </c>
      <c r="BJ741" s="62">
        <f>G741*H741</f>
        <v>0</v>
      </c>
      <c r="BK741" s="62"/>
      <c r="BL741" s="27">
        <v>781</v>
      </c>
      <c r="BW741" s="27">
        <v>21</v>
      </c>
    </row>
    <row r="742" spans="1:12" ht="15">
      <c r="A742" s="52"/>
      <c r="B742" s="53"/>
      <c r="C742" s="53"/>
      <c r="D742" s="54" t="s">
        <v>1290</v>
      </c>
      <c r="E742" s="55" t="s">
        <v>1035</v>
      </c>
      <c r="F742" s="53"/>
      <c r="G742" s="56">
        <v>3.375</v>
      </c>
      <c r="H742" s="53"/>
      <c r="I742" s="53"/>
      <c r="J742" s="53"/>
      <c r="K742" s="53"/>
      <c r="L742" s="57"/>
    </row>
    <row r="743" spans="1:75" ht="13.5" customHeight="1">
      <c r="A743" s="66" t="s">
        <v>1291</v>
      </c>
      <c r="B743" s="67" t="s">
        <v>1215</v>
      </c>
      <c r="C743" s="67" t="s">
        <v>1055</v>
      </c>
      <c r="D743" s="181" t="s">
        <v>1056</v>
      </c>
      <c r="E743" s="182"/>
      <c r="F743" s="67" t="s">
        <v>109</v>
      </c>
      <c r="G743" s="68">
        <v>2.4</v>
      </c>
      <c r="H743" s="68">
        <v>0</v>
      </c>
      <c r="I743" s="68">
        <f>G743*AO743</f>
        <v>0</v>
      </c>
      <c r="J743" s="68">
        <f>G743*AP743</f>
        <v>0</v>
      </c>
      <c r="K743" s="68">
        <f>G743*H743</f>
        <v>0</v>
      </c>
      <c r="L743" s="69" t="s">
        <v>137</v>
      </c>
      <c r="Z743" s="27">
        <f>IF(AQ743="5",BJ743,0)</f>
        <v>0</v>
      </c>
      <c r="AB743" s="27">
        <f>IF(AQ743="1",BH743,0)</f>
        <v>0</v>
      </c>
      <c r="AC743" s="27">
        <f>IF(AQ743="1",BI743,0)</f>
        <v>0</v>
      </c>
      <c r="AD743" s="27">
        <f>IF(AQ743="7",BH743,0)</f>
        <v>0</v>
      </c>
      <c r="AE743" s="27">
        <f>IF(AQ743="7",BI743,0)</f>
        <v>0</v>
      </c>
      <c r="AF743" s="27">
        <f>IF(AQ743="2",BH743,0)</f>
        <v>0</v>
      </c>
      <c r="AG743" s="27">
        <f>IF(AQ743="2",BI743,0)</f>
        <v>0</v>
      </c>
      <c r="AH743" s="27">
        <f>IF(AQ743="0",BJ743,0)</f>
        <v>0</v>
      </c>
      <c r="AI743" s="9" t="s">
        <v>1215</v>
      </c>
      <c r="AJ743" s="27">
        <f>IF(AN743=0,K743,0)</f>
        <v>0</v>
      </c>
      <c r="AK743" s="27">
        <f>IF(AN743=12,K743,0)</f>
        <v>0</v>
      </c>
      <c r="AL743" s="27">
        <f>IF(AN743=21,K743,0)</f>
        <v>0</v>
      </c>
      <c r="AN743" s="27">
        <v>21</v>
      </c>
      <c r="AO743" s="27">
        <f>H743*0</f>
        <v>0</v>
      </c>
      <c r="AP743" s="27">
        <f>H743*(1-0)</f>
        <v>0</v>
      </c>
      <c r="AQ743" s="29" t="s">
        <v>84</v>
      </c>
      <c r="AV743" s="27">
        <f>AW743+AX743</f>
        <v>0</v>
      </c>
      <c r="AW743" s="27">
        <f>G743*AO743</f>
        <v>0</v>
      </c>
      <c r="AX743" s="27">
        <f>G743*AP743</f>
        <v>0</v>
      </c>
      <c r="AY743" s="29" t="s">
        <v>313</v>
      </c>
      <c r="AZ743" s="29" t="s">
        <v>1281</v>
      </c>
      <c r="BA743" s="9" t="s">
        <v>1219</v>
      </c>
      <c r="BC743" s="27">
        <f>AW743+AX743</f>
        <v>0</v>
      </c>
      <c r="BD743" s="27">
        <f>H743/(100-BE743)*100</f>
        <v>0</v>
      </c>
      <c r="BE743" s="27">
        <v>0</v>
      </c>
      <c r="BF743" s="27">
        <f>743</f>
        <v>743</v>
      </c>
      <c r="BH743" s="27">
        <f>G743*AO743</f>
        <v>0</v>
      </c>
      <c r="BI743" s="27">
        <f>G743*AP743</f>
        <v>0</v>
      </c>
      <c r="BJ743" s="27">
        <f>G743*H743</f>
        <v>0</v>
      </c>
      <c r="BK743" s="27"/>
      <c r="BL743" s="27">
        <v>781</v>
      </c>
      <c r="BW743" s="27">
        <v>21</v>
      </c>
    </row>
    <row r="744" spans="1:12" ht="15">
      <c r="A744" s="52"/>
      <c r="B744" s="53"/>
      <c r="C744" s="53"/>
      <c r="D744" s="54" t="s">
        <v>1034</v>
      </c>
      <c r="E744" s="55" t="s">
        <v>1035</v>
      </c>
      <c r="F744" s="53"/>
      <c r="G744" s="56">
        <v>2.4</v>
      </c>
      <c r="H744" s="53"/>
      <c r="I744" s="53"/>
      <c r="J744" s="53"/>
      <c r="K744" s="53"/>
      <c r="L744" s="57"/>
    </row>
    <row r="745" spans="1:75" ht="13.5" customHeight="1">
      <c r="A745" s="66" t="s">
        <v>1292</v>
      </c>
      <c r="B745" s="67" t="s">
        <v>1215</v>
      </c>
      <c r="C745" s="67" t="s">
        <v>1058</v>
      </c>
      <c r="D745" s="181" t="s">
        <v>1059</v>
      </c>
      <c r="E745" s="182"/>
      <c r="F745" s="67" t="s">
        <v>951</v>
      </c>
      <c r="G745" s="68">
        <v>62.86</v>
      </c>
      <c r="H745" s="68">
        <v>0</v>
      </c>
      <c r="I745" s="68">
        <f>G745*AO745</f>
        <v>0</v>
      </c>
      <c r="J745" s="68">
        <f>G745*AP745</f>
        <v>0</v>
      </c>
      <c r="K745" s="68">
        <f>G745*H745</f>
        <v>0</v>
      </c>
      <c r="L745" s="69" t="s">
        <v>137</v>
      </c>
      <c r="Z745" s="27">
        <f>IF(AQ745="5",BJ745,0)</f>
        <v>0</v>
      </c>
      <c r="AB745" s="27">
        <f>IF(AQ745="1",BH745,0)</f>
        <v>0</v>
      </c>
      <c r="AC745" s="27">
        <f>IF(AQ745="1",BI745,0)</f>
        <v>0</v>
      </c>
      <c r="AD745" s="27">
        <f>IF(AQ745="7",BH745,0)</f>
        <v>0</v>
      </c>
      <c r="AE745" s="27">
        <f>IF(AQ745="7",BI745,0)</f>
        <v>0</v>
      </c>
      <c r="AF745" s="27">
        <f>IF(AQ745="2",BH745,0)</f>
        <v>0</v>
      </c>
      <c r="AG745" s="27">
        <f>IF(AQ745="2",BI745,0)</f>
        <v>0</v>
      </c>
      <c r="AH745" s="27">
        <f>IF(AQ745="0",BJ745,0)</f>
        <v>0</v>
      </c>
      <c r="AI745" s="9" t="s">
        <v>1215</v>
      </c>
      <c r="AJ745" s="27">
        <f>IF(AN745=0,K745,0)</f>
        <v>0</v>
      </c>
      <c r="AK745" s="27">
        <f>IF(AN745=12,K745,0)</f>
        <v>0</v>
      </c>
      <c r="AL745" s="27">
        <f>IF(AN745=21,K745,0)</f>
        <v>0</v>
      </c>
      <c r="AN745" s="27">
        <v>21</v>
      </c>
      <c r="AO745" s="27">
        <f>H745*0</f>
        <v>0</v>
      </c>
      <c r="AP745" s="27">
        <f>H745*(1-0)</f>
        <v>0</v>
      </c>
      <c r="AQ745" s="29" t="s">
        <v>78</v>
      </c>
      <c r="AV745" s="27">
        <f>AW745+AX745</f>
        <v>0</v>
      </c>
      <c r="AW745" s="27">
        <f>G745*AO745</f>
        <v>0</v>
      </c>
      <c r="AX745" s="27">
        <f>G745*AP745</f>
        <v>0</v>
      </c>
      <c r="AY745" s="29" t="s">
        <v>313</v>
      </c>
      <c r="AZ745" s="29" t="s">
        <v>1281</v>
      </c>
      <c r="BA745" s="9" t="s">
        <v>1219</v>
      </c>
      <c r="BC745" s="27">
        <f>AW745+AX745</f>
        <v>0</v>
      </c>
      <c r="BD745" s="27">
        <f>H745/(100-BE745)*100</f>
        <v>0</v>
      </c>
      <c r="BE745" s="27">
        <v>0</v>
      </c>
      <c r="BF745" s="27">
        <f>745</f>
        <v>745</v>
      </c>
      <c r="BH745" s="27">
        <f>G745*AO745</f>
        <v>0</v>
      </c>
      <c r="BI745" s="27">
        <f>G745*AP745</f>
        <v>0</v>
      </c>
      <c r="BJ745" s="27">
        <f>G745*H745</f>
        <v>0</v>
      </c>
      <c r="BK745" s="27"/>
      <c r="BL745" s="27">
        <v>781</v>
      </c>
      <c r="BW745" s="27">
        <v>21</v>
      </c>
    </row>
    <row r="746" spans="1:12" ht="15">
      <c r="A746" s="52"/>
      <c r="B746" s="53"/>
      <c r="C746" s="53"/>
      <c r="D746" s="54" t="s">
        <v>1293</v>
      </c>
      <c r="E746" s="55" t="s">
        <v>52</v>
      </c>
      <c r="F746" s="53"/>
      <c r="G746" s="56">
        <v>62.86</v>
      </c>
      <c r="H746" s="53"/>
      <c r="I746" s="53"/>
      <c r="J746" s="53"/>
      <c r="K746" s="53"/>
      <c r="L746" s="57"/>
    </row>
    <row r="747" spans="1:47" ht="15">
      <c r="A747" s="75" t="s">
        <v>52</v>
      </c>
      <c r="B747" s="76" t="s">
        <v>1215</v>
      </c>
      <c r="C747" s="76" t="s">
        <v>364</v>
      </c>
      <c r="D747" s="185" t="s">
        <v>365</v>
      </c>
      <c r="E747" s="186"/>
      <c r="F747" s="77" t="s">
        <v>4</v>
      </c>
      <c r="G747" s="77" t="s">
        <v>4</v>
      </c>
      <c r="H747" s="77" t="s">
        <v>4</v>
      </c>
      <c r="I747" s="78">
        <f>SUM(I748:I757)</f>
        <v>0</v>
      </c>
      <c r="J747" s="78">
        <f>SUM(J748:J757)</f>
        <v>0</v>
      </c>
      <c r="K747" s="78">
        <f>SUM(K748:K757)</f>
        <v>0</v>
      </c>
      <c r="L747" s="79" t="s">
        <v>52</v>
      </c>
      <c r="AI747" s="9" t="s">
        <v>1215</v>
      </c>
      <c r="AS747" s="1">
        <f>SUM(AJ748:AJ757)</f>
        <v>0</v>
      </c>
      <c r="AT747" s="1">
        <f>SUM(AK748:AK757)</f>
        <v>0</v>
      </c>
      <c r="AU747" s="1">
        <f>SUM(AL748:AL757)</f>
        <v>0</v>
      </c>
    </row>
    <row r="748" spans="1:75" ht="13.5" customHeight="1">
      <c r="A748" s="66" t="s">
        <v>1294</v>
      </c>
      <c r="B748" s="67" t="s">
        <v>1215</v>
      </c>
      <c r="C748" s="67" t="s">
        <v>1062</v>
      </c>
      <c r="D748" s="181" t="s">
        <v>1063</v>
      </c>
      <c r="E748" s="182"/>
      <c r="F748" s="67" t="s">
        <v>109</v>
      </c>
      <c r="G748" s="68">
        <v>25</v>
      </c>
      <c r="H748" s="68">
        <v>0</v>
      </c>
      <c r="I748" s="68">
        <f>G748*AO748</f>
        <v>0</v>
      </c>
      <c r="J748" s="68">
        <f>G748*AP748</f>
        <v>0</v>
      </c>
      <c r="K748" s="68">
        <f>G748*H748</f>
        <v>0</v>
      </c>
      <c r="L748" s="69" t="s">
        <v>137</v>
      </c>
      <c r="Z748" s="27">
        <f>IF(AQ748="5",BJ748,0)</f>
        <v>0</v>
      </c>
      <c r="AB748" s="27">
        <f>IF(AQ748="1",BH748,0)</f>
        <v>0</v>
      </c>
      <c r="AC748" s="27">
        <f>IF(AQ748="1",BI748,0)</f>
        <v>0</v>
      </c>
      <c r="AD748" s="27">
        <f>IF(AQ748="7",BH748,0)</f>
        <v>0</v>
      </c>
      <c r="AE748" s="27">
        <f>IF(AQ748="7",BI748,0)</f>
        <v>0</v>
      </c>
      <c r="AF748" s="27">
        <f>IF(AQ748="2",BH748,0)</f>
        <v>0</v>
      </c>
      <c r="AG748" s="27">
        <f>IF(AQ748="2",BI748,0)</f>
        <v>0</v>
      </c>
      <c r="AH748" s="27">
        <f>IF(AQ748="0",BJ748,0)</f>
        <v>0</v>
      </c>
      <c r="AI748" s="9" t="s">
        <v>1215</v>
      </c>
      <c r="AJ748" s="27">
        <f>IF(AN748=0,K748,0)</f>
        <v>0</v>
      </c>
      <c r="AK748" s="27">
        <f>IF(AN748=12,K748,0)</f>
        <v>0</v>
      </c>
      <c r="AL748" s="27">
        <f>IF(AN748=21,K748,0)</f>
        <v>0</v>
      </c>
      <c r="AN748" s="27">
        <v>21</v>
      </c>
      <c r="AO748" s="27">
        <f>H748*0.424730053</f>
        <v>0</v>
      </c>
      <c r="AP748" s="27">
        <f>H748*(1-0.424730053)</f>
        <v>0</v>
      </c>
      <c r="AQ748" s="29" t="s">
        <v>84</v>
      </c>
      <c r="AV748" s="27">
        <f>AW748+AX748</f>
        <v>0</v>
      </c>
      <c r="AW748" s="27">
        <f>G748*AO748</f>
        <v>0</v>
      </c>
      <c r="AX748" s="27">
        <f>G748*AP748</f>
        <v>0</v>
      </c>
      <c r="AY748" s="29" t="s">
        <v>369</v>
      </c>
      <c r="AZ748" s="29" t="s">
        <v>1281</v>
      </c>
      <c r="BA748" s="9" t="s">
        <v>1219</v>
      </c>
      <c r="BC748" s="27">
        <f>AW748+AX748</f>
        <v>0</v>
      </c>
      <c r="BD748" s="27">
        <f>H748/(100-BE748)*100</f>
        <v>0</v>
      </c>
      <c r="BE748" s="27">
        <v>0</v>
      </c>
      <c r="BF748" s="27">
        <f>748</f>
        <v>748</v>
      </c>
      <c r="BH748" s="27">
        <f>G748*AO748</f>
        <v>0</v>
      </c>
      <c r="BI748" s="27">
        <f>G748*AP748</f>
        <v>0</v>
      </c>
      <c r="BJ748" s="27">
        <f>G748*H748</f>
        <v>0</v>
      </c>
      <c r="BK748" s="27"/>
      <c r="BL748" s="27">
        <v>783</v>
      </c>
      <c r="BW748" s="27">
        <v>21</v>
      </c>
    </row>
    <row r="749" spans="1:12" ht="15">
      <c r="A749" s="52"/>
      <c r="B749" s="53"/>
      <c r="C749" s="53"/>
      <c r="D749" s="54" t="s">
        <v>221</v>
      </c>
      <c r="E749" s="55" t="s">
        <v>52</v>
      </c>
      <c r="F749" s="53"/>
      <c r="G749" s="56">
        <v>25</v>
      </c>
      <c r="H749" s="53"/>
      <c r="I749" s="53"/>
      <c r="J749" s="53"/>
      <c r="K749" s="53"/>
      <c r="L749" s="57"/>
    </row>
    <row r="750" spans="1:75" ht="13.5" customHeight="1">
      <c r="A750" s="66" t="s">
        <v>1295</v>
      </c>
      <c r="B750" s="67" t="s">
        <v>1215</v>
      </c>
      <c r="C750" s="67" t="s">
        <v>1065</v>
      </c>
      <c r="D750" s="181" t="s">
        <v>1066</v>
      </c>
      <c r="E750" s="182"/>
      <c r="F750" s="67" t="s">
        <v>126</v>
      </c>
      <c r="G750" s="68">
        <v>31.42</v>
      </c>
      <c r="H750" s="68">
        <v>0</v>
      </c>
      <c r="I750" s="68">
        <f>G750*AO750</f>
        <v>0</v>
      </c>
      <c r="J750" s="68">
        <f>G750*AP750</f>
        <v>0</v>
      </c>
      <c r="K750" s="68">
        <f>G750*H750</f>
        <v>0</v>
      </c>
      <c r="L750" s="69" t="s">
        <v>137</v>
      </c>
      <c r="Z750" s="27">
        <f>IF(AQ750="5",BJ750,0)</f>
        <v>0</v>
      </c>
      <c r="AB750" s="27">
        <f>IF(AQ750="1",BH750,0)</f>
        <v>0</v>
      </c>
      <c r="AC750" s="27">
        <f>IF(AQ750="1",BI750,0)</f>
        <v>0</v>
      </c>
      <c r="AD750" s="27">
        <f>IF(AQ750="7",BH750,0)</f>
        <v>0</v>
      </c>
      <c r="AE750" s="27">
        <f>IF(AQ750="7",BI750,0)</f>
        <v>0</v>
      </c>
      <c r="AF750" s="27">
        <f>IF(AQ750="2",BH750,0)</f>
        <v>0</v>
      </c>
      <c r="AG750" s="27">
        <f>IF(AQ750="2",BI750,0)</f>
        <v>0</v>
      </c>
      <c r="AH750" s="27">
        <f>IF(AQ750="0",BJ750,0)</f>
        <v>0</v>
      </c>
      <c r="AI750" s="9" t="s">
        <v>1215</v>
      </c>
      <c r="AJ750" s="27">
        <f>IF(AN750=0,K750,0)</f>
        <v>0</v>
      </c>
      <c r="AK750" s="27">
        <f>IF(AN750=12,K750,0)</f>
        <v>0</v>
      </c>
      <c r="AL750" s="27">
        <f>IF(AN750=21,K750,0)</f>
        <v>0</v>
      </c>
      <c r="AN750" s="27">
        <v>21</v>
      </c>
      <c r="AO750" s="27">
        <f>H750*0.217722902</f>
        <v>0</v>
      </c>
      <c r="AP750" s="27">
        <f>H750*(1-0.217722902)</f>
        <v>0</v>
      </c>
      <c r="AQ750" s="29" t="s">
        <v>84</v>
      </c>
      <c r="AV750" s="27">
        <f>AW750+AX750</f>
        <v>0</v>
      </c>
      <c r="AW750" s="27">
        <f>G750*AO750</f>
        <v>0</v>
      </c>
      <c r="AX750" s="27">
        <f>G750*AP750</f>
        <v>0</v>
      </c>
      <c r="AY750" s="29" t="s">
        <v>369</v>
      </c>
      <c r="AZ750" s="29" t="s">
        <v>1281</v>
      </c>
      <c r="BA750" s="9" t="s">
        <v>1219</v>
      </c>
      <c r="BC750" s="27">
        <f>AW750+AX750</f>
        <v>0</v>
      </c>
      <c r="BD750" s="27">
        <f>H750/(100-BE750)*100</f>
        <v>0</v>
      </c>
      <c r="BE750" s="27">
        <v>0</v>
      </c>
      <c r="BF750" s="27">
        <f>750</f>
        <v>750</v>
      </c>
      <c r="BH750" s="27">
        <f>G750*AO750</f>
        <v>0</v>
      </c>
      <c r="BI750" s="27">
        <f>G750*AP750</f>
        <v>0</v>
      </c>
      <c r="BJ750" s="27">
        <f>G750*H750</f>
        <v>0</v>
      </c>
      <c r="BK750" s="27"/>
      <c r="BL750" s="27">
        <v>783</v>
      </c>
      <c r="BW750" s="27">
        <v>21</v>
      </c>
    </row>
    <row r="751" spans="1:12" ht="15">
      <c r="A751" s="52"/>
      <c r="B751" s="53"/>
      <c r="C751" s="53"/>
      <c r="D751" s="54" t="s">
        <v>1296</v>
      </c>
      <c r="E751" s="55" t="s">
        <v>52</v>
      </c>
      <c r="F751" s="53"/>
      <c r="G751" s="56">
        <v>31.42</v>
      </c>
      <c r="H751" s="53"/>
      <c r="I751" s="53"/>
      <c r="J751" s="53"/>
      <c r="K751" s="53"/>
      <c r="L751" s="57"/>
    </row>
    <row r="752" spans="1:75" ht="13.5" customHeight="1">
      <c r="A752" s="66" t="s">
        <v>1297</v>
      </c>
      <c r="B752" s="67" t="s">
        <v>1215</v>
      </c>
      <c r="C752" s="67" t="s">
        <v>1069</v>
      </c>
      <c r="D752" s="181" t="s">
        <v>1070</v>
      </c>
      <c r="E752" s="182"/>
      <c r="F752" s="67" t="s">
        <v>109</v>
      </c>
      <c r="G752" s="68">
        <v>25</v>
      </c>
      <c r="H752" s="68">
        <v>0</v>
      </c>
      <c r="I752" s="68">
        <f>G752*AO752</f>
        <v>0</v>
      </c>
      <c r="J752" s="68">
        <f>G752*AP752</f>
        <v>0</v>
      </c>
      <c r="K752" s="68">
        <f>G752*H752</f>
        <v>0</v>
      </c>
      <c r="L752" s="69" t="s">
        <v>137</v>
      </c>
      <c r="Z752" s="27">
        <f>IF(AQ752="5",BJ752,0)</f>
        <v>0</v>
      </c>
      <c r="AB752" s="27">
        <f>IF(AQ752="1",BH752,0)</f>
        <v>0</v>
      </c>
      <c r="AC752" s="27">
        <f>IF(AQ752="1",BI752,0)</f>
        <v>0</v>
      </c>
      <c r="AD752" s="27">
        <f>IF(AQ752="7",BH752,0)</f>
        <v>0</v>
      </c>
      <c r="AE752" s="27">
        <f>IF(AQ752="7",BI752,0)</f>
        <v>0</v>
      </c>
      <c r="AF752" s="27">
        <f>IF(AQ752="2",BH752,0)</f>
        <v>0</v>
      </c>
      <c r="AG752" s="27">
        <f>IF(AQ752="2",BI752,0)</f>
        <v>0</v>
      </c>
      <c r="AH752" s="27">
        <f>IF(AQ752="0",BJ752,0)</f>
        <v>0</v>
      </c>
      <c r="AI752" s="9" t="s">
        <v>1215</v>
      </c>
      <c r="AJ752" s="27">
        <f>IF(AN752=0,K752,0)</f>
        <v>0</v>
      </c>
      <c r="AK752" s="27">
        <f>IF(AN752=12,K752,0)</f>
        <v>0</v>
      </c>
      <c r="AL752" s="27">
        <f>IF(AN752=21,K752,0)</f>
        <v>0</v>
      </c>
      <c r="AN752" s="27">
        <v>21</v>
      </c>
      <c r="AO752" s="27">
        <f>H752*0.103076923</f>
        <v>0</v>
      </c>
      <c r="AP752" s="27">
        <f>H752*(1-0.103076923)</f>
        <v>0</v>
      </c>
      <c r="AQ752" s="29" t="s">
        <v>84</v>
      </c>
      <c r="AV752" s="27">
        <f>AW752+AX752</f>
        <v>0</v>
      </c>
      <c r="AW752" s="27">
        <f>G752*AO752</f>
        <v>0</v>
      </c>
      <c r="AX752" s="27">
        <f>G752*AP752</f>
        <v>0</v>
      </c>
      <c r="AY752" s="29" t="s">
        <v>369</v>
      </c>
      <c r="AZ752" s="29" t="s">
        <v>1281</v>
      </c>
      <c r="BA752" s="9" t="s">
        <v>1219</v>
      </c>
      <c r="BC752" s="27">
        <f>AW752+AX752</f>
        <v>0</v>
      </c>
      <c r="BD752" s="27">
        <f>H752/(100-BE752)*100</f>
        <v>0</v>
      </c>
      <c r="BE752" s="27">
        <v>0</v>
      </c>
      <c r="BF752" s="27">
        <f>752</f>
        <v>752</v>
      </c>
      <c r="BH752" s="27">
        <f>G752*AO752</f>
        <v>0</v>
      </c>
      <c r="BI752" s="27">
        <f>G752*AP752</f>
        <v>0</v>
      </c>
      <c r="BJ752" s="27">
        <f>G752*H752</f>
        <v>0</v>
      </c>
      <c r="BK752" s="27"/>
      <c r="BL752" s="27">
        <v>783</v>
      </c>
      <c r="BW752" s="27">
        <v>21</v>
      </c>
    </row>
    <row r="753" spans="1:12" ht="13.5" customHeight="1">
      <c r="A753" s="45"/>
      <c r="D753" s="173" t="s">
        <v>1298</v>
      </c>
      <c r="E753" s="174"/>
      <c r="F753" s="174"/>
      <c r="G753" s="174"/>
      <c r="H753" s="174"/>
      <c r="I753" s="174"/>
      <c r="J753" s="174"/>
      <c r="K753" s="174"/>
      <c r="L753" s="175"/>
    </row>
    <row r="754" spans="1:12" ht="15">
      <c r="A754" s="46"/>
      <c r="B754" s="47"/>
      <c r="C754" s="47"/>
      <c r="D754" s="48" t="s">
        <v>221</v>
      </c>
      <c r="E754" s="49" t="s">
        <v>52</v>
      </c>
      <c r="F754" s="47"/>
      <c r="G754" s="50">
        <v>25</v>
      </c>
      <c r="H754" s="47"/>
      <c r="I754" s="47"/>
      <c r="J754" s="47"/>
      <c r="K754" s="47"/>
      <c r="L754" s="51"/>
    </row>
    <row r="755" spans="1:75" ht="13.5" customHeight="1">
      <c r="A755" s="66" t="s">
        <v>1299</v>
      </c>
      <c r="B755" s="67" t="s">
        <v>1215</v>
      </c>
      <c r="C755" s="67" t="s">
        <v>1134</v>
      </c>
      <c r="D755" s="181" t="s">
        <v>1135</v>
      </c>
      <c r="E755" s="182"/>
      <c r="F755" s="67" t="s">
        <v>126</v>
      </c>
      <c r="G755" s="68">
        <v>31.42</v>
      </c>
      <c r="H755" s="68">
        <v>0</v>
      </c>
      <c r="I755" s="68">
        <f>G755*AO755</f>
        <v>0</v>
      </c>
      <c r="J755" s="68">
        <f>G755*AP755</f>
        <v>0</v>
      </c>
      <c r="K755" s="68">
        <f>G755*H755</f>
        <v>0</v>
      </c>
      <c r="L755" s="69" t="s">
        <v>137</v>
      </c>
      <c r="Z755" s="27">
        <f>IF(AQ755="5",BJ755,0)</f>
        <v>0</v>
      </c>
      <c r="AB755" s="27">
        <f>IF(AQ755="1",BH755,0)</f>
        <v>0</v>
      </c>
      <c r="AC755" s="27">
        <f>IF(AQ755="1",BI755,0)</f>
        <v>0</v>
      </c>
      <c r="AD755" s="27">
        <f>IF(AQ755="7",BH755,0)</f>
        <v>0</v>
      </c>
      <c r="AE755" s="27">
        <f>IF(AQ755="7",BI755,0)</f>
        <v>0</v>
      </c>
      <c r="AF755" s="27">
        <f>IF(AQ755="2",BH755,0)</f>
        <v>0</v>
      </c>
      <c r="AG755" s="27">
        <f>IF(AQ755="2",BI755,0)</f>
        <v>0</v>
      </c>
      <c r="AH755" s="27">
        <f>IF(AQ755="0",BJ755,0)</f>
        <v>0</v>
      </c>
      <c r="AI755" s="9" t="s">
        <v>1215</v>
      </c>
      <c r="AJ755" s="27">
        <f>IF(AN755=0,K755,0)</f>
        <v>0</v>
      </c>
      <c r="AK755" s="27">
        <f>IF(AN755=12,K755,0)</f>
        <v>0</v>
      </c>
      <c r="AL755" s="27">
        <f>IF(AN755=21,K755,0)</f>
        <v>0</v>
      </c>
      <c r="AN755" s="27">
        <v>21</v>
      </c>
      <c r="AO755" s="27">
        <f>H755*0</f>
        <v>0</v>
      </c>
      <c r="AP755" s="27">
        <f>H755*(1-0)</f>
        <v>0</v>
      </c>
      <c r="AQ755" s="29" t="s">
        <v>60</v>
      </c>
      <c r="AV755" s="27">
        <f>AW755+AX755</f>
        <v>0</v>
      </c>
      <c r="AW755" s="27">
        <f>G755*AO755</f>
        <v>0</v>
      </c>
      <c r="AX755" s="27">
        <f>G755*AP755</f>
        <v>0</v>
      </c>
      <c r="AY755" s="29" t="s">
        <v>369</v>
      </c>
      <c r="AZ755" s="29" t="s">
        <v>1281</v>
      </c>
      <c r="BA755" s="9" t="s">
        <v>1219</v>
      </c>
      <c r="BC755" s="27">
        <f>AW755+AX755</f>
        <v>0</v>
      </c>
      <c r="BD755" s="27">
        <f>H755/(100-BE755)*100</f>
        <v>0</v>
      </c>
      <c r="BE755" s="27">
        <v>0</v>
      </c>
      <c r="BF755" s="27">
        <f>755</f>
        <v>755</v>
      </c>
      <c r="BH755" s="27">
        <f>G755*AO755</f>
        <v>0</v>
      </c>
      <c r="BI755" s="27">
        <f>G755*AP755</f>
        <v>0</v>
      </c>
      <c r="BJ755" s="27">
        <f>G755*H755</f>
        <v>0</v>
      </c>
      <c r="BK755" s="27"/>
      <c r="BL755" s="27">
        <v>783</v>
      </c>
      <c r="BW755" s="27">
        <v>21</v>
      </c>
    </row>
    <row r="756" spans="1:12" ht="15">
      <c r="A756" s="52"/>
      <c r="B756" s="53"/>
      <c r="C756" s="53"/>
      <c r="D756" s="54" t="s">
        <v>1296</v>
      </c>
      <c r="E756" s="55" t="s">
        <v>52</v>
      </c>
      <c r="F756" s="53"/>
      <c r="G756" s="56">
        <v>31.42</v>
      </c>
      <c r="H756" s="53"/>
      <c r="I756" s="53"/>
      <c r="J756" s="53"/>
      <c r="K756" s="53"/>
      <c r="L756" s="57"/>
    </row>
    <row r="757" spans="1:75" ht="13.5" customHeight="1">
      <c r="A757" s="101" t="s">
        <v>1300</v>
      </c>
      <c r="B757" s="102" t="s">
        <v>1215</v>
      </c>
      <c r="C757" s="102" t="s">
        <v>367</v>
      </c>
      <c r="D757" s="198" t="s">
        <v>1073</v>
      </c>
      <c r="E757" s="199"/>
      <c r="F757" s="102" t="s">
        <v>109</v>
      </c>
      <c r="G757" s="103">
        <v>3.7125</v>
      </c>
      <c r="H757" s="103">
        <v>0</v>
      </c>
      <c r="I757" s="103">
        <f>G757*AO757</f>
        <v>0</v>
      </c>
      <c r="J757" s="103">
        <f>G757*AP757</f>
        <v>0</v>
      </c>
      <c r="K757" s="103">
        <f>G757*H757</f>
        <v>0</v>
      </c>
      <c r="L757" s="104" t="s">
        <v>137</v>
      </c>
      <c r="Z757" s="27">
        <f>IF(AQ757="5",BJ757,0)</f>
        <v>0</v>
      </c>
      <c r="AB757" s="27">
        <f>IF(AQ757="1",BH757,0)</f>
        <v>0</v>
      </c>
      <c r="AC757" s="27">
        <f>IF(AQ757="1",BI757,0)</f>
        <v>0</v>
      </c>
      <c r="AD757" s="27">
        <f>IF(AQ757="7",BH757,0)</f>
        <v>0</v>
      </c>
      <c r="AE757" s="27">
        <f>IF(AQ757="7",BI757,0)</f>
        <v>0</v>
      </c>
      <c r="AF757" s="27">
        <f>IF(AQ757="2",BH757,0)</f>
        <v>0</v>
      </c>
      <c r="AG757" s="27">
        <f>IF(AQ757="2",BI757,0)</f>
        <v>0</v>
      </c>
      <c r="AH757" s="27">
        <f>IF(AQ757="0",BJ757,0)</f>
        <v>0</v>
      </c>
      <c r="AI757" s="9" t="s">
        <v>1215</v>
      </c>
      <c r="AJ757" s="27">
        <f>IF(AN757=0,K757,0)</f>
        <v>0</v>
      </c>
      <c r="AK757" s="27">
        <f>IF(AN757=12,K757,0)</f>
        <v>0</v>
      </c>
      <c r="AL757" s="27">
        <f>IF(AN757=21,K757,0)</f>
        <v>0</v>
      </c>
      <c r="AN757" s="27">
        <v>21</v>
      </c>
      <c r="AO757" s="27">
        <f>H757*0.196675112</f>
        <v>0</v>
      </c>
      <c r="AP757" s="27">
        <f>H757*(1-0.196675112)</f>
        <v>0</v>
      </c>
      <c r="AQ757" s="29" t="s">
        <v>84</v>
      </c>
      <c r="AV757" s="27">
        <f>AW757+AX757</f>
        <v>0</v>
      </c>
      <c r="AW757" s="27">
        <f>G757*AO757</f>
        <v>0</v>
      </c>
      <c r="AX757" s="27">
        <f>G757*AP757</f>
        <v>0</v>
      </c>
      <c r="AY757" s="29" t="s">
        <v>369</v>
      </c>
      <c r="AZ757" s="29" t="s">
        <v>1281</v>
      </c>
      <c r="BA757" s="9" t="s">
        <v>1219</v>
      </c>
      <c r="BC757" s="27">
        <f>AW757+AX757</f>
        <v>0</v>
      </c>
      <c r="BD757" s="27">
        <f>H757/(100-BE757)*100</f>
        <v>0</v>
      </c>
      <c r="BE757" s="27">
        <v>0</v>
      </c>
      <c r="BF757" s="27">
        <f>757</f>
        <v>757</v>
      </c>
      <c r="BH757" s="27">
        <f>G757*AO757</f>
        <v>0</v>
      </c>
      <c r="BI757" s="27">
        <f>G757*AP757</f>
        <v>0</v>
      </c>
      <c r="BJ757" s="27">
        <f>G757*H757</f>
        <v>0</v>
      </c>
      <c r="BK757" s="27"/>
      <c r="BL757" s="27">
        <v>783</v>
      </c>
      <c r="BW757" s="27">
        <v>21</v>
      </c>
    </row>
    <row r="758" spans="1:12" ht="13.5" customHeight="1">
      <c r="A758" s="30"/>
      <c r="D758" s="166" t="s">
        <v>1074</v>
      </c>
      <c r="E758" s="167"/>
      <c r="F758" s="167"/>
      <c r="G758" s="167"/>
      <c r="H758" s="167"/>
      <c r="I758" s="167"/>
      <c r="J758" s="167"/>
      <c r="K758" s="167"/>
      <c r="L758" s="168"/>
    </row>
    <row r="759" spans="1:12" ht="15">
      <c r="A759" s="98"/>
      <c r="D759" s="105" t="s">
        <v>1301</v>
      </c>
      <c r="E759" s="100" t="s">
        <v>52</v>
      </c>
      <c r="G759" s="106">
        <v>3.7125</v>
      </c>
      <c r="L759" s="107"/>
    </row>
    <row r="760" spans="1:47" ht="15">
      <c r="A760" s="70" t="s">
        <v>52</v>
      </c>
      <c r="B760" s="71" t="s">
        <v>1215</v>
      </c>
      <c r="C760" s="71" t="s">
        <v>374</v>
      </c>
      <c r="D760" s="183" t="s">
        <v>375</v>
      </c>
      <c r="E760" s="184"/>
      <c r="F760" s="72" t="s">
        <v>4</v>
      </c>
      <c r="G760" s="72" t="s">
        <v>4</v>
      </c>
      <c r="H760" s="72" t="s">
        <v>4</v>
      </c>
      <c r="I760" s="73">
        <f>SUM(I761:I780)</f>
        <v>0</v>
      </c>
      <c r="J760" s="73">
        <f>SUM(J761:J780)</f>
        <v>0</v>
      </c>
      <c r="K760" s="73">
        <f>SUM(K761:K780)</f>
        <v>0</v>
      </c>
      <c r="L760" s="74" t="s">
        <v>52</v>
      </c>
      <c r="AI760" s="9" t="s">
        <v>1215</v>
      </c>
      <c r="AS760" s="1">
        <f>SUM(AJ761:AJ780)</f>
        <v>0</v>
      </c>
      <c r="AT760" s="1">
        <f>SUM(AK761:AK780)</f>
        <v>0</v>
      </c>
      <c r="AU760" s="1">
        <f>SUM(AL761:AL780)</f>
        <v>0</v>
      </c>
    </row>
    <row r="761" spans="1:75" ht="13.5" customHeight="1">
      <c r="A761" s="66" t="s">
        <v>1302</v>
      </c>
      <c r="B761" s="67" t="s">
        <v>1215</v>
      </c>
      <c r="C761" s="67" t="s">
        <v>1077</v>
      </c>
      <c r="D761" s="181" t="s">
        <v>1078</v>
      </c>
      <c r="E761" s="182"/>
      <c r="F761" s="67" t="s">
        <v>154</v>
      </c>
      <c r="G761" s="68">
        <v>100</v>
      </c>
      <c r="H761" s="68">
        <v>0</v>
      </c>
      <c r="I761" s="68">
        <f>G761*AO761</f>
        <v>0</v>
      </c>
      <c r="J761" s="68">
        <f>G761*AP761</f>
        <v>0</v>
      </c>
      <c r="K761" s="68">
        <f>G761*H761</f>
        <v>0</v>
      </c>
      <c r="L761" s="69" t="s">
        <v>137</v>
      </c>
      <c r="Z761" s="27">
        <f>IF(AQ761="5",BJ761,0)</f>
        <v>0</v>
      </c>
      <c r="AB761" s="27">
        <f>IF(AQ761="1",BH761,0)</f>
        <v>0</v>
      </c>
      <c r="AC761" s="27">
        <f>IF(AQ761="1",BI761,0)</f>
        <v>0</v>
      </c>
      <c r="AD761" s="27">
        <f>IF(AQ761="7",BH761,0)</f>
        <v>0</v>
      </c>
      <c r="AE761" s="27">
        <f>IF(AQ761="7",BI761,0)</f>
        <v>0</v>
      </c>
      <c r="AF761" s="27">
        <f>IF(AQ761="2",BH761,0)</f>
        <v>0</v>
      </c>
      <c r="AG761" s="27">
        <f>IF(AQ761="2",BI761,0)</f>
        <v>0</v>
      </c>
      <c r="AH761" s="27">
        <f>IF(AQ761="0",BJ761,0)</f>
        <v>0</v>
      </c>
      <c r="AI761" s="9" t="s">
        <v>1215</v>
      </c>
      <c r="AJ761" s="27">
        <f>IF(AN761=0,K761,0)</f>
        <v>0</v>
      </c>
      <c r="AK761" s="27">
        <f>IF(AN761=12,K761,0)</f>
        <v>0</v>
      </c>
      <c r="AL761" s="27">
        <f>IF(AN761=21,K761,0)</f>
        <v>0</v>
      </c>
      <c r="AN761" s="27">
        <v>21</v>
      </c>
      <c r="AO761" s="27">
        <f>H761*0.137539432</f>
        <v>0</v>
      </c>
      <c r="AP761" s="27">
        <f>H761*(1-0.137539432)</f>
        <v>0</v>
      </c>
      <c r="AQ761" s="29" t="s">
        <v>84</v>
      </c>
      <c r="AV761" s="27">
        <f>AW761+AX761</f>
        <v>0</v>
      </c>
      <c r="AW761" s="27">
        <f>G761*AO761</f>
        <v>0</v>
      </c>
      <c r="AX761" s="27">
        <f>G761*AP761</f>
        <v>0</v>
      </c>
      <c r="AY761" s="29" t="s">
        <v>379</v>
      </c>
      <c r="AZ761" s="29" t="s">
        <v>1281</v>
      </c>
      <c r="BA761" s="9" t="s">
        <v>1219</v>
      </c>
      <c r="BC761" s="27">
        <f>AW761+AX761</f>
        <v>0</v>
      </c>
      <c r="BD761" s="27">
        <f>H761/(100-BE761)*100</f>
        <v>0</v>
      </c>
      <c r="BE761" s="27">
        <v>0</v>
      </c>
      <c r="BF761" s="27">
        <f>761</f>
        <v>761</v>
      </c>
      <c r="BH761" s="27">
        <f>G761*AO761</f>
        <v>0</v>
      </c>
      <c r="BI761" s="27">
        <f>G761*AP761</f>
        <v>0</v>
      </c>
      <c r="BJ761" s="27">
        <f>G761*H761</f>
        <v>0</v>
      </c>
      <c r="BK761" s="27"/>
      <c r="BL761" s="27">
        <v>784</v>
      </c>
      <c r="BW761" s="27">
        <v>21</v>
      </c>
    </row>
    <row r="762" spans="1:12" ht="27" customHeight="1">
      <c r="A762" s="45"/>
      <c r="D762" s="173" t="s">
        <v>1079</v>
      </c>
      <c r="E762" s="174"/>
      <c r="F762" s="174"/>
      <c r="G762" s="174"/>
      <c r="H762" s="174"/>
      <c r="I762" s="174"/>
      <c r="J762" s="174"/>
      <c r="K762" s="174"/>
      <c r="L762" s="175"/>
    </row>
    <row r="763" spans="1:12" ht="15">
      <c r="A763" s="46"/>
      <c r="B763" s="47"/>
      <c r="C763" s="47"/>
      <c r="D763" s="48" t="s">
        <v>612</v>
      </c>
      <c r="E763" s="49" t="s">
        <v>52</v>
      </c>
      <c r="F763" s="47"/>
      <c r="G763" s="50">
        <v>100</v>
      </c>
      <c r="H763" s="47"/>
      <c r="I763" s="47"/>
      <c r="J763" s="47"/>
      <c r="K763" s="47"/>
      <c r="L763" s="51"/>
    </row>
    <row r="764" spans="1:75" ht="13.5" customHeight="1">
      <c r="A764" s="66" t="s">
        <v>1303</v>
      </c>
      <c r="B764" s="67" t="s">
        <v>1215</v>
      </c>
      <c r="C764" s="67" t="s">
        <v>1081</v>
      </c>
      <c r="D764" s="181" t="s">
        <v>1082</v>
      </c>
      <c r="E764" s="182"/>
      <c r="F764" s="67" t="s">
        <v>109</v>
      </c>
      <c r="G764" s="68">
        <v>233.7524</v>
      </c>
      <c r="H764" s="68">
        <v>0</v>
      </c>
      <c r="I764" s="68">
        <f>G764*AO764</f>
        <v>0</v>
      </c>
      <c r="J764" s="68">
        <f>G764*AP764</f>
        <v>0</v>
      </c>
      <c r="K764" s="68">
        <f>G764*H764</f>
        <v>0</v>
      </c>
      <c r="L764" s="69" t="s">
        <v>137</v>
      </c>
      <c r="Z764" s="27">
        <f>IF(AQ764="5",BJ764,0)</f>
        <v>0</v>
      </c>
      <c r="AB764" s="27">
        <f>IF(AQ764="1",BH764,0)</f>
        <v>0</v>
      </c>
      <c r="AC764" s="27">
        <f>IF(AQ764="1",BI764,0)</f>
        <v>0</v>
      </c>
      <c r="AD764" s="27">
        <f>IF(AQ764="7",BH764,0)</f>
        <v>0</v>
      </c>
      <c r="AE764" s="27">
        <f>IF(AQ764="7",BI764,0)</f>
        <v>0</v>
      </c>
      <c r="AF764" s="27">
        <f>IF(AQ764="2",BH764,0)</f>
        <v>0</v>
      </c>
      <c r="AG764" s="27">
        <f>IF(AQ764="2",BI764,0)</f>
        <v>0</v>
      </c>
      <c r="AH764" s="27">
        <f>IF(AQ764="0",BJ764,0)</f>
        <v>0</v>
      </c>
      <c r="AI764" s="9" t="s">
        <v>1215</v>
      </c>
      <c r="AJ764" s="27">
        <f>IF(AN764=0,K764,0)</f>
        <v>0</v>
      </c>
      <c r="AK764" s="27">
        <f>IF(AN764=12,K764,0)</f>
        <v>0</v>
      </c>
      <c r="AL764" s="27">
        <f>IF(AN764=21,K764,0)</f>
        <v>0</v>
      </c>
      <c r="AN764" s="27">
        <v>21</v>
      </c>
      <c r="AO764" s="27">
        <f>H764*0</f>
        <v>0</v>
      </c>
      <c r="AP764" s="27">
        <f>H764*(1-0)</f>
        <v>0</v>
      </c>
      <c r="AQ764" s="29" t="s">
        <v>84</v>
      </c>
      <c r="AV764" s="27">
        <f>AW764+AX764</f>
        <v>0</v>
      </c>
      <c r="AW764" s="27">
        <f>G764*AO764</f>
        <v>0</v>
      </c>
      <c r="AX764" s="27">
        <f>G764*AP764</f>
        <v>0</v>
      </c>
      <c r="AY764" s="29" t="s">
        <v>379</v>
      </c>
      <c r="AZ764" s="29" t="s">
        <v>1281</v>
      </c>
      <c r="BA764" s="9" t="s">
        <v>1219</v>
      </c>
      <c r="BC764" s="27">
        <f>AW764+AX764</f>
        <v>0</v>
      </c>
      <c r="BD764" s="27">
        <f>H764/(100-BE764)*100</f>
        <v>0</v>
      </c>
      <c r="BE764" s="27">
        <v>0</v>
      </c>
      <c r="BF764" s="27">
        <f>764</f>
        <v>764</v>
      </c>
      <c r="BH764" s="27">
        <f>G764*AO764</f>
        <v>0</v>
      </c>
      <c r="BI764" s="27">
        <f>G764*AP764</f>
        <v>0</v>
      </c>
      <c r="BJ764" s="27">
        <f>G764*H764</f>
        <v>0</v>
      </c>
      <c r="BK764" s="27"/>
      <c r="BL764" s="27">
        <v>784</v>
      </c>
      <c r="BW764" s="27">
        <v>21</v>
      </c>
    </row>
    <row r="765" spans="1:12" ht="15">
      <c r="A765" s="52"/>
      <c r="B765" s="53"/>
      <c r="C765" s="53"/>
      <c r="D765" s="54" t="s">
        <v>1304</v>
      </c>
      <c r="E765" s="55" t="s">
        <v>1084</v>
      </c>
      <c r="F765" s="53"/>
      <c r="G765" s="56">
        <v>108.6696</v>
      </c>
      <c r="H765" s="53"/>
      <c r="I765" s="53"/>
      <c r="J765" s="53"/>
      <c r="K765" s="53"/>
      <c r="L765" s="57"/>
    </row>
    <row r="766" spans="1:12" ht="15">
      <c r="A766" s="52"/>
      <c r="B766" s="53"/>
      <c r="C766" s="53"/>
      <c r="D766" s="54" t="s">
        <v>1305</v>
      </c>
      <c r="E766" s="55" t="s">
        <v>1306</v>
      </c>
      <c r="F766" s="53"/>
      <c r="G766" s="56">
        <v>19.1025</v>
      </c>
      <c r="H766" s="53"/>
      <c r="I766" s="53"/>
      <c r="J766" s="53"/>
      <c r="K766" s="53"/>
      <c r="L766" s="57"/>
    </row>
    <row r="767" spans="1:12" ht="15">
      <c r="A767" s="52"/>
      <c r="B767" s="53"/>
      <c r="C767" s="53"/>
      <c r="D767" s="54" t="s">
        <v>1307</v>
      </c>
      <c r="E767" s="55" t="s">
        <v>1086</v>
      </c>
      <c r="F767" s="53"/>
      <c r="G767" s="56">
        <v>102.5863</v>
      </c>
      <c r="H767" s="53"/>
      <c r="I767" s="53"/>
      <c r="J767" s="53"/>
      <c r="K767" s="53"/>
      <c r="L767" s="57"/>
    </row>
    <row r="768" spans="1:12" ht="15">
      <c r="A768" s="52"/>
      <c r="B768" s="53"/>
      <c r="C768" s="53"/>
      <c r="D768" s="54" t="s">
        <v>1308</v>
      </c>
      <c r="E768" s="55" t="s">
        <v>1088</v>
      </c>
      <c r="F768" s="53"/>
      <c r="G768" s="56">
        <v>46.624</v>
      </c>
      <c r="H768" s="53"/>
      <c r="I768" s="53"/>
      <c r="J768" s="53"/>
      <c r="K768" s="53"/>
      <c r="L768" s="57"/>
    </row>
    <row r="769" spans="1:12" ht="15">
      <c r="A769" s="52"/>
      <c r="B769" s="53"/>
      <c r="C769" s="53"/>
      <c r="D769" s="54" t="s">
        <v>1309</v>
      </c>
      <c r="E769" s="55" t="s">
        <v>1090</v>
      </c>
      <c r="F769" s="53"/>
      <c r="G769" s="56">
        <v>-43.23</v>
      </c>
      <c r="H769" s="53"/>
      <c r="I769" s="53"/>
      <c r="J769" s="53"/>
      <c r="K769" s="53"/>
      <c r="L769" s="57"/>
    </row>
    <row r="770" spans="1:75" ht="13.5" customHeight="1">
      <c r="A770" s="66" t="s">
        <v>1310</v>
      </c>
      <c r="B770" s="67" t="s">
        <v>1215</v>
      </c>
      <c r="C770" s="67" t="s">
        <v>1093</v>
      </c>
      <c r="D770" s="181" t="s">
        <v>1311</v>
      </c>
      <c r="E770" s="182"/>
      <c r="F770" s="67" t="s">
        <v>109</v>
      </c>
      <c r="G770" s="68">
        <v>233.7524</v>
      </c>
      <c r="H770" s="68">
        <v>0</v>
      </c>
      <c r="I770" s="68">
        <f>G770*AO770</f>
        <v>0</v>
      </c>
      <c r="J770" s="68">
        <f>G770*AP770</f>
        <v>0</v>
      </c>
      <c r="K770" s="68">
        <f>G770*H770</f>
        <v>0</v>
      </c>
      <c r="L770" s="69" t="s">
        <v>137</v>
      </c>
      <c r="Z770" s="27">
        <f>IF(AQ770="5",BJ770,0)</f>
        <v>0</v>
      </c>
      <c r="AB770" s="27">
        <f>IF(AQ770="1",BH770,0)</f>
        <v>0</v>
      </c>
      <c r="AC770" s="27">
        <f>IF(AQ770="1",BI770,0)</f>
        <v>0</v>
      </c>
      <c r="AD770" s="27">
        <f>IF(AQ770="7",BH770,0)</f>
        <v>0</v>
      </c>
      <c r="AE770" s="27">
        <f>IF(AQ770="7",BI770,0)</f>
        <v>0</v>
      </c>
      <c r="AF770" s="27">
        <f>IF(AQ770="2",BH770,0)</f>
        <v>0</v>
      </c>
      <c r="AG770" s="27">
        <f>IF(AQ770="2",BI770,0)</f>
        <v>0</v>
      </c>
      <c r="AH770" s="27">
        <f>IF(AQ770="0",BJ770,0)</f>
        <v>0</v>
      </c>
      <c r="AI770" s="9" t="s">
        <v>1215</v>
      </c>
      <c r="AJ770" s="27">
        <f>IF(AN770=0,K770,0)</f>
        <v>0</v>
      </c>
      <c r="AK770" s="27">
        <f>IF(AN770=12,K770,0)</f>
        <v>0</v>
      </c>
      <c r="AL770" s="27">
        <f>IF(AN770=21,K770,0)</f>
        <v>0</v>
      </c>
      <c r="AN770" s="27">
        <v>21</v>
      </c>
      <c r="AO770" s="27">
        <f>H770*0.289961254</f>
        <v>0</v>
      </c>
      <c r="AP770" s="27">
        <f>H770*(1-0.289961254)</f>
        <v>0</v>
      </c>
      <c r="AQ770" s="29" t="s">
        <v>84</v>
      </c>
      <c r="AV770" s="27">
        <f>AW770+AX770</f>
        <v>0</v>
      </c>
      <c r="AW770" s="27">
        <f>G770*AO770</f>
        <v>0</v>
      </c>
      <c r="AX770" s="27">
        <f>G770*AP770</f>
        <v>0</v>
      </c>
      <c r="AY770" s="29" t="s">
        <v>379</v>
      </c>
      <c r="AZ770" s="29" t="s">
        <v>1281</v>
      </c>
      <c r="BA770" s="9" t="s">
        <v>1219</v>
      </c>
      <c r="BC770" s="27">
        <f>AW770+AX770</f>
        <v>0</v>
      </c>
      <c r="BD770" s="27">
        <f>H770/(100-BE770)*100</f>
        <v>0</v>
      </c>
      <c r="BE770" s="27">
        <v>0</v>
      </c>
      <c r="BF770" s="27">
        <f>770</f>
        <v>770</v>
      </c>
      <c r="BH770" s="27">
        <f>G770*AO770</f>
        <v>0</v>
      </c>
      <c r="BI770" s="27">
        <f>G770*AP770</f>
        <v>0</v>
      </c>
      <c r="BJ770" s="27">
        <f>G770*H770</f>
        <v>0</v>
      </c>
      <c r="BK770" s="27"/>
      <c r="BL770" s="27">
        <v>784</v>
      </c>
      <c r="BW770" s="27">
        <v>21</v>
      </c>
    </row>
    <row r="771" spans="1:12" ht="15">
      <c r="A771" s="52"/>
      <c r="B771" s="53"/>
      <c r="C771" s="53"/>
      <c r="D771" s="54" t="s">
        <v>1312</v>
      </c>
      <c r="E771" s="55" t="s">
        <v>1096</v>
      </c>
      <c r="F771" s="53"/>
      <c r="G771" s="56">
        <v>233.7524</v>
      </c>
      <c r="H771" s="53"/>
      <c r="I771" s="53"/>
      <c r="J771" s="53"/>
      <c r="K771" s="53"/>
      <c r="L771" s="57"/>
    </row>
    <row r="772" spans="1:75" ht="13.5" customHeight="1">
      <c r="A772" s="66" t="s">
        <v>1313</v>
      </c>
      <c r="B772" s="67" t="s">
        <v>1215</v>
      </c>
      <c r="C772" s="67" t="s">
        <v>388</v>
      </c>
      <c r="D772" s="181" t="s">
        <v>389</v>
      </c>
      <c r="E772" s="182"/>
      <c r="F772" s="67" t="s">
        <v>109</v>
      </c>
      <c r="G772" s="68">
        <v>233.7524</v>
      </c>
      <c r="H772" s="68">
        <v>0</v>
      </c>
      <c r="I772" s="68">
        <f>G772*AO772</f>
        <v>0</v>
      </c>
      <c r="J772" s="68">
        <f>G772*AP772</f>
        <v>0</v>
      </c>
      <c r="K772" s="68">
        <f>G772*H772</f>
        <v>0</v>
      </c>
      <c r="L772" s="69" t="s">
        <v>137</v>
      </c>
      <c r="Z772" s="27">
        <f>IF(AQ772="5",BJ772,0)</f>
        <v>0</v>
      </c>
      <c r="AB772" s="27">
        <f>IF(AQ772="1",BH772,0)</f>
        <v>0</v>
      </c>
      <c r="AC772" s="27">
        <f>IF(AQ772="1",BI772,0)</f>
        <v>0</v>
      </c>
      <c r="AD772" s="27">
        <f>IF(AQ772="7",BH772,0)</f>
        <v>0</v>
      </c>
      <c r="AE772" s="27">
        <f>IF(AQ772="7",BI772,0)</f>
        <v>0</v>
      </c>
      <c r="AF772" s="27">
        <f>IF(AQ772="2",BH772,0)</f>
        <v>0</v>
      </c>
      <c r="AG772" s="27">
        <f>IF(AQ772="2",BI772,0)</f>
        <v>0</v>
      </c>
      <c r="AH772" s="27">
        <f>IF(AQ772="0",BJ772,0)</f>
        <v>0</v>
      </c>
      <c r="AI772" s="9" t="s">
        <v>1215</v>
      </c>
      <c r="AJ772" s="27">
        <f>IF(AN772=0,K772,0)</f>
        <v>0</v>
      </c>
      <c r="AK772" s="27">
        <f>IF(AN772=12,K772,0)</f>
        <v>0</v>
      </c>
      <c r="AL772" s="27">
        <f>IF(AN772=21,K772,0)</f>
        <v>0</v>
      </c>
      <c r="AN772" s="27">
        <v>21</v>
      </c>
      <c r="AO772" s="27">
        <f>H772*0.104361399</f>
        <v>0</v>
      </c>
      <c r="AP772" s="27">
        <f>H772*(1-0.104361399)</f>
        <v>0</v>
      </c>
      <c r="AQ772" s="29" t="s">
        <v>84</v>
      </c>
      <c r="AV772" s="27">
        <f>AW772+AX772</f>
        <v>0</v>
      </c>
      <c r="AW772" s="27">
        <f>G772*AO772</f>
        <v>0</v>
      </c>
      <c r="AX772" s="27">
        <f>G772*AP772</f>
        <v>0</v>
      </c>
      <c r="AY772" s="29" t="s">
        <v>379</v>
      </c>
      <c r="AZ772" s="29" t="s">
        <v>1281</v>
      </c>
      <c r="BA772" s="9" t="s">
        <v>1219</v>
      </c>
      <c r="BC772" s="27">
        <f>AW772+AX772</f>
        <v>0</v>
      </c>
      <c r="BD772" s="27">
        <f>H772/(100-BE772)*100</f>
        <v>0</v>
      </c>
      <c r="BE772" s="27">
        <v>0</v>
      </c>
      <c r="BF772" s="27">
        <f>772</f>
        <v>772</v>
      </c>
      <c r="BH772" s="27">
        <f>G772*AO772</f>
        <v>0</v>
      </c>
      <c r="BI772" s="27">
        <f>G772*AP772</f>
        <v>0</v>
      </c>
      <c r="BJ772" s="27">
        <f>G772*H772</f>
        <v>0</v>
      </c>
      <c r="BK772" s="27"/>
      <c r="BL772" s="27">
        <v>784</v>
      </c>
      <c r="BW772" s="27">
        <v>21</v>
      </c>
    </row>
    <row r="773" spans="1:12" ht="15">
      <c r="A773" s="52"/>
      <c r="B773" s="53"/>
      <c r="C773" s="53"/>
      <c r="D773" s="54" t="s">
        <v>1312</v>
      </c>
      <c r="E773" s="55" t="s">
        <v>1096</v>
      </c>
      <c r="F773" s="53"/>
      <c r="G773" s="56">
        <v>233.7524</v>
      </c>
      <c r="H773" s="53"/>
      <c r="I773" s="53"/>
      <c r="J773" s="53"/>
      <c r="K773" s="53"/>
      <c r="L773" s="57"/>
    </row>
    <row r="774" spans="1:75" ht="13.5" customHeight="1">
      <c r="A774" s="66" t="s">
        <v>1314</v>
      </c>
      <c r="B774" s="67" t="s">
        <v>1215</v>
      </c>
      <c r="C774" s="67" t="s">
        <v>1101</v>
      </c>
      <c r="D774" s="181" t="s">
        <v>1102</v>
      </c>
      <c r="E774" s="182"/>
      <c r="F774" s="67" t="s">
        <v>109</v>
      </c>
      <c r="G774" s="68">
        <v>89.88</v>
      </c>
      <c r="H774" s="68">
        <v>0</v>
      </c>
      <c r="I774" s="68">
        <f>G774*AO774</f>
        <v>0</v>
      </c>
      <c r="J774" s="68">
        <f>G774*AP774</f>
        <v>0</v>
      </c>
      <c r="K774" s="68">
        <f>G774*H774</f>
        <v>0</v>
      </c>
      <c r="L774" s="69" t="s">
        <v>137</v>
      </c>
      <c r="Z774" s="27">
        <f>IF(AQ774="5",BJ774,0)</f>
        <v>0</v>
      </c>
      <c r="AB774" s="27">
        <f>IF(AQ774="1",BH774,0)</f>
        <v>0</v>
      </c>
      <c r="AC774" s="27">
        <f>IF(AQ774="1",BI774,0)</f>
        <v>0</v>
      </c>
      <c r="AD774" s="27">
        <f>IF(AQ774="7",BH774,0)</f>
        <v>0</v>
      </c>
      <c r="AE774" s="27">
        <f>IF(AQ774="7",BI774,0)</f>
        <v>0</v>
      </c>
      <c r="AF774" s="27">
        <f>IF(AQ774="2",BH774,0)</f>
        <v>0</v>
      </c>
      <c r="AG774" s="27">
        <f>IF(AQ774="2",BI774,0)</f>
        <v>0</v>
      </c>
      <c r="AH774" s="27">
        <f>IF(AQ774="0",BJ774,0)</f>
        <v>0</v>
      </c>
      <c r="AI774" s="9" t="s">
        <v>1215</v>
      </c>
      <c r="AJ774" s="27">
        <f>IF(AN774=0,K774,0)</f>
        <v>0</v>
      </c>
      <c r="AK774" s="27">
        <f>IF(AN774=12,K774,0)</f>
        <v>0</v>
      </c>
      <c r="AL774" s="27">
        <f>IF(AN774=21,K774,0)</f>
        <v>0</v>
      </c>
      <c r="AN774" s="27">
        <v>21</v>
      </c>
      <c r="AO774" s="27">
        <f>H774*0.642232316</f>
        <v>0</v>
      </c>
      <c r="AP774" s="27">
        <f>H774*(1-0.642232316)</f>
        <v>0</v>
      </c>
      <c r="AQ774" s="29" t="s">
        <v>84</v>
      </c>
      <c r="AV774" s="27">
        <f>AW774+AX774</f>
        <v>0</v>
      </c>
      <c r="AW774" s="27">
        <f>G774*AO774</f>
        <v>0</v>
      </c>
      <c r="AX774" s="27">
        <f>G774*AP774</f>
        <v>0</v>
      </c>
      <c r="AY774" s="29" t="s">
        <v>379</v>
      </c>
      <c r="AZ774" s="29" t="s">
        <v>1281</v>
      </c>
      <c r="BA774" s="9" t="s">
        <v>1219</v>
      </c>
      <c r="BC774" s="27">
        <f>AW774+AX774</f>
        <v>0</v>
      </c>
      <c r="BD774" s="27">
        <f>H774/(100-BE774)*100</f>
        <v>0</v>
      </c>
      <c r="BE774" s="27">
        <v>0</v>
      </c>
      <c r="BF774" s="27">
        <f>774</f>
        <v>774</v>
      </c>
      <c r="BH774" s="27">
        <f>G774*AO774</f>
        <v>0</v>
      </c>
      <c r="BI774" s="27">
        <f>G774*AP774</f>
        <v>0</v>
      </c>
      <c r="BJ774" s="27">
        <f>G774*H774</f>
        <v>0</v>
      </c>
      <c r="BK774" s="27"/>
      <c r="BL774" s="27">
        <v>784</v>
      </c>
      <c r="BW774" s="27">
        <v>21</v>
      </c>
    </row>
    <row r="775" spans="1:12" ht="13.5" customHeight="1">
      <c r="A775" s="45"/>
      <c r="D775" s="173" t="s">
        <v>1103</v>
      </c>
      <c r="E775" s="174"/>
      <c r="F775" s="174"/>
      <c r="G775" s="174"/>
      <c r="H775" s="174"/>
      <c r="I775" s="174"/>
      <c r="J775" s="174"/>
      <c r="K775" s="174"/>
      <c r="L775" s="175"/>
    </row>
    <row r="776" spans="1:12" ht="15">
      <c r="A776" s="46"/>
      <c r="B776" s="47"/>
      <c r="C776" s="47"/>
      <c r="D776" s="48" t="s">
        <v>1260</v>
      </c>
      <c r="E776" s="49" t="s">
        <v>52</v>
      </c>
      <c r="F776" s="47"/>
      <c r="G776" s="50">
        <v>89.88</v>
      </c>
      <c r="H776" s="47"/>
      <c r="I776" s="47"/>
      <c r="J776" s="47"/>
      <c r="K776" s="47"/>
      <c r="L776" s="51"/>
    </row>
    <row r="777" spans="1:75" ht="13.5" customHeight="1">
      <c r="A777" s="66" t="s">
        <v>1315</v>
      </c>
      <c r="B777" s="67" t="s">
        <v>1215</v>
      </c>
      <c r="C777" s="67" t="s">
        <v>1105</v>
      </c>
      <c r="D777" s="181" t="s">
        <v>1106</v>
      </c>
      <c r="E777" s="182"/>
      <c r="F777" s="67" t="s">
        <v>109</v>
      </c>
      <c r="G777" s="68">
        <v>7.5</v>
      </c>
      <c r="H777" s="68">
        <v>0</v>
      </c>
      <c r="I777" s="68">
        <f>G777*AO777</f>
        <v>0</v>
      </c>
      <c r="J777" s="68">
        <f>G777*AP777</f>
        <v>0</v>
      </c>
      <c r="K777" s="68">
        <f>G777*H777</f>
        <v>0</v>
      </c>
      <c r="L777" s="69" t="s">
        <v>137</v>
      </c>
      <c r="Z777" s="27">
        <f>IF(AQ777="5",BJ777,0)</f>
        <v>0</v>
      </c>
      <c r="AB777" s="27">
        <f>IF(AQ777="1",BH777,0)</f>
        <v>0</v>
      </c>
      <c r="AC777" s="27">
        <f>IF(AQ777="1",BI777,0)</f>
        <v>0</v>
      </c>
      <c r="AD777" s="27">
        <f>IF(AQ777="7",BH777,0)</f>
        <v>0</v>
      </c>
      <c r="AE777" s="27">
        <f>IF(AQ777="7",BI777,0)</f>
        <v>0</v>
      </c>
      <c r="AF777" s="27">
        <f>IF(AQ777="2",BH777,0)</f>
        <v>0</v>
      </c>
      <c r="AG777" s="27">
        <f>IF(AQ777="2",BI777,0)</f>
        <v>0</v>
      </c>
      <c r="AH777" s="27">
        <f>IF(AQ777="0",BJ777,0)</f>
        <v>0</v>
      </c>
      <c r="AI777" s="9" t="s">
        <v>1215</v>
      </c>
      <c r="AJ777" s="27">
        <f>IF(AN777=0,K777,0)</f>
        <v>0</v>
      </c>
      <c r="AK777" s="27">
        <f>IF(AN777=12,K777,0)</f>
        <v>0</v>
      </c>
      <c r="AL777" s="27">
        <f>IF(AN777=21,K777,0)</f>
        <v>0</v>
      </c>
      <c r="AN777" s="27">
        <v>21</v>
      </c>
      <c r="AO777" s="27">
        <f>H777*0.248584906</f>
        <v>0</v>
      </c>
      <c r="AP777" s="27">
        <f>H777*(1-0.248584906)</f>
        <v>0</v>
      </c>
      <c r="AQ777" s="29" t="s">
        <v>84</v>
      </c>
      <c r="AV777" s="27">
        <f>AW777+AX777</f>
        <v>0</v>
      </c>
      <c r="AW777" s="27">
        <f>G777*AO777</f>
        <v>0</v>
      </c>
      <c r="AX777" s="27">
        <f>G777*AP777</f>
        <v>0</v>
      </c>
      <c r="AY777" s="29" t="s">
        <v>379</v>
      </c>
      <c r="AZ777" s="29" t="s">
        <v>1281</v>
      </c>
      <c r="BA777" s="9" t="s">
        <v>1219</v>
      </c>
      <c r="BC777" s="27">
        <f>AW777+AX777</f>
        <v>0</v>
      </c>
      <c r="BD777" s="27">
        <f>H777/(100-BE777)*100</f>
        <v>0</v>
      </c>
      <c r="BE777" s="27">
        <v>0</v>
      </c>
      <c r="BF777" s="27">
        <f>777</f>
        <v>777</v>
      </c>
      <c r="BH777" s="27">
        <f>G777*AO777</f>
        <v>0</v>
      </c>
      <c r="BI777" s="27">
        <f>G777*AP777</f>
        <v>0</v>
      </c>
      <c r="BJ777" s="27">
        <f>G777*H777</f>
        <v>0</v>
      </c>
      <c r="BK777" s="27"/>
      <c r="BL777" s="27">
        <v>784</v>
      </c>
      <c r="BW777" s="27">
        <v>21</v>
      </c>
    </row>
    <row r="778" spans="1:12" ht="13.5" customHeight="1">
      <c r="A778" s="45"/>
      <c r="D778" s="173" t="s">
        <v>1107</v>
      </c>
      <c r="E778" s="174"/>
      <c r="F778" s="174"/>
      <c r="G778" s="174"/>
      <c r="H778" s="174"/>
      <c r="I778" s="174"/>
      <c r="J778" s="174"/>
      <c r="K778" s="174"/>
      <c r="L778" s="175"/>
    </row>
    <row r="779" spans="1:12" ht="15">
      <c r="A779" s="46"/>
      <c r="B779" s="47"/>
      <c r="C779" s="47"/>
      <c r="D779" s="48" t="s">
        <v>1316</v>
      </c>
      <c r="E779" s="49" t="s">
        <v>52</v>
      </c>
      <c r="F779" s="47"/>
      <c r="G779" s="50">
        <v>7.5</v>
      </c>
      <c r="H779" s="47"/>
      <c r="I779" s="47"/>
      <c r="J779" s="47"/>
      <c r="K779" s="47"/>
      <c r="L779" s="51"/>
    </row>
    <row r="780" spans="1:75" ht="13.5" customHeight="1">
      <c r="A780" s="101" t="s">
        <v>1317</v>
      </c>
      <c r="B780" s="102" t="s">
        <v>1215</v>
      </c>
      <c r="C780" s="102" t="s">
        <v>394</v>
      </c>
      <c r="D780" s="198" t="s">
        <v>395</v>
      </c>
      <c r="E780" s="199"/>
      <c r="F780" s="102" t="s">
        <v>109</v>
      </c>
      <c r="G780" s="103">
        <v>233.7524</v>
      </c>
      <c r="H780" s="103">
        <v>0</v>
      </c>
      <c r="I780" s="103">
        <f>G780*AO780</f>
        <v>0</v>
      </c>
      <c r="J780" s="103">
        <f>G780*AP780</f>
        <v>0</v>
      </c>
      <c r="K780" s="103">
        <f>G780*H780</f>
        <v>0</v>
      </c>
      <c r="L780" s="104" t="s">
        <v>137</v>
      </c>
      <c r="Z780" s="27">
        <f>IF(AQ780="5",BJ780,0)</f>
        <v>0</v>
      </c>
      <c r="AB780" s="27">
        <f>IF(AQ780="1",BH780,0)</f>
        <v>0</v>
      </c>
      <c r="AC780" s="27">
        <f>IF(AQ780="1",BI780,0)</f>
        <v>0</v>
      </c>
      <c r="AD780" s="27">
        <f>IF(AQ780="7",BH780,0)</f>
        <v>0</v>
      </c>
      <c r="AE780" s="27">
        <f>IF(AQ780="7",BI780,0)</f>
        <v>0</v>
      </c>
      <c r="AF780" s="27">
        <f>IF(AQ780="2",BH780,0)</f>
        <v>0</v>
      </c>
      <c r="AG780" s="27">
        <f>IF(AQ780="2",BI780,0)</f>
        <v>0</v>
      </c>
      <c r="AH780" s="27">
        <f>IF(AQ780="0",BJ780,0)</f>
        <v>0</v>
      </c>
      <c r="AI780" s="9" t="s">
        <v>1215</v>
      </c>
      <c r="AJ780" s="27">
        <f>IF(AN780=0,K780,0)</f>
        <v>0</v>
      </c>
      <c r="AK780" s="27">
        <f>IF(AN780=12,K780,0)</f>
        <v>0</v>
      </c>
      <c r="AL780" s="27">
        <f>IF(AN780=21,K780,0)</f>
        <v>0</v>
      </c>
      <c r="AN780" s="27">
        <v>21</v>
      </c>
      <c r="AO780" s="27">
        <f>H780*0.004214558</f>
        <v>0</v>
      </c>
      <c r="AP780" s="27">
        <f>H780*(1-0.004214558)</f>
        <v>0</v>
      </c>
      <c r="AQ780" s="29" t="s">
        <v>84</v>
      </c>
      <c r="AV780" s="27">
        <f>AW780+AX780</f>
        <v>0</v>
      </c>
      <c r="AW780" s="27">
        <f>G780*AO780</f>
        <v>0</v>
      </c>
      <c r="AX780" s="27">
        <f>G780*AP780</f>
        <v>0</v>
      </c>
      <c r="AY780" s="29" t="s">
        <v>379</v>
      </c>
      <c r="AZ780" s="29" t="s">
        <v>1281</v>
      </c>
      <c r="BA780" s="9" t="s">
        <v>1219</v>
      </c>
      <c r="BC780" s="27">
        <f>AW780+AX780</f>
        <v>0</v>
      </c>
      <c r="BD780" s="27">
        <f>H780/(100-BE780)*100</f>
        <v>0</v>
      </c>
      <c r="BE780" s="27">
        <v>0</v>
      </c>
      <c r="BF780" s="27">
        <f>780</f>
        <v>780</v>
      </c>
      <c r="BH780" s="27">
        <f>G780*AO780</f>
        <v>0</v>
      </c>
      <c r="BI780" s="27">
        <f>G780*AP780</f>
        <v>0</v>
      </c>
      <c r="BJ780" s="27">
        <f>G780*H780</f>
        <v>0</v>
      </c>
      <c r="BK780" s="27"/>
      <c r="BL780" s="27">
        <v>784</v>
      </c>
      <c r="BW780" s="27">
        <v>21</v>
      </c>
    </row>
    <row r="781" spans="1:12" ht="15">
      <c r="A781" s="30"/>
      <c r="D781" s="32" t="s">
        <v>1312</v>
      </c>
      <c r="E781" s="31" t="s">
        <v>1096</v>
      </c>
      <c r="G781" s="33">
        <v>233.7524</v>
      </c>
      <c r="L781" s="34"/>
    </row>
    <row r="782" spans="1:12" ht="13.5" customHeight="1">
      <c r="A782" s="30"/>
      <c r="C782" s="35" t="s">
        <v>102</v>
      </c>
      <c r="D782" s="166" t="s">
        <v>396</v>
      </c>
      <c r="E782" s="167"/>
      <c r="F782" s="167"/>
      <c r="G782" s="167"/>
      <c r="H782" s="167"/>
      <c r="I782" s="167"/>
      <c r="J782" s="167"/>
      <c r="K782" s="167"/>
      <c r="L782" s="168"/>
    </row>
    <row r="783" spans="1:47" ht="15">
      <c r="A783" s="23" t="s">
        <v>52</v>
      </c>
      <c r="B783" s="24" t="s">
        <v>1215</v>
      </c>
      <c r="C783" s="24" t="s">
        <v>409</v>
      </c>
      <c r="D783" s="164" t="s">
        <v>410</v>
      </c>
      <c r="E783" s="165"/>
      <c r="F783" s="25" t="s">
        <v>4</v>
      </c>
      <c r="G783" s="25" t="s">
        <v>4</v>
      </c>
      <c r="H783" s="25" t="s">
        <v>4</v>
      </c>
      <c r="I783" s="1">
        <f>SUM(I784:I787)</f>
        <v>0</v>
      </c>
      <c r="J783" s="1">
        <f>SUM(J784:J787)</f>
        <v>0</v>
      </c>
      <c r="K783" s="1">
        <f>SUM(K784:K787)</f>
        <v>0</v>
      </c>
      <c r="L783" s="26" t="s">
        <v>52</v>
      </c>
      <c r="AI783" s="9" t="s">
        <v>1215</v>
      </c>
      <c r="AS783" s="1">
        <f>SUM(AJ784:AJ787)</f>
        <v>0</v>
      </c>
      <c r="AT783" s="1">
        <f>SUM(AK784:AK787)</f>
        <v>0</v>
      </c>
      <c r="AU783" s="1">
        <f>SUM(AL784:AL787)</f>
        <v>0</v>
      </c>
    </row>
    <row r="784" spans="1:75" ht="13.5" customHeight="1">
      <c r="A784" s="2" t="s">
        <v>1318</v>
      </c>
      <c r="B784" s="3" t="s">
        <v>1215</v>
      </c>
      <c r="C784" s="3" t="s">
        <v>412</v>
      </c>
      <c r="D784" s="148" t="s">
        <v>413</v>
      </c>
      <c r="E784" s="143"/>
      <c r="F784" s="3" t="s">
        <v>109</v>
      </c>
      <c r="G784" s="27">
        <v>89.88</v>
      </c>
      <c r="H784" s="27">
        <v>0</v>
      </c>
      <c r="I784" s="27">
        <f>G784*AO784</f>
        <v>0</v>
      </c>
      <c r="J784" s="27">
        <f>G784*AP784</f>
        <v>0</v>
      </c>
      <c r="K784" s="27">
        <f>G784*H784</f>
        <v>0</v>
      </c>
      <c r="L784" s="28" t="s">
        <v>137</v>
      </c>
      <c r="Z784" s="27">
        <f>IF(AQ784="5",BJ784,0)</f>
        <v>0</v>
      </c>
      <c r="AB784" s="27">
        <f>IF(AQ784="1",BH784,0)</f>
        <v>0</v>
      </c>
      <c r="AC784" s="27">
        <f>IF(AQ784="1",BI784,0)</f>
        <v>0</v>
      </c>
      <c r="AD784" s="27">
        <f>IF(AQ784="7",BH784,0)</f>
        <v>0</v>
      </c>
      <c r="AE784" s="27">
        <f>IF(AQ784="7",BI784,0)</f>
        <v>0</v>
      </c>
      <c r="AF784" s="27">
        <f>IF(AQ784="2",BH784,0)</f>
        <v>0</v>
      </c>
      <c r="AG784" s="27">
        <f>IF(AQ784="2",BI784,0)</f>
        <v>0</v>
      </c>
      <c r="AH784" s="27">
        <f>IF(AQ784="0",BJ784,0)</f>
        <v>0</v>
      </c>
      <c r="AI784" s="9" t="s">
        <v>1215</v>
      </c>
      <c r="AJ784" s="27">
        <f>IF(AN784=0,K784,0)</f>
        <v>0</v>
      </c>
      <c r="AK784" s="27">
        <f>IF(AN784=12,K784,0)</f>
        <v>0</v>
      </c>
      <c r="AL784" s="27">
        <f>IF(AN784=21,K784,0)</f>
        <v>0</v>
      </c>
      <c r="AN784" s="27">
        <v>21</v>
      </c>
      <c r="AO784" s="27">
        <f>H784*0.407753966</f>
        <v>0</v>
      </c>
      <c r="AP784" s="27">
        <f>H784*(1-0.407753966)</f>
        <v>0</v>
      </c>
      <c r="AQ784" s="29" t="s">
        <v>57</v>
      </c>
      <c r="AV784" s="27">
        <f>AW784+AX784</f>
        <v>0</v>
      </c>
      <c r="AW784" s="27">
        <f>G784*AO784</f>
        <v>0</v>
      </c>
      <c r="AX784" s="27">
        <f>G784*AP784</f>
        <v>0</v>
      </c>
      <c r="AY784" s="29" t="s">
        <v>414</v>
      </c>
      <c r="AZ784" s="29" t="s">
        <v>1319</v>
      </c>
      <c r="BA784" s="9" t="s">
        <v>1219</v>
      </c>
      <c r="BC784" s="27">
        <f>AW784+AX784</f>
        <v>0</v>
      </c>
      <c r="BD784" s="27">
        <f>H784/(100-BE784)*100</f>
        <v>0</v>
      </c>
      <c r="BE784" s="27">
        <v>0</v>
      </c>
      <c r="BF784" s="27">
        <f>784</f>
        <v>784</v>
      </c>
      <c r="BH784" s="27">
        <f>G784*AO784</f>
        <v>0</v>
      </c>
      <c r="BI784" s="27">
        <f>G784*AP784</f>
        <v>0</v>
      </c>
      <c r="BJ784" s="27">
        <f>G784*H784</f>
        <v>0</v>
      </c>
      <c r="BK784" s="27"/>
      <c r="BL784" s="27">
        <v>94</v>
      </c>
      <c r="BW784" s="27">
        <v>21</v>
      </c>
    </row>
    <row r="785" spans="1:12" ht="13.5" customHeight="1">
      <c r="A785" s="30"/>
      <c r="D785" s="166" t="s">
        <v>415</v>
      </c>
      <c r="E785" s="167"/>
      <c r="F785" s="167"/>
      <c r="G785" s="167"/>
      <c r="H785" s="167"/>
      <c r="I785" s="167"/>
      <c r="J785" s="167"/>
      <c r="K785" s="167"/>
      <c r="L785" s="168"/>
    </row>
    <row r="786" spans="1:12" ht="15">
      <c r="A786" s="30"/>
      <c r="D786" s="32" t="s">
        <v>1260</v>
      </c>
      <c r="E786" s="31" t="s">
        <v>1320</v>
      </c>
      <c r="G786" s="33">
        <v>89.88</v>
      </c>
      <c r="L786" s="34"/>
    </row>
    <row r="787" spans="1:75" ht="13.5" customHeight="1">
      <c r="A787" s="2" t="s">
        <v>1321</v>
      </c>
      <c r="B787" s="3" t="s">
        <v>1215</v>
      </c>
      <c r="C787" s="3" t="s">
        <v>1113</v>
      </c>
      <c r="D787" s="148" t="s">
        <v>1114</v>
      </c>
      <c r="E787" s="143"/>
      <c r="F787" s="3" t="s">
        <v>154</v>
      </c>
      <c r="G787" s="27">
        <v>6</v>
      </c>
      <c r="H787" s="27">
        <v>0</v>
      </c>
      <c r="I787" s="27">
        <f>G787*AO787</f>
        <v>0</v>
      </c>
      <c r="J787" s="27">
        <f>G787*AP787</f>
        <v>0</v>
      </c>
      <c r="K787" s="27">
        <f>G787*H787</f>
        <v>0</v>
      </c>
      <c r="L787" s="28" t="s">
        <v>137</v>
      </c>
      <c r="Z787" s="27">
        <f>IF(AQ787="5",BJ787,0)</f>
        <v>0</v>
      </c>
      <c r="AB787" s="27">
        <f>IF(AQ787="1",BH787,0)</f>
        <v>0</v>
      </c>
      <c r="AC787" s="27">
        <f>IF(AQ787="1",BI787,0)</f>
        <v>0</v>
      </c>
      <c r="AD787" s="27">
        <f>IF(AQ787="7",BH787,0)</f>
        <v>0</v>
      </c>
      <c r="AE787" s="27">
        <f>IF(AQ787="7",BI787,0)</f>
        <v>0</v>
      </c>
      <c r="AF787" s="27">
        <f>IF(AQ787="2",BH787,0)</f>
        <v>0</v>
      </c>
      <c r="AG787" s="27">
        <f>IF(AQ787="2",BI787,0)</f>
        <v>0</v>
      </c>
      <c r="AH787" s="27">
        <f>IF(AQ787="0",BJ787,0)</f>
        <v>0</v>
      </c>
      <c r="AI787" s="9" t="s">
        <v>1215</v>
      </c>
      <c r="AJ787" s="27">
        <f>IF(AN787=0,K787,0)</f>
        <v>0</v>
      </c>
      <c r="AK787" s="27">
        <f>IF(AN787=12,K787,0)</f>
        <v>0</v>
      </c>
      <c r="AL787" s="27">
        <f>IF(AN787=21,K787,0)</f>
        <v>0</v>
      </c>
      <c r="AN787" s="27">
        <v>21</v>
      </c>
      <c r="AO787" s="27">
        <f>H787*0.118628319</f>
        <v>0</v>
      </c>
      <c r="AP787" s="27">
        <f>H787*(1-0.118628319)</f>
        <v>0</v>
      </c>
      <c r="AQ787" s="29" t="s">
        <v>57</v>
      </c>
      <c r="AV787" s="27">
        <f>AW787+AX787</f>
        <v>0</v>
      </c>
      <c r="AW787" s="27">
        <f>G787*AO787</f>
        <v>0</v>
      </c>
      <c r="AX787" s="27">
        <f>G787*AP787</f>
        <v>0</v>
      </c>
      <c r="AY787" s="29" t="s">
        <v>414</v>
      </c>
      <c r="AZ787" s="29" t="s">
        <v>1319</v>
      </c>
      <c r="BA787" s="9" t="s">
        <v>1219</v>
      </c>
      <c r="BC787" s="27">
        <f>AW787+AX787</f>
        <v>0</v>
      </c>
      <c r="BD787" s="27">
        <f>H787/(100-BE787)*100</f>
        <v>0</v>
      </c>
      <c r="BE787" s="27">
        <v>0</v>
      </c>
      <c r="BF787" s="27">
        <f>787</f>
        <v>787</v>
      </c>
      <c r="BH787" s="27">
        <f>G787*AO787</f>
        <v>0</v>
      </c>
      <c r="BI787" s="27">
        <f>G787*AP787</f>
        <v>0</v>
      </c>
      <c r="BJ787" s="27">
        <f>G787*H787</f>
        <v>0</v>
      </c>
      <c r="BK787" s="27"/>
      <c r="BL787" s="27">
        <v>94</v>
      </c>
      <c r="BW787" s="27">
        <v>21</v>
      </c>
    </row>
    <row r="788" spans="1:12" ht="15">
      <c r="A788" s="30"/>
      <c r="D788" s="32" t="s">
        <v>81</v>
      </c>
      <c r="E788" s="31" t="s">
        <v>1322</v>
      </c>
      <c r="G788" s="33">
        <v>6</v>
      </c>
      <c r="L788" s="34"/>
    </row>
    <row r="789" spans="1:12" ht="13.5" customHeight="1">
      <c r="A789" s="98"/>
      <c r="C789" s="99" t="s">
        <v>102</v>
      </c>
      <c r="D789" s="195" t="s">
        <v>1116</v>
      </c>
      <c r="E789" s="196"/>
      <c r="F789" s="196"/>
      <c r="G789" s="196"/>
      <c r="H789" s="196"/>
      <c r="I789" s="196"/>
      <c r="J789" s="196"/>
      <c r="K789" s="196"/>
      <c r="L789" s="197"/>
    </row>
    <row r="790" spans="1:47" ht="15">
      <c r="A790" s="70" t="s">
        <v>52</v>
      </c>
      <c r="B790" s="71" t="s">
        <v>1215</v>
      </c>
      <c r="C790" s="71" t="s">
        <v>422</v>
      </c>
      <c r="D790" s="183" t="s">
        <v>423</v>
      </c>
      <c r="E790" s="184"/>
      <c r="F790" s="72" t="s">
        <v>4</v>
      </c>
      <c r="G790" s="72" t="s">
        <v>4</v>
      </c>
      <c r="H790" s="72" t="s">
        <v>4</v>
      </c>
      <c r="I790" s="73">
        <f>SUM(I791:I791)</f>
        <v>0</v>
      </c>
      <c r="J790" s="73">
        <f>SUM(J791:J791)</f>
        <v>0</v>
      </c>
      <c r="K790" s="73">
        <f>SUM(K791:K791)</f>
        <v>0</v>
      </c>
      <c r="L790" s="74" t="s">
        <v>52</v>
      </c>
      <c r="AI790" s="9" t="s">
        <v>1215</v>
      </c>
      <c r="AS790" s="1">
        <f>SUM(AJ791:AJ791)</f>
        <v>0</v>
      </c>
      <c r="AT790" s="1">
        <f>SUM(AK791:AK791)</f>
        <v>0</v>
      </c>
      <c r="AU790" s="1">
        <f>SUM(AL791:AL791)</f>
        <v>0</v>
      </c>
    </row>
    <row r="791" spans="1:75" ht="13.5" customHeight="1">
      <c r="A791" s="66" t="s">
        <v>1323</v>
      </c>
      <c r="B791" s="67" t="s">
        <v>1215</v>
      </c>
      <c r="C791" s="67" t="s">
        <v>432</v>
      </c>
      <c r="D791" s="181" t="s">
        <v>433</v>
      </c>
      <c r="E791" s="182"/>
      <c r="F791" s="67" t="s">
        <v>109</v>
      </c>
      <c r="G791" s="68">
        <v>89.88</v>
      </c>
      <c r="H791" s="68">
        <v>0</v>
      </c>
      <c r="I791" s="68">
        <f>G791*AO791</f>
        <v>0</v>
      </c>
      <c r="J791" s="68">
        <f>G791*AP791</f>
        <v>0</v>
      </c>
      <c r="K791" s="68">
        <f>G791*H791</f>
        <v>0</v>
      </c>
      <c r="L791" s="69" t="s">
        <v>137</v>
      </c>
      <c r="Z791" s="27">
        <f>IF(AQ791="5",BJ791,0)</f>
        <v>0</v>
      </c>
      <c r="AB791" s="27">
        <f>IF(AQ791="1",BH791,0)</f>
        <v>0</v>
      </c>
      <c r="AC791" s="27">
        <f>IF(AQ791="1",BI791,0)</f>
        <v>0</v>
      </c>
      <c r="AD791" s="27">
        <f>IF(AQ791="7",BH791,0)</f>
        <v>0</v>
      </c>
      <c r="AE791" s="27">
        <f>IF(AQ791="7",BI791,0)</f>
        <v>0</v>
      </c>
      <c r="AF791" s="27">
        <f>IF(AQ791="2",BH791,0)</f>
        <v>0</v>
      </c>
      <c r="AG791" s="27">
        <f>IF(AQ791="2",BI791,0)</f>
        <v>0</v>
      </c>
      <c r="AH791" s="27">
        <f>IF(AQ791="0",BJ791,0)</f>
        <v>0</v>
      </c>
      <c r="AI791" s="9" t="s">
        <v>1215</v>
      </c>
      <c r="AJ791" s="27">
        <f>IF(AN791=0,K791,0)</f>
        <v>0</v>
      </c>
      <c r="AK791" s="27">
        <f>IF(AN791=12,K791,0)</f>
        <v>0</v>
      </c>
      <c r="AL791" s="27">
        <f>IF(AN791=21,K791,0)</f>
        <v>0</v>
      </c>
      <c r="AN791" s="27">
        <v>21</v>
      </c>
      <c r="AO791" s="27">
        <f>H791*0.013885892</f>
        <v>0</v>
      </c>
      <c r="AP791" s="27">
        <f>H791*(1-0.013885892)</f>
        <v>0</v>
      </c>
      <c r="AQ791" s="29" t="s">
        <v>57</v>
      </c>
      <c r="AV791" s="27">
        <f>AW791+AX791</f>
        <v>0</v>
      </c>
      <c r="AW791" s="27">
        <f>G791*AO791</f>
        <v>0</v>
      </c>
      <c r="AX791" s="27">
        <f>G791*AP791</f>
        <v>0</v>
      </c>
      <c r="AY791" s="29" t="s">
        <v>427</v>
      </c>
      <c r="AZ791" s="29" t="s">
        <v>1319</v>
      </c>
      <c r="BA791" s="9" t="s">
        <v>1219</v>
      </c>
      <c r="BC791" s="27">
        <f>AW791+AX791</f>
        <v>0</v>
      </c>
      <c r="BD791" s="27">
        <f>H791/(100-BE791)*100</f>
        <v>0</v>
      </c>
      <c r="BE791" s="27">
        <v>0</v>
      </c>
      <c r="BF791" s="27">
        <f>791</f>
        <v>791</v>
      </c>
      <c r="BH791" s="27">
        <f>G791*AO791</f>
        <v>0</v>
      </c>
      <c r="BI791" s="27">
        <f>G791*AP791</f>
        <v>0</v>
      </c>
      <c r="BJ791" s="27">
        <f>G791*H791</f>
        <v>0</v>
      </c>
      <c r="BK791" s="27"/>
      <c r="BL791" s="27">
        <v>95</v>
      </c>
      <c r="BW791" s="27">
        <v>21</v>
      </c>
    </row>
    <row r="792" spans="1:12" ht="15">
      <c r="A792" s="52"/>
      <c r="B792" s="53"/>
      <c r="C792" s="53"/>
      <c r="D792" s="54" t="s">
        <v>1271</v>
      </c>
      <c r="E792" s="55" t="s">
        <v>52</v>
      </c>
      <c r="F792" s="53"/>
      <c r="G792" s="56">
        <v>89.88</v>
      </c>
      <c r="H792" s="53"/>
      <c r="I792" s="53"/>
      <c r="J792" s="53"/>
      <c r="K792" s="53"/>
      <c r="L792" s="57"/>
    </row>
    <row r="793" spans="1:47" ht="15">
      <c r="A793" s="75" t="s">
        <v>52</v>
      </c>
      <c r="B793" s="76" t="s">
        <v>1215</v>
      </c>
      <c r="C793" s="76" t="s">
        <v>434</v>
      </c>
      <c r="D793" s="185" t="s">
        <v>435</v>
      </c>
      <c r="E793" s="186"/>
      <c r="F793" s="77" t="s">
        <v>4</v>
      </c>
      <c r="G793" s="77" t="s">
        <v>4</v>
      </c>
      <c r="H793" s="77" t="s">
        <v>4</v>
      </c>
      <c r="I793" s="78">
        <f>SUM(I794:I796)</f>
        <v>0</v>
      </c>
      <c r="J793" s="78">
        <f>SUM(J794:J796)</f>
        <v>0</v>
      </c>
      <c r="K793" s="78">
        <f>SUM(K794:K796)</f>
        <v>0</v>
      </c>
      <c r="L793" s="79" t="s">
        <v>52</v>
      </c>
      <c r="AI793" s="9" t="s">
        <v>1215</v>
      </c>
      <c r="AS793" s="1">
        <f>SUM(AJ794:AJ796)</f>
        <v>0</v>
      </c>
      <c r="AT793" s="1">
        <f>SUM(AK794:AK796)</f>
        <v>0</v>
      </c>
      <c r="AU793" s="1">
        <f>SUM(AL794:AL796)</f>
        <v>0</v>
      </c>
    </row>
    <row r="794" spans="1:75" ht="13.5" customHeight="1">
      <c r="A794" s="66" t="s">
        <v>1324</v>
      </c>
      <c r="B794" s="67" t="s">
        <v>1215</v>
      </c>
      <c r="C794" s="67" t="s">
        <v>447</v>
      </c>
      <c r="D794" s="181" t="s">
        <v>1120</v>
      </c>
      <c r="E794" s="182"/>
      <c r="F794" s="67" t="s">
        <v>154</v>
      </c>
      <c r="G794" s="68">
        <v>1</v>
      </c>
      <c r="H794" s="68">
        <v>0</v>
      </c>
      <c r="I794" s="68">
        <f>G794*AO794</f>
        <v>0</v>
      </c>
      <c r="J794" s="68">
        <f>G794*AP794</f>
        <v>0</v>
      </c>
      <c r="K794" s="68">
        <f>G794*H794</f>
        <v>0</v>
      </c>
      <c r="L794" s="69" t="s">
        <v>137</v>
      </c>
      <c r="Z794" s="27">
        <f>IF(AQ794="5",BJ794,0)</f>
        <v>0</v>
      </c>
      <c r="AB794" s="27">
        <f>IF(AQ794="1",BH794,0)</f>
        <v>0</v>
      </c>
      <c r="AC794" s="27">
        <f>IF(AQ794="1",BI794,0)</f>
        <v>0</v>
      </c>
      <c r="AD794" s="27">
        <f>IF(AQ794="7",BH794,0)</f>
        <v>0</v>
      </c>
      <c r="AE794" s="27">
        <f>IF(AQ794="7",BI794,0)</f>
        <v>0</v>
      </c>
      <c r="AF794" s="27">
        <f>IF(AQ794="2",BH794,0)</f>
        <v>0</v>
      </c>
      <c r="AG794" s="27">
        <f>IF(AQ794="2",BI794,0)</f>
        <v>0</v>
      </c>
      <c r="AH794" s="27">
        <f>IF(AQ794="0",BJ794,0)</f>
        <v>0</v>
      </c>
      <c r="AI794" s="9" t="s">
        <v>1215</v>
      </c>
      <c r="AJ794" s="27">
        <f>IF(AN794=0,K794,0)</f>
        <v>0</v>
      </c>
      <c r="AK794" s="27">
        <f>IF(AN794=12,K794,0)</f>
        <v>0</v>
      </c>
      <c r="AL794" s="27">
        <f>IF(AN794=21,K794,0)</f>
        <v>0</v>
      </c>
      <c r="AN794" s="27">
        <v>21</v>
      </c>
      <c r="AO794" s="27">
        <f>H794*0</f>
        <v>0</v>
      </c>
      <c r="AP794" s="27">
        <f>H794*(1-0)</f>
        <v>0</v>
      </c>
      <c r="AQ794" s="29" t="s">
        <v>57</v>
      </c>
      <c r="AV794" s="27">
        <f>AW794+AX794</f>
        <v>0</v>
      </c>
      <c r="AW794" s="27">
        <f>G794*AO794</f>
        <v>0</v>
      </c>
      <c r="AX794" s="27">
        <f>G794*AP794</f>
        <v>0</v>
      </c>
      <c r="AY794" s="29" t="s">
        <v>438</v>
      </c>
      <c r="AZ794" s="29" t="s">
        <v>1319</v>
      </c>
      <c r="BA794" s="9" t="s">
        <v>1219</v>
      </c>
      <c r="BC794" s="27">
        <f>AW794+AX794</f>
        <v>0</v>
      </c>
      <c r="BD794" s="27">
        <f>H794/(100-BE794)*100</f>
        <v>0</v>
      </c>
      <c r="BE794" s="27">
        <v>0</v>
      </c>
      <c r="BF794" s="27">
        <f>794</f>
        <v>794</v>
      </c>
      <c r="BH794" s="27">
        <f>G794*AO794</f>
        <v>0</v>
      </c>
      <c r="BI794" s="27">
        <f>G794*AP794</f>
        <v>0</v>
      </c>
      <c r="BJ794" s="27">
        <f>G794*H794</f>
        <v>0</v>
      </c>
      <c r="BK794" s="27"/>
      <c r="BL794" s="27">
        <v>96</v>
      </c>
      <c r="BW794" s="27">
        <v>21</v>
      </c>
    </row>
    <row r="795" spans="1:12" ht="15">
      <c r="A795" s="52"/>
      <c r="B795" s="53"/>
      <c r="C795" s="53"/>
      <c r="D795" s="54" t="s">
        <v>57</v>
      </c>
      <c r="E795" s="55" t="s">
        <v>1121</v>
      </c>
      <c r="F795" s="53"/>
      <c r="G795" s="56">
        <v>1</v>
      </c>
      <c r="H795" s="53"/>
      <c r="I795" s="53"/>
      <c r="J795" s="53"/>
      <c r="K795" s="53"/>
      <c r="L795" s="57"/>
    </row>
    <row r="796" spans="1:75" ht="13.5" customHeight="1">
      <c r="A796" s="66" t="s">
        <v>1325</v>
      </c>
      <c r="B796" s="67" t="s">
        <v>1215</v>
      </c>
      <c r="C796" s="67" t="s">
        <v>1123</v>
      </c>
      <c r="D796" s="181" t="s">
        <v>1124</v>
      </c>
      <c r="E796" s="182"/>
      <c r="F796" s="67" t="s">
        <v>109</v>
      </c>
      <c r="G796" s="68">
        <v>7.075</v>
      </c>
      <c r="H796" s="68">
        <v>0</v>
      </c>
      <c r="I796" s="68">
        <f>G796*AO796</f>
        <v>0</v>
      </c>
      <c r="J796" s="68">
        <f>G796*AP796</f>
        <v>0</v>
      </c>
      <c r="K796" s="68">
        <f>G796*H796</f>
        <v>0</v>
      </c>
      <c r="L796" s="69" t="s">
        <v>137</v>
      </c>
      <c r="Z796" s="27">
        <f>IF(AQ796="5",BJ796,0)</f>
        <v>0</v>
      </c>
      <c r="AB796" s="27">
        <f>IF(AQ796="1",BH796,0)</f>
        <v>0</v>
      </c>
      <c r="AC796" s="27">
        <f>IF(AQ796="1",BI796,0)</f>
        <v>0</v>
      </c>
      <c r="AD796" s="27">
        <f>IF(AQ796="7",BH796,0)</f>
        <v>0</v>
      </c>
      <c r="AE796" s="27">
        <f>IF(AQ796="7",BI796,0)</f>
        <v>0</v>
      </c>
      <c r="AF796" s="27">
        <f>IF(AQ796="2",BH796,0)</f>
        <v>0</v>
      </c>
      <c r="AG796" s="27">
        <f>IF(AQ796="2",BI796,0)</f>
        <v>0</v>
      </c>
      <c r="AH796" s="27">
        <f>IF(AQ796="0",BJ796,0)</f>
        <v>0</v>
      </c>
      <c r="AI796" s="9" t="s">
        <v>1215</v>
      </c>
      <c r="AJ796" s="27">
        <f>IF(AN796=0,K796,0)</f>
        <v>0</v>
      </c>
      <c r="AK796" s="27">
        <f>IF(AN796=12,K796,0)</f>
        <v>0</v>
      </c>
      <c r="AL796" s="27">
        <f>IF(AN796=21,K796,0)</f>
        <v>0</v>
      </c>
      <c r="AN796" s="27">
        <v>21</v>
      </c>
      <c r="AO796" s="27">
        <f>H796*0.061269154</f>
        <v>0</v>
      </c>
      <c r="AP796" s="27">
        <f>H796*(1-0.061269154)</f>
        <v>0</v>
      </c>
      <c r="AQ796" s="29" t="s">
        <v>57</v>
      </c>
      <c r="AV796" s="27">
        <f>AW796+AX796</f>
        <v>0</v>
      </c>
      <c r="AW796" s="27">
        <f>G796*AO796</f>
        <v>0</v>
      </c>
      <c r="AX796" s="27">
        <f>G796*AP796</f>
        <v>0</v>
      </c>
      <c r="AY796" s="29" t="s">
        <v>438</v>
      </c>
      <c r="AZ796" s="29" t="s">
        <v>1319</v>
      </c>
      <c r="BA796" s="9" t="s">
        <v>1219</v>
      </c>
      <c r="BC796" s="27">
        <f>AW796+AX796</f>
        <v>0</v>
      </c>
      <c r="BD796" s="27">
        <f>H796/(100-BE796)*100</f>
        <v>0</v>
      </c>
      <c r="BE796" s="27">
        <v>0</v>
      </c>
      <c r="BF796" s="27">
        <f>796</f>
        <v>796</v>
      </c>
      <c r="BH796" s="27">
        <f>G796*AO796</f>
        <v>0</v>
      </c>
      <c r="BI796" s="27">
        <f>G796*AP796</f>
        <v>0</v>
      </c>
      <c r="BJ796" s="27">
        <f>G796*H796</f>
        <v>0</v>
      </c>
      <c r="BK796" s="27"/>
      <c r="BL796" s="27">
        <v>96</v>
      </c>
      <c r="BW796" s="27">
        <v>21</v>
      </c>
    </row>
    <row r="797" spans="1:12" ht="15">
      <c r="A797" s="52"/>
      <c r="B797" s="53"/>
      <c r="C797" s="53"/>
      <c r="D797" s="54" t="s">
        <v>1125</v>
      </c>
      <c r="E797" s="55" t="s">
        <v>902</v>
      </c>
      <c r="F797" s="53"/>
      <c r="G797" s="56">
        <v>7.075</v>
      </c>
      <c r="H797" s="53"/>
      <c r="I797" s="53"/>
      <c r="J797" s="53"/>
      <c r="K797" s="53"/>
      <c r="L797" s="57"/>
    </row>
    <row r="798" spans="1:47" ht="15">
      <c r="A798" s="75" t="s">
        <v>52</v>
      </c>
      <c r="B798" s="76" t="s">
        <v>1215</v>
      </c>
      <c r="C798" s="76" t="s">
        <v>471</v>
      </c>
      <c r="D798" s="185" t="s">
        <v>472</v>
      </c>
      <c r="E798" s="186"/>
      <c r="F798" s="77" t="s">
        <v>4</v>
      </c>
      <c r="G798" s="77" t="s">
        <v>4</v>
      </c>
      <c r="H798" s="77" t="s">
        <v>4</v>
      </c>
      <c r="I798" s="78">
        <f>SUM(I799:I799)</f>
        <v>0</v>
      </c>
      <c r="J798" s="78">
        <f>SUM(J799:J799)</f>
        <v>0</v>
      </c>
      <c r="K798" s="78">
        <f>SUM(K799:K799)</f>
        <v>0</v>
      </c>
      <c r="L798" s="79" t="s">
        <v>52</v>
      </c>
      <c r="AI798" s="9" t="s">
        <v>1215</v>
      </c>
      <c r="AS798" s="1">
        <f>SUM(AJ799:AJ799)</f>
        <v>0</v>
      </c>
      <c r="AT798" s="1">
        <f>SUM(AK799:AK799)</f>
        <v>0</v>
      </c>
      <c r="AU798" s="1">
        <f>SUM(AL799:AL799)</f>
        <v>0</v>
      </c>
    </row>
    <row r="799" spans="1:75" ht="13.5" customHeight="1">
      <c r="A799" s="66" t="s">
        <v>1326</v>
      </c>
      <c r="B799" s="67" t="s">
        <v>1215</v>
      </c>
      <c r="C799" s="67" t="s">
        <v>1128</v>
      </c>
      <c r="D799" s="181" t="s">
        <v>1129</v>
      </c>
      <c r="E799" s="182"/>
      <c r="F799" s="67" t="s">
        <v>109</v>
      </c>
      <c r="G799" s="68">
        <v>2.25</v>
      </c>
      <c r="H799" s="68">
        <v>0</v>
      </c>
      <c r="I799" s="68">
        <f>G799*AO799</f>
        <v>0</v>
      </c>
      <c r="J799" s="68">
        <f>G799*AP799</f>
        <v>0</v>
      </c>
      <c r="K799" s="68">
        <f>G799*H799</f>
        <v>0</v>
      </c>
      <c r="L799" s="69" t="s">
        <v>137</v>
      </c>
      <c r="Z799" s="27">
        <f>IF(AQ799="5",BJ799,0)</f>
        <v>0</v>
      </c>
      <c r="AB799" s="27">
        <f>IF(AQ799="1",BH799,0)</f>
        <v>0</v>
      </c>
      <c r="AC799" s="27">
        <f>IF(AQ799="1",BI799,0)</f>
        <v>0</v>
      </c>
      <c r="AD799" s="27">
        <f>IF(AQ799="7",BH799,0)</f>
        <v>0</v>
      </c>
      <c r="AE799" s="27">
        <f>IF(AQ799="7",BI799,0)</f>
        <v>0</v>
      </c>
      <c r="AF799" s="27">
        <f>IF(AQ799="2",BH799,0)</f>
        <v>0</v>
      </c>
      <c r="AG799" s="27">
        <f>IF(AQ799="2",BI799,0)</f>
        <v>0</v>
      </c>
      <c r="AH799" s="27">
        <f>IF(AQ799="0",BJ799,0)</f>
        <v>0</v>
      </c>
      <c r="AI799" s="9" t="s">
        <v>1215</v>
      </c>
      <c r="AJ799" s="27">
        <f>IF(AN799=0,K799,0)</f>
        <v>0</v>
      </c>
      <c r="AK799" s="27">
        <f>IF(AN799=12,K799,0)</f>
        <v>0</v>
      </c>
      <c r="AL799" s="27">
        <f>IF(AN799=21,K799,0)</f>
        <v>0</v>
      </c>
      <c r="AN799" s="27">
        <v>21</v>
      </c>
      <c r="AO799" s="27">
        <f>H799*0</f>
        <v>0</v>
      </c>
      <c r="AP799" s="27">
        <f>H799*(1-0)</f>
        <v>0</v>
      </c>
      <c r="AQ799" s="29" t="s">
        <v>57</v>
      </c>
      <c r="AV799" s="27">
        <f>AW799+AX799</f>
        <v>0</v>
      </c>
      <c r="AW799" s="27">
        <f>G799*AO799</f>
        <v>0</v>
      </c>
      <c r="AX799" s="27">
        <f>G799*AP799</f>
        <v>0</v>
      </c>
      <c r="AY799" s="29" t="s">
        <v>476</v>
      </c>
      <c r="AZ799" s="29" t="s">
        <v>1319</v>
      </c>
      <c r="BA799" s="9" t="s">
        <v>1219</v>
      </c>
      <c r="BC799" s="27">
        <f>AW799+AX799</f>
        <v>0</v>
      </c>
      <c r="BD799" s="27">
        <f>H799/(100-BE799)*100</f>
        <v>0</v>
      </c>
      <c r="BE799" s="27">
        <v>0</v>
      </c>
      <c r="BF799" s="27">
        <f>799</f>
        <v>799</v>
      </c>
      <c r="BH799" s="27">
        <f>G799*AO799</f>
        <v>0</v>
      </c>
      <c r="BI799" s="27">
        <f>G799*AP799</f>
        <v>0</v>
      </c>
      <c r="BJ799" s="27">
        <f>G799*H799</f>
        <v>0</v>
      </c>
      <c r="BK799" s="27"/>
      <c r="BL799" s="27">
        <v>97</v>
      </c>
      <c r="BW799" s="27">
        <v>21</v>
      </c>
    </row>
    <row r="800" spans="1:12" ht="15">
      <c r="A800" s="52"/>
      <c r="B800" s="53"/>
      <c r="C800" s="53"/>
      <c r="D800" s="54" t="s">
        <v>1130</v>
      </c>
      <c r="E800" s="55" t="s">
        <v>902</v>
      </c>
      <c r="F800" s="53"/>
      <c r="G800" s="56">
        <v>2.25</v>
      </c>
      <c r="H800" s="53"/>
      <c r="I800" s="53"/>
      <c r="J800" s="53"/>
      <c r="K800" s="53"/>
      <c r="L800" s="57"/>
    </row>
    <row r="801" spans="1:47" ht="15">
      <c r="A801" s="93" t="s">
        <v>52</v>
      </c>
      <c r="B801" s="94" t="s">
        <v>1215</v>
      </c>
      <c r="C801" s="94" t="s">
        <v>494</v>
      </c>
      <c r="D801" s="193" t="s">
        <v>495</v>
      </c>
      <c r="E801" s="194"/>
      <c r="F801" s="95" t="s">
        <v>4</v>
      </c>
      <c r="G801" s="95" t="s">
        <v>4</v>
      </c>
      <c r="H801" s="95" t="s">
        <v>4</v>
      </c>
      <c r="I801" s="96">
        <f>SUM(I802:I818)</f>
        <v>0</v>
      </c>
      <c r="J801" s="96">
        <f>SUM(J802:J818)</f>
        <v>0</v>
      </c>
      <c r="K801" s="96">
        <f>SUM(K802:K818)</f>
        <v>0</v>
      </c>
      <c r="L801" s="97" t="s">
        <v>52</v>
      </c>
      <c r="AI801" s="9" t="s">
        <v>1215</v>
      </c>
      <c r="AS801" s="1">
        <f>SUM(AJ802:AJ818)</f>
        <v>0</v>
      </c>
      <c r="AT801" s="1">
        <f>SUM(AK802:AK818)</f>
        <v>0</v>
      </c>
      <c r="AU801" s="1">
        <f>SUM(AL802:AL818)</f>
        <v>0</v>
      </c>
    </row>
    <row r="802" spans="1:75" ht="13.5" customHeight="1">
      <c r="A802" s="2" t="s">
        <v>1327</v>
      </c>
      <c r="B802" s="3" t="s">
        <v>1215</v>
      </c>
      <c r="C802" s="3" t="s">
        <v>497</v>
      </c>
      <c r="D802" s="148" t="s">
        <v>498</v>
      </c>
      <c r="E802" s="143"/>
      <c r="F802" s="3" t="s">
        <v>95</v>
      </c>
      <c r="G802" s="27">
        <v>0.40543</v>
      </c>
      <c r="H802" s="27">
        <v>0</v>
      </c>
      <c r="I802" s="27">
        <f>G802*AO802</f>
        <v>0</v>
      </c>
      <c r="J802" s="27">
        <f>G802*AP802</f>
        <v>0</v>
      </c>
      <c r="K802" s="27">
        <f>G802*H802</f>
        <v>0</v>
      </c>
      <c r="L802" s="28" t="s">
        <v>137</v>
      </c>
      <c r="Z802" s="27">
        <f>IF(AQ802="5",BJ802,0)</f>
        <v>0</v>
      </c>
      <c r="AB802" s="27">
        <f>IF(AQ802="1",BH802,0)</f>
        <v>0</v>
      </c>
      <c r="AC802" s="27">
        <f>IF(AQ802="1",BI802,0)</f>
        <v>0</v>
      </c>
      <c r="AD802" s="27">
        <f>IF(AQ802="7",BH802,0)</f>
        <v>0</v>
      </c>
      <c r="AE802" s="27">
        <f>IF(AQ802="7",BI802,0)</f>
        <v>0</v>
      </c>
      <c r="AF802" s="27">
        <f>IF(AQ802="2",BH802,0)</f>
        <v>0</v>
      </c>
      <c r="AG802" s="27">
        <f>IF(AQ802="2",BI802,0)</f>
        <v>0</v>
      </c>
      <c r="AH802" s="27">
        <f>IF(AQ802="0",BJ802,0)</f>
        <v>0</v>
      </c>
      <c r="AI802" s="9" t="s">
        <v>1215</v>
      </c>
      <c r="AJ802" s="27">
        <f>IF(AN802=0,K802,0)</f>
        <v>0</v>
      </c>
      <c r="AK802" s="27">
        <f>IF(AN802=12,K802,0)</f>
        <v>0</v>
      </c>
      <c r="AL802" s="27">
        <f>IF(AN802=21,K802,0)</f>
        <v>0</v>
      </c>
      <c r="AN802" s="27">
        <v>21</v>
      </c>
      <c r="AO802" s="27">
        <f>H802*0</f>
        <v>0</v>
      </c>
      <c r="AP802" s="27">
        <f>H802*(1-0)</f>
        <v>0</v>
      </c>
      <c r="AQ802" s="29" t="s">
        <v>78</v>
      </c>
      <c r="AV802" s="27">
        <f>AW802+AX802</f>
        <v>0</v>
      </c>
      <c r="AW802" s="27">
        <f>G802*AO802</f>
        <v>0</v>
      </c>
      <c r="AX802" s="27">
        <f>G802*AP802</f>
        <v>0</v>
      </c>
      <c r="AY802" s="29" t="s">
        <v>499</v>
      </c>
      <c r="AZ802" s="29" t="s">
        <v>1319</v>
      </c>
      <c r="BA802" s="9" t="s">
        <v>1219</v>
      </c>
      <c r="BC802" s="27">
        <f>AW802+AX802</f>
        <v>0</v>
      </c>
      <c r="BD802" s="27">
        <f>H802/(100-BE802)*100</f>
        <v>0</v>
      </c>
      <c r="BE802" s="27">
        <v>0</v>
      </c>
      <c r="BF802" s="27">
        <f>802</f>
        <v>802</v>
      </c>
      <c r="BH802" s="27">
        <f>G802*AO802</f>
        <v>0</v>
      </c>
      <c r="BI802" s="27">
        <f>G802*AP802</f>
        <v>0</v>
      </c>
      <c r="BJ802" s="27">
        <f>G802*H802</f>
        <v>0</v>
      </c>
      <c r="BK802" s="27"/>
      <c r="BL802" s="27"/>
      <c r="BW802" s="27">
        <v>21</v>
      </c>
    </row>
    <row r="803" spans="1:12" ht="13.5" customHeight="1">
      <c r="A803" s="98"/>
      <c r="C803" s="99" t="s">
        <v>102</v>
      </c>
      <c r="D803" s="195" t="s">
        <v>500</v>
      </c>
      <c r="E803" s="196"/>
      <c r="F803" s="196"/>
      <c r="G803" s="196"/>
      <c r="H803" s="196"/>
      <c r="I803" s="196"/>
      <c r="J803" s="196"/>
      <c r="K803" s="196"/>
      <c r="L803" s="197"/>
    </row>
    <row r="804" spans="1:75" ht="13.5" customHeight="1">
      <c r="A804" s="41" t="s">
        <v>1328</v>
      </c>
      <c r="B804" s="42" t="s">
        <v>1215</v>
      </c>
      <c r="C804" s="42" t="s">
        <v>502</v>
      </c>
      <c r="D804" s="171" t="s">
        <v>503</v>
      </c>
      <c r="E804" s="172"/>
      <c r="F804" s="42" t="s">
        <v>95</v>
      </c>
      <c r="G804" s="43">
        <v>0.81086</v>
      </c>
      <c r="H804" s="43">
        <v>0</v>
      </c>
      <c r="I804" s="43">
        <f>G804*AO804</f>
        <v>0</v>
      </c>
      <c r="J804" s="43">
        <f>G804*AP804</f>
        <v>0</v>
      </c>
      <c r="K804" s="43">
        <f>G804*H804</f>
        <v>0</v>
      </c>
      <c r="L804" s="44" t="s">
        <v>137</v>
      </c>
      <c r="Z804" s="27">
        <f>IF(AQ804="5",BJ804,0)</f>
        <v>0</v>
      </c>
      <c r="AB804" s="27">
        <f>IF(AQ804="1",BH804,0)</f>
        <v>0</v>
      </c>
      <c r="AC804" s="27">
        <f>IF(AQ804="1",BI804,0)</f>
        <v>0</v>
      </c>
      <c r="AD804" s="27">
        <f>IF(AQ804="7",BH804,0)</f>
        <v>0</v>
      </c>
      <c r="AE804" s="27">
        <f>IF(AQ804="7",BI804,0)</f>
        <v>0</v>
      </c>
      <c r="AF804" s="27">
        <f>IF(AQ804="2",BH804,0)</f>
        <v>0</v>
      </c>
      <c r="AG804" s="27">
        <f>IF(AQ804="2",BI804,0)</f>
        <v>0</v>
      </c>
      <c r="AH804" s="27">
        <f>IF(AQ804="0",BJ804,0)</f>
        <v>0</v>
      </c>
      <c r="AI804" s="9" t="s">
        <v>1215</v>
      </c>
      <c r="AJ804" s="27">
        <f>IF(AN804=0,K804,0)</f>
        <v>0</v>
      </c>
      <c r="AK804" s="27">
        <f>IF(AN804=12,K804,0)</f>
        <v>0</v>
      </c>
      <c r="AL804" s="27">
        <f>IF(AN804=21,K804,0)</f>
        <v>0</v>
      </c>
      <c r="AN804" s="27">
        <v>21</v>
      </c>
      <c r="AO804" s="27">
        <f>H804*0</f>
        <v>0</v>
      </c>
      <c r="AP804" s="27">
        <f>H804*(1-0)</f>
        <v>0</v>
      </c>
      <c r="AQ804" s="29" t="s">
        <v>78</v>
      </c>
      <c r="AV804" s="27">
        <f>AW804+AX804</f>
        <v>0</v>
      </c>
      <c r="AW804" s="27">
        <f>G804*AO804</f>
        <v>0</v>
      </c>
      <c r="AX804" s="27">
        <f>G804*AP804</f>
        <v>0</v>
      </c>
      <c r="AY804" s="29" t="s">
        <v>499</v>
      </c>
      <c r="AZ804" s="29" t="s">
        <v>1319</v>
      </c>
      <c r="BA804" s="9" t="s">
        <v>1219</v>
      </c>
      <c r="BC804" s="27">
        <f>AW804+AX804</f>
        <v>0</v>
      </c>
      <c r="BD804" s="27">
        <f>H804/(100-BE804)*100</f>
        <v>0</v>
      </c>
      <c r="BE804" s="27">
        <v>0</v>
      </c>
      <c r="BF804" s="27">
        <f>804</f>
        <v>804</v>
      </c>
      <c r="BH804" s="27">
        <f>G804*AO804</f>
        <v>0</v>
      </c>
      <c r="BI804" s="27">
        <f>G804*AP804</f>
        <v>0</v>
      </c>
      <c r="BJ804" s="27">
        <f>G804*H804</f>
        <v>0</v>
      </c>
      <c r="BK804" s="27"/>
      <c r="BL804" s="27"/>
      <c r="BW804" s="27">
        <v>21</v>
      </c>
    </row>
    <row r="805" spans="1:12" ht="15">
      <c r="A805" s="52"/>
      <c r="B805" s="53"/>
      <c r="C805" s="53"/>
      <c r="D805" s="54" t="s">
        <v>1329</v>
      </c>
      <c r="E805" s="55" t="s">
        <v>1140</v>
      </c>
      <c r="F805" s="53"/>
      <c r="G805" s="56">
        <v>0.81086</v>
      </c>
      <c r="H805" s="53"/>
      <c r="I805" s="53"/>
      <c r="J805" s="53"/>
      <c r="K805" s="53"/>
      <c r="L805" s="57"/>
    </row>
    <row r="806" spans="1:75" ht="13.5" customHeight="1">
      <c r="A806" s="66" t="s">
        <v>1330</v>
      </c>
      <c r="B806" s="67" t="s">
        <v>1215</v>
      </c>
      <c r="C806" s="67" t="s">
        <v>507</v>
      </c>
      <c r="D806" s="181" t="s">
        <v>508</v>
      </c>
      <c r="E806" s="182"/>
      <c r="F806" s="67" t="s">
        <v>95</v>
      </c>
      <c r="G806" s="68">
        <v>0.40543</v>
      </c>
      <c r="H806" s="68">
        <v>0</v>
      </c>
      <c r="I806" s="68">
        <f>G806*AO806</f>
        <v>0</v>
      </c>
      <c r="J806" s="68">
        <f>G806*AP806</f>
        <v>0</v>
      </c>
      <c r="K806" s="68">
        <f>G806*H806</f>
        <v>0</v>
      </c>
      <c r="L806" s="69" t="s">
        <v>137</v>
      </c>
      <c r="Z806" s="27">
        <f>IF(AQ806="5",BJ806,0)</f>
        <v>0</v>
      </c>
      <c r="AB806" s="27">
        <f>IF(AQ806="1",BH806,0)</f>
        <v>0</v>
      </c>
      <c r="AC806" s="27">
        <f>IF(AQ806="1",BI806,0)</f>
        <v>0</v>
      </c>
      <c r="AD806" s="27">
        <f>IF(AQ806="7",BH806,0)</f>
        <v>0</v>
      </c>
      <c r="AE806" s="27">
        <f>IF(AQ806="7",BI806,0)</f>
        <v>0</v>
      </c>
      <c r="AF806" s="27">
        <f>IF(AQ806="2",BH806,0)</f>
        <v>0</v>
      </c>
      <c r="AG806" s="27">
        <f>IF(AQ806="2",BI806,0)</f>
        <v>0</v>
      </c>
      <c r="AH806" s="27">
        <f>IF(AQ806="0",BJ806,0)</f>
        <v>0</v>
      </c>
      <c r="AI806" s="9" t="s">
        <v>1215</v>
      </c>
      <c r="AJ806" s="27">
        <f>IF(AN806=0,K806,0)</f>
        <v>0</v>
      </c>
      <c r="AK806" s="27">
        <f>IF(AN806=12,K806,0)</f>
        <v>0</v>
      </c>
      <c r="AL806" s="27">
        <f>IF(AN806=21,K806,0)</f>
        <v>0</v>
      </c>
      <c r="AN806" s="27">
        <v>21</v>
      </c>
      <c r="AO806" s="27">
        <f>H806*0</f>
        <v>0</v>
      </c>
      <c r="AP806" s="27">
        <f>H806*(1-0)</f>
        <v>0</v>
      </c>
      <c r="AQ806" s="29" t="s">
        <v>78</v>
      </c>
      <c r="AV806" s="27">
        <f>AW806+AX806</f>
        <v>0</v>
      </c>
      <c r="AW806" s="27">
        <f>G806*AO806</f>
        <v>0</v>
      </c>
      <c r="AX806" s="27">
        <f>G806*AP806</f>
        <v>0</v>
      </c>
      <c r="AY806" s="29" t="s">
        <v>499</v>
      </c>
      <c r="AZ806" s="29" t="s">
        <v>1319</v>
      </c>
      <c r="BA806" s="9" t="s">
        <v>1219</v>
      </c>
      <c r="BC806" s="27">
        <f>AW806+AX806</f>
        <v>0</v>
      </c>
      <c r="BD806" s="27">
        <f>H806/(100-BE806)*100</f>
        <v>0</v>
      </c>
      <c r="BE806" s="27">
        <v>0</v>
      </c>
      <c r="BF806" s="27">
        <f>806</f>
        <v>806</v>
      </c>
      <c r="BH806" s="27">
        <f>G806*AO806</f>
        <v>0</v>
      </c>
      <c r="BI806" s="27">
        <f>G806*AP806</f>
        <v>0</v>
      </c>
      <c r="BJ806" s="27">
        <f>G806*H806</f>
        <v>0</v>
      </c>
      <c r="BK806" s="27"/>
      <c r="BL806" s="27"/>
      <c r="BW806" s="27">
        <v>21</v>
      </c>
    </row>
    <row r="807" spans="1:12" ht="15">
      <c r="A807" s="52"/>
      <c r="B807" s="53"/>
      <c r="C807" s="53"/>
      <c r="D807" s="54" t="s">
        <v>1331</v>
      </c>
      <c r="E807" s="55" t="s">
        <v>52</v>
      </c>
      <c r="F807" s="53"/>
      <c r="G807" s="56">
        <v>0.40543</v>
      </c>
      <c r="H807" s="53"/>
      <c r="I807" s="53"/>
      <c r="J807" s="53"/>
      <c r="K807" s="53"/>
      <c r="L807" s="57"/>
    </row>
    <row r="808" spans="1:75" ht="13.5" customHeight="1">
      <c r="A808" s="66" t="s">
        <v>1332</v>
      </c>
      <c r="B808" s="67" t="s">
        <v>1215</v>
      </c>
      <c r="C808" s="67" t="s">
        <v>511</v>
      </c>
      <c r="D808" s="181" t="s">
        <v>512</v>
      </c>
      <c r="E808" s="182"/>
      <c r="F808" s="67" t="s">
        <v>95</v>
      </c>
      <c r="G808" s="68">
        <v>5.27059</v>
      </c>
      <c r="H808" s="68">
        <v>0</v>
      </c>
      <c r="I808" s="68">
        <f>G808*AO808</f>
        <v>0</v>
      </c>
      <c r="J808" s="68">
        <f>G808*AP808</f>
        <v>0</v>
      </c>
      <c r="K808" s="68">
        <f>G808*H808</f>
        <v>0</v>
      </c>
      <c r="L808" s="69" t="s">
        <v>137</v>
      </c>
      <c r="Z808" s="27">
        <f>IF(AQ808="5",BJ808,0)</f>
        <v>0</v>
      </c>
      <c r="AB808" s="27">
        <f>IF(AQ808="1",BH808,0)</f>
        <v>0</v>
      </c>
      <c r="AC808" s="27">
        <f>IF(AQ808="1",BI808,0)</f>
        <v>0</v>
      </c>
      <c r="AD808" s="27">
        <f>IF(AQ808="7",BH808,0)</f>
        <v>0</v>
      </c>
      <c r="AE808" s="27">
        <f>IF(AQ808="7",BI808,0)</f>
        <v>0</v>
      </c>
      <c r="AF808" s="27">
        <f>IF(AQ808="2",BH808,0)</f>
        <v>0</v>
      </c>
      <c r="AG808" s="27">
        <f>IF(AQ808="2",BI808,0)</f>
        <v>0</v>
      </c>
      <c r="AH808" s="27">
        <f>IF(AQ808="0",BJ808,0)</f>
        <v>0</v>
      </c>
      <c r="AI808" s="9" t="s">
        <v>1215</v>
      </c>
      <c r="AJ808" s="27">
        <f>IF(AN808=0,K808,0)</f>
        <v>0</v>
      </c>
      <c r="AK808" s="27">
        <f>IF(AN808=12,K808,0)</f>
        <v>0</v>
      </c>
      <c r="AL808" s="27">
        <f>IF(AN808=21,K808,0)</f>
        <v>0</v>
      </c>
      <c r="AN808" s="27">
        <v>21</v>
      </c>
      <c r="AO808" s="27">
        <f>H808*0</f>
        <v>0</v>
      </c>
      <c r="AP808" s="27">
        <f>H808*(1-0)</f>
        <v>0</v>
      </c>
      <c r="AQ808" s="29" t="s">
        <v>78</v>
      </c>
      <c r="AV808" s="27">
        <f>AW808+AX808</f>
        <v>0</v>
      </c>
      <c r="AW808" s="27">
        <f>G808*AO808</f>
        <v>0</v>
      </c>
      <c r="AX808" s="27">
        <f>G808*AP808</f>
        <v>0</v>
      </c>
      <c r="AY808" s="29" t="s">
        <v>499</v>
      </c>
      <c r="AZ808" s="29" t="s">
        <v>1319</v>
      </c>
      <c r="BA808" s="9" t="s">
        <v>1219</v>
      </c>
      <c r="BC808" s="27">
        <f>AW808+AX808</f>
        <v>0</v>
      </c>
      <c r="BD808" s="27">
        <f>H808/(100-BE808)*100</f>
        <v>0</v>
      </c>
      <c r="BE808" s="27">
        <v>0</v>
      </c>
      <c r="BF808" s="27">
        <f>808</f>
        <v>808</v>
      </c>
      <c r="BH808" s="27">
        <f>G808*AO808</f>
        <v>0</v>
      </c>
      <c r="BI808" s="27">
        <f>G808*AP808</f>
        <v>0</v>
      </c>
      <c r="BJ808" s="27">
        <f>G808*H808</f>
        <v>0</v>
      </c>
      <c r="BK808" s="27"/>
      <c r="BL808" s="27"/>
      <c r="BW808" s="27">
        <v>21</v>
      </c>
    </row>
    <row r="809" spans="1:12" ht="15">
      <c r="A809" s="52"/>
      <c r="B809" s="53"/>
      <c r="C809" s="53"/>
      <c r="D809" s="54" t="s">
        <v>1333</v>
      </c>
      <c r="E809" s="55" t="s">
        <v>514</v>
      </c>
      <c r="F809" s="53"/>
      <c r="G809" s="56">
        <v>5.27059</v>
      </c>
      <c r="H809" s="53"/>
      <c r="I809" s="53"/>
      <c r="J809" s="53"/>
      <c r="K809" s="53"/>
      <c r="L809" s="57"/>
    </row>
    <row r="810" spans="1:75" ht="13.5" customHeight="1">
      <c r="A810" s="66" t="s">
        <v>1334</v>
      </c>
      <c r="B810" s="67" t="s">
        <v>1215</v>
      </c>
      <c r="C810" s="67" t="s">
        <v>516</v>
      </c>
      <c r="D810" s="181" t="s">
        <v>517</v>
      </c>
      <c r="E810" s="182"/>
      <c r="F810" s="67" t="s">
        <v>95</v>
      </c>
      <c r="G810" s="68">
        <v>0.40543</v>
      </c>
      <c r="H810" s="68">
        <v>0</v>
      </c>
      <c r="I810" s="68">
        <f>G810*AO810</f>
        <v>0</v>
      </c>
      <c r="J810" s="68">
        <f>G810*AP810</f>
        <v>0</v>
      </c>
      <c r="K810" s="68">
        <f>G810*H810</f>
        <v>0</v>
      </c>
      <c r="L810" s="69" t="s">
        <v>137</v>
      </c>
      <c r="Z810" s="27">
        <f>IF(AQ810="5",BJ810,0)</f>
        <v>0</v>
      </c>
      <c r="AB810" s="27">
        <f>IF(AQ810="1",BH810,0)</f>
        <v>0</v>
      </c>
      <c r="AC810" s="27">
        <f>IF(AQ810="1",BI810,0)</f>
        <v>0</v>
      </c>
      <c r="AD810" s="27">
        <f>IF(AQ810="7",BH810,0)</f>
        <v>0</v>
      </c>
      <c r="AE810" s="27">
        <f>IF(AQ810="7",BI810,0)</f>
        <v>0</v>
      </c>
      <c r="AF810" s="27">
        <f>IF(AQ810="2",BH810,0)</f>
        <v>0</v>
      </c>
      <c r="AG810" s="27">
        <f>IF(AQ810="2",BI810,0)</f>
        <v>0</v>
      </c>
      <c r="AH810" s="27">
        <f>IF(AQ810="0",BJ810,0)</f>
        <v>0</v>
      </c>
      <c r="AI810" s="9" t="s">
        <v>1215</v>
      </c>
      <c r="AJ810" s="27">
        <f>IF(AN810=0,K810,0)</f>
        <v>0</v>
      </c>
      <c r="AK810" s="27">
        <f>IF(AN810=12,K810,0)</f>
        <v>0</v>
      </c>
      <c r="AL810" s="27">
        <f>IF(AN810=21,K810,0)</f>
        <v>0</v>
      </c>
      <c r="AN810" s="27">
        <v>21</v>
      </c>
      <c r="AO810" s="27">
        <f>H810*0</f>
        <v>0</v>
      </c>
      <c r="AP810" s="27">
        <f>H810*(1-0)</f>
        <v>0</v>
      </c>
      <c r="AQ810" s="29" t="s">
        <v>78</v>
      </c>
      <c r="AV810" s="27">
        <f>AW810+AX810</f>
        <v>0</v>
      </c>
      <c r="AW810" s="27">
        <f>G810*AO810</f>
        <v>0</v>
      </c>
      <c r="AX810" s="27">
        <f>G810*AP810</f>
        <v>0</v>
      </c>
      <c r="AY810" s="29" t="s">
        <v>499</v>
      </c>
      <c r="AZ810" s="29" t="s">
        <v>1319</v>
      </c>
      <c r="BA810" s="9" t="s">
        <v>1219</v>
      </c>
      <c r="BC810" s="27">
        <f>AW810+AX810</f>
        <v>0</v>
      </c>
      <c r="BD810" s="27">
        <f>H810/(100-BE810)*100</f>
        <v>0</v>
      </c>
      <c r="BE810" s="27">
        <v>0</v>
      </c>
      <c r="BF810" s="27">
        <f>810</f>
        <v>810</v>
      </c>
      <c r="BH810" s="27">
        <f>G810*AO810</f>
        <v>0</v>
      </c>
      <c r="BI810" s="27">
        <f>G810*AP810</f>
        <v>0</v>
      </c>
      <c r="BJ810" s="27">
        <f>G810*H810</f>
        <v>0</v>
      </c>
      <c r="BK810" s="27"/>
      <c r="BL810" s="27"/>
      <c r="BW810" s="27">
        <v>21</v>
      </c>
    </row>
    <row r="811" spans="1:12" ht="15">
      <c r="A811" s="52"/>
      <c r="B811" s="53"/>
      <c r="C811" s="53"/>
      <c r="D811" s="54" t="s">
        <v>1331</v>
      </c>
      <c r="E811" s="55" t="s">
        <v>52</v>
      </c>
      <c r="F811" s="53"/>
      <c r="G811" s="56">
        <v>0.40543</v>
      </c>
      <c r="H811" s="53"/>
      <c r="I811" s="53"/>
      <c r="J811" s="53"/>
      <c r="K811" s="53"/>
      <c r="L811" s="57"/>
    </row>
    <row r="812" spans="1:75" ht="13.5" customHeight="1">
      <c r="A812" s="66" t="s">
        <v>1335</v>
      </c>
      <c r="B812" s="67" t="s">
        <v>1215</v>
      </c>
      <c r="C812" s="67" t="s">
        <v>519</v>
      </c>
      <c r="D812" s="181" t="s">
        <v>520</v>
      </c>
      <c r="E812" s="182"/>
      <c r="F812" s="67" t="s">
        <v>95</v>
      </c>
      <c r="G812" s="68">
        <v>0.40543</v>
      </c>
      <c r="H812" s="68">
        <v>0</v>
      </c>
      <c r="I812" s="68">
        <f>G812*AO812</f>
        <v>0</v>
      </c>
      <c r="J812" s="68">
        <f>G812*AP812</f>
        <v>0</v>
      </c>
      <c r="K812" s="68">
        <f>G812*H812</f>
        <v>0</v>
      </c>
      <c r="L812" s="69" t="s">
        <v>137</v>
      </c>
      <c r="Z812" s="27">
        <f>IF(AQ812="5",BJ812,0)</f>
        <v>0</v>
      </c>
      <c r="AB812" s="27">
        <f>IF(AQ812="1",BH812,0)</f>
        <v>0</v>
      </c>
      <c r="AC812" s="27">
        <f>IF(AQ812="1",BI812,0)</f>
        <v>0</v>
      </c>
      <c r="AD812" s="27">
        <f>IF(AQ812="7",BH812,0)</f>
        <v>0</v>
      </c>
      <c r="AE812" s="27">
        <f>IF(AQ812="7",BI812,0)</f>
        <v>0</v>
      </c>
      <c r="AF812" s="27">
        <f>IF(AQ812="2",BH812,0)</f>
        <v>0</v>
      </c>
      <c r="AG812" s="27">
        <f>IF(AQ812="2",BI812,0)</f>
        <v>0</v>
      </c>
      <c r="AH812" s="27">
        <f>IF(AQ812="0",BJ812,0)</f>
        <v>0</v>
      </c>
      <c r="AI812" s="9" t="s">
        <v>1215</v>
      </c>
      <c r="AJ812" s="27">
        <f>IF(AN812=0,K812,0)</f>
        <v>0</v>
      </c>
      <c r="AK812" s="27">
        <f>IF(AN812=12,K812,0)</f>
        <v>0</v>
      </c>
      <c r="AL812" s="27">
        <f>IF(AN812=21,K812,0)</f>
        <v>0</v>
      </c>
      <c r="AN812" s="27">
        <v>21</v>
      </c>
      <c r="AO812" s="27">
        <f>H812*0</f>
        <v>0</v>
      </c>
      <c r="AP812" s="27">
        <f>H812*(1-0)</f>
        <v>0</v>
      </c>
      <c r="AQ812" s="29" t="s">
        <v>78</v>
      </c>
      <c r="AV812" s="27">
        <f>AW812+AX812</f>
        <v>0</v>
      </c>
      <c r="AW812" s="27">
        <f>G812*AO812</f>
        <v>0</v>
      </c>
      <c r="AX812" s="27">
        <f>G812*AP812</f>
        <v>0</v>
      </c>
      <c r="AY812" s="29" t="s">
        <v>499</v>
      </c>
      <c r="AZ812" s="29" t="s">
        <v>1319</v>
      </c>
      <c r="BA812" s="9" t="s">
        <v>1219</v>
      </c>
      <c r="BC812" s="27">
        <f>AW812+AX812</f>
        <v>0</v>
      </c>
      <c r="BD812" s="27">
        <f>H812/(100-BE812)*100</f>
        <v>0</v>
      </c>
      <c r="BE812" s="27">
        <v>0</v>
      </c>
      <c r="BF812" s="27">
        <f>812</f>
        <v>812</v>
      </c>
      <c r="BH812" s="27">
        <f>G812*AO812</f>
        <v>0</v>
      </c>
      <c r="BI812" s="27">
        <f>G812*AP812</f>
        <v>0</v>
      </c>
      <c r="BJ812" s="27">
        <f>G812*H812</f>
        <v>0</v>
      </c>
      <c r="BK812" s="27"/>
      <c r="BL812" s="27"/>
      <c r="BW812" s="27">
        <v>21</v>
      </c>
    </row>
    <row r="813" spans="1:12" ht="13.5" customHeight="1">
      <c r="A813" s="45"/>
      <c r="D813" s="173" t="s">
        <v>521</v>
      </c>
      <c r="E813" s="174"/>
      <c r="F813" s="174"/>
      <c r="G813" s="174"/>
      <c r="H813" s="174"/>
      <c r="I813" s="174"/>
      <c r="J813" s="174"/>
      <c r="K813" s="174"/>
      <c r="L813" s="175"/>
    </row>
    <row r="814" spans="1:12" ht="15">
      <c r="A814" s="46"/>
      <c r="B814" s="47"/>
      <c r="C814" s="47"/>
      <c r="D814" s="48" t="s">
        <v>1331</v>
      </c>
      <c r="E814" s="49" t="s">
        <v>52</v>
      </c>
      <c r="F814" s="47"/>
      <c r="G814" s="50">
        <v>0.40543</v>
      </c>
      <c r="H814" s="47"/>
      <c r="I814" s="47"/>
      <c r="J814" s="47"/>
      <c r="K814" s="47"/>
      <c r="L814" s="51"/>
    </row>
    <row r="815" spans="1:75" ht="13.5" customHeight="1">
      <c r="A815" s="66" t="s">
        <v>1336</v>
      </c>
      <c r="B815" s="67" t="s">
        <v>1215</v>
      </c>
      <c r="C815" s="67" t="s">
        <v>523</v>
      </c>
      <c r="D815" s="181" t="s">
        <v>524</v>
      </c>
      <c r="E815" s="182"/>
      <c r="F815" s="67" t="s">
        <v>95</v>
      </c>
      <c r="G815" s="68">
        <v>8.1086</v>
      </c>
      <c r="H815" s="68">
        <v>0</v>
      </c>
      <c r="I815" s="68">
        <f>G815*AO815</f>
        <v>0</v>
      </c>
      <c r="J815" s="68">
        <f>G815*AP815</f>
        <v>0</v>
      </c>
      <c r="K815" s="68">
        <f>G815*H815</f>
        <v>0</v>
      </c>
      <c r="L815" s="69" t="s">
        <v>137</v>
      </c>
      <c r="Z815" s="27">
        <f>IF(AQ815="5",BJ815,0)</f>
        <v>0</v>
      </c>
      <c r="AB815" s="27">
        <f>IF(AQ815="1",BH815,0)</f>
        <v>0</v>
      </c>
      <c r="AC815" s="27">
        <f>IF(AQ815="1",BI815,0)</f>
        <v>0</v>
      </c>
      <c r="AD815" s="27">
        <f>IF(AQ815="7",BH815,0)</f>
        <v>0</v>
      </c>
      <c r="AE815" s="27">
        <f>IF(AQ815="7",BI815,0)</f>
        <v>0</v>
      </c>
      <c r="AF815" s="27">
        <f>IF(AQ815="2",BH815,0)</f>
        <v>0</v>
      </c>
      <c r="AG815" s="27">
        <f>IF(AQ815="2",BI815,0)</f>
        <v>0</v>
      </c>
      <c r="AH815" s="27">
        <f>IF(AQ815="0",BJ815,0)</f>
        <v>0</v>
      </c>
      <c r="AI815" s="9" t="s">
        <v>1215</v>
      </c>
      <c r="AJ815" s="27">
        <f>IF(AN815=0,K815,0)</f>
        <v>0</v>
      </c>
      <c r="AK815" s="27">
        <f>IF(AN815=12,K815,0)</f>
        <v>0</v>
      </c>
      <c r="AL815" s="27">
        <f>IF(AN815=21,K815,0)</f>
        <v>0</v>
      </c>
      <c r="AN815" s="27">
        <v>21</v>
      </c>
      <c r="AO815" s="27">
        <f>H815*0</f>
        <v>0</v>
      </c>
      <c r="AP815" s="27">
        <f>H815*(1-0)</f>
        <v>0</v>
      </c>
      <c r="AQ815" s="29" t="s">
        <v>78</v>
      </c>
      <c r="AV815" s="27">
        <f>AW815+AX815</f>
        <v>0</v>
      </c>
      <c r="AW815" s="27">
        <f>G815*AO815</f>
        <v>0</v>
      </c>
      <c r="AX815" s="27">
        <f>G815*AP815</f>
        <v>0</v>
      </c>
      <c r="AY815" s="29" t="s">
        <v>499</v>
      </c>
      <c r="AZ815" s="29" t="s">
        <v>1319</v>
      </c>
      <c r="BA815" s="9" t="s">
        <v>1219</v>
      </c>
      <c r="BC815" s="27">
        <f>AW815+AX815</f>
        <v>0</v>
      </c>
      <c r="BD815" s="27">
        <f>H815/(100-BE815)*100</f>
        <v>0</v>
      </c>
      <c r="BE815" s="27">
        <v>0</v>
      </c>
      <c r="BF815" s="27">
        <f>815</f>
        <v>815</v>
      </c>
      <c r="BH815" s="27">
        <f>G815*AO815</f>
        <v>0</v>
      </c>
      <c r="BI815" s="27">
        <f>G815*AP815</f>
        <v>0</v>
      </c>
      <c r="BJ815" s="27">
        <f>G815*H815</f>
        <v>0</v>
      </c>
      <c r="BK815" s="27"/>
      <c r="BL815" s="27"/>
      <c r="BW815" s="27">
        <v>21</v>
      </c>
    </row>
    <row r="816" spans="1:12" ht="13.5" customHeight="1">
      <c r="A816" s="45"/>
      <c r="D816" s="173" t="s">
        <v>521</v>
      </c>
      <c r="E816" s="174"/>
      <c r="F816" s="174"/>
      <c r="G816" s="174"/>
      <c r="H816" s="174"/>
      <c r="I816" s="174"/>
      <c r="J816" s="174"/>
      <c r="K816" s="174"/>
      <c r="L816" s="175"/>
    </row>
    <row r="817" spans="1:12" ht="15">
      <c r="A817" s="46"/>
      <c r="B817" s="47"/>
      <c r="C817" s="47"/>
      <c r="D817" s="48" t="s">
        <v>1337</v>
      </c>
      <c r="E817" s="49" t="s">
        <v>526</v>
      </c>
      <c r="F817" s="47"/>
      <c r="G817" s="50">
        <v>8.1086</v>
      </c>
      <c r="H817" s="47"/>
      <c r="I817" s="47"/>
      <c r="J817" s="47"/>
      <c r="K817" s="47"/>
      <c r="L817" s="51"/>
    </row>
    <row r="818" spans="1:75" ht="13.5" customHeight="1">
      <c r="A818" s="66" t="s">
        <v>1338</v>
      </c>
      <c r="B818" s="67" t="s">
        <v>1215</v>
      </c>
      <c r="C818" s="67" t="s">
        <v>1153</v>
      </c>
      <c r="D818" s="181" t="s">
        <v>1154</v>
      </c>
      <c r="E818" s="182"/>
      <c r="F818" s="67" t="s">
        <v>95</v>
      </c>
      <c r="G818" s="68">
        <v>0.40543</v>
      </c>
      <c r="H818" s="68">
        <v>0</v>
      </c>
      <c r="I818" s="68">
        <f>G818*AO818</f>
        <v>0</v>
      </c>
      <c r="J818" s="68">
        <f>G818*AP818</f>
        <v>0</v>
      </c>
      <c r="K818" s="68">
        <f>G818*H818</f>
        <v>0</v>
      </c>
      <c r="L818" s="69" t="s">
        <v>137</v>
      </c>
      <c r="Z818" s="27">
        <f>IF(AQ818="5",BJ818,0)</f>
        <v>0</v>
      </c>
      <c r="AB818" s="27">
        <f>IF(AQ818="1",BH818,0)</f>
        <v>0</v>
      </c>
      <c r="AC818" s="27">
        <f>IF(AQ818="1",BI818,0)</f>
        <v>0</v>
      </c>
      <c r="AD818" s="27">
        <f>IF(AQ818="7",BH818,0)</f>
        <v>0</v>
      </c>
      <c r="AE818" s="27">
        <f>IF(AQ818="7",BI818,0)</f>
        <v>0</v>
      </c>
      <c r="AF818" s="27">
        <f>IF(AQ818="2",BH818,0)</f>
        <v>0</v>
      </c>
      <c r="AG818" s="27">
        <f>IF(AQ818="2",BI818,0)</f>
        <v>0</v>
      </c>
      <c r="AH818" s="27">
        <f>IF(AQ818="0",BJ818,0)</f>
        <v>0</v>
      </c>
      <c r="AI818" s="9" t="s">
        <v>1215</v>
      </c>
      <c r="AJ818" s="27">
        <f>IF(AN818=0,K818,0)</f>
        <v>0</v>
      </c>
      <c r="AK818" s="27">
        <f>IF(AN818=12,K818,0)</f>
        <v>0</v>
      </c>
      <c r="AL818" s="27">
        <f>IF(AN818=21,K818,0)</f>
        <v>0</v>
      </c>
      <c r="AN818" s="27">
        <v>21</v>
      </c>
      <c r="AO818" s="27">
        <f>H818*0</f>
        <v>0</v>
      </c>
      <c r="AP818" s="27">
        <f>H818*(1-0)</f>
        <v>0</v>
      </c>
      <c r="AQ818" s="29" t="s">
        <v>78</v>
      </c>
      <c r="AV818" s="27">
        <f>AW818+AX818</f>
        <v>0</v>
      </c>
      <c r="AW818" s="27">
        <f>G818*AO818</f>
        <v>0</v>
      </c>
      <c r="AX818" s="27">
        <f>G818*AP818</f>
        <v>0</v>
      </c>
      <c r="AY818" s="29" t="s">
        <v>499</v>
      </c>
      <c r="AZ818" s="29" t="s">
        <v>1319</v>
      </c>
      <c r="BA818" s="9" t="s">
        <v>1219</v>
      </c>
      <c r="BC818" s="27">
        <f>AW818+AX818</f>
        <v>0</v>
      </c>
      <c r="BD818" s="27">
        <f>H818/(100-BE818)*100</f>
        <v>0</v>
      </c>
      <c r="BE818" s="27">
        <v>0</v>
      </c>
      <c r="BF818" s="27">
        <f>818</f>
        <v>818</v>
      </c>
      <c r="BH818" s="27">
        <f>G818*AO818</f>
        <v>0</v>
      </c>
      <c r="BI818" s="27">
        <f>G818*AP818</f>
        <v>0</v>
      </c>
      <c r="BJ818" s="27">
        <f>G818*H818</f>
        <v>0</v>
      </c>
      <c r="BK818" s="27"/>
      <c r="BL818" s="27"/>
      <c r="BW818" s="27">
        <v>21</v>
      </c>
    </row>
    <row r="819" spans="1:12" ht="15">
      <c r="A819" s="52"/>
      <c r="B819" s="53"/>
      <c r="C819" s="53"/>
      <c r="D819" s="54" t="s">
        <v>1331</v>
      </c>
      <c r="E819" s="55" t="s">
        <v>52</v>
      </c>
      <c r="F819" s="53"/>
      <c r="G819" s="56">
        <v>0.40543</v>
      </c>
      <c r="H819" s="53"/>
      <c r="I819" s="53"/>
      <c r="J819" s="53"/>
      <c r="K819" s="53"/>
      <c r="L819" s="57"/>
    </row>
    <row r="820" spans="1:12" ht="15">
      <c r="A820" s="93" t="s">
        <v>52</v>
      </c>
      <c r="B820" s="94" t="s">
        <v>1339</v>
      </c>
      <c r="C820" s="94" t="s">
        <v>52</v>
      </c>
      <c r="D820" s="193" t="s">
        <v>1340</v>
      </c>
      <c r="E820" s="194"/>
      <c r="F820" s="95" t="s">
        <v>4</v>
      </c>
      <c r="G820" s="95" t="s">
        <v>4</v>
      </c>
      <c r="H820" s="95" t="s">
        <v>4</v>
      </c>
      <c r="I820" s="96">
        <f>I821+I828+I846+I859+I861+I863+I865</f>
        <v>0</v>
      </c>
      <c r="J820" s="96">
        <f>J821+J828+J846+J859+J861+J863+J865</f>
        <v>0</v>
      </c>
      <c r="K820" s="96">
        <f>K821+K828+K846+K859+K861+K863+K865</f>
        <v>0</v>
      </c>
      <c r="L820" s="97" t="s">
        <v>52</v>
      </c>
    </row>
    <row r="821" spans="1:47" ht="15">
      <c r="A821" s="23" t="s">
        <v>52</v>
      </c>
      <c r="B821" s="24" t="s">
        <v>1339</v>
      </c>
      <c r="C821" s="24" t="s">
        <v>200</v>
      </c>
      <c r="D821" s="164" t="s">
        <v>201</v>
      </c>
      <c r="E821" s="165"/>
      <c r="F821" s="25" t="s">
        <v>4</v>
      </c>
      <c r="G821" s="25" t="s">
        <v>4</v>
      </c>
      <c r="H821" s="25" t="s">
        <v>4</v>
      </c>
      <c r="I821" s="1">
        <f>SUM(I822:I827)</f>
        <v>0</v>
      </c>
      <c r="J821" s="1">
        <f>SUM(J822:J827)</f>
        <v>0</v>
      </c>
      <c r="K821" s="1">
        <f>SUM(K822:K827)</f>
        <v>0</v>
      </c>
      <c r="L821" s="26" t="s">
        <v>52</v>
      </c>
      <c r="AI821" s="9" t="s">
        <v>1339</v>
      </c>
      <c r="AS821" s="1">
        <f>SUM(AJ822:AJ827)</f>
        <v>0</v>
      </c>
      <c r="AT821" s="1">
        <f>SUM(AK822:AK827)</f>
        <v>0</v>
      </c>
      <c r="AU821" s="1">
        <f>SUM(AL822:AL827)</f>
        <v>0</v>
      </c>
    </row>
    <row r="822" spans="1:75" ht="13.5" customHeight="1">
      <c r="A822" s="2" t="s">
        <v>1341</v>
      </c>
      <c r="B822" s="3" t="s">
        <v>1339</v>
      </c>
      <c r="C822" s="3" t="s">
        <v>661</v>
      </c>
      <c r="D822" s="148" t="s">
        <v>662</v>
      </c>
      <c r="E822" s="143"/>
      <c r="F822" s="3" t="s">
        <v>126</v>
      </c>
      <c r="G822" s="27">
        <v>1</v>
      </c>
      <c r="H822" s="27">
        <v>0</v>
      </c>
      <c r="I822" s="27">
        <f aca="true" t="shared" si="192" ref="I822:I827">G822*AO822</f>
        <v>0</v>
      </c>
      <c r="J822" s="27">
        <f aca="true" t="shared" si="193" ref="J822:J827">G822*AP822</f>
        <v>0</v>
      </c>
      <c r="K822" s="27">
        <f aca="true" t="shared" si="194" ref="K822:K827">G822*H822</f>
        <v>0</v>
      </c>
      <c r="L822" s="28" t="s">
        <v>52</v>
      </c>
      <c r="Z822" s="27">
        <f aca="true" t="shared" si="195" ref="Z822:Z827">IF(AQ822="5",BJ822,0)</f>
        <v>0</v>
      </c>
      <c r="AB822" s="27">
        <f aca="true" t="shared" si="196" ref="AB822:AB827">IF(AQ822="1",BH822,0)</f>
        <v>0</v>
      </c>
      <c r="AC822" s="27">
        <f aca="true" t="shared" si="197" ref="AC822:AC827">IF(AQ822="1",BI822,0)</f>
        <v>0</v>
      </c>
      <c r="AD822" s="27">
        <f aca="true" t="shared" si="198" ref="AD822:AD827">IF(AQ822="7",BH822,0)</f>
        <v>0</v>
      </c>
      <c r="AE822" s="27">
        <f aca="true" t="shared" si="199" ref="AE822:AE827">IF(AQ822="7",BI822,0)</f>
        <v>0</v>
      </c>
      <c r="AF822" s="27">
        <f aca="true" t="shared" si="200" ref="AF822:AF827">IF(AQ822="2",BH822,0)</f>
        <v>0</v>
      </c>
      <c r="AG822" s="27">
        <f aca="true" t="shared" si="201" ref="AG822:AG827">IF(AQ822="2",BI822,0)</f>
        <v>0</v>
      </c>
      <c r="AH822" s="27">
        <f aca="true" t="shared" si="202" ref="AH822:AH827">IF(AQ822="0",BJ822,0)</f>
        <v>0</v>
      </c>
      <c r="AI822" s="9" t="s">
        <v>1339</v>
      </c>
      <c r="AJ822" s="27">
        <f aca="true" t="shared" si="203" ref="AJ822:AJ827">IF(AN822=0,K822,0)</f>
        <v>0</v>
      </c>
      <c r="AK822" s="27">
        <f aca="true" t="shared" si="204" ref="AK822:AK827">IF(AN822=12,K822,0)</f>
        <v>0</v>
      </c>
      <c r="AL822" s="27">
        <f aca="true" t="shared" si="205" ref="AL822:AL827">IF(AN822=21,K822,0)</f>
        <v>0</v>
      </c>
      <c r="AN822" s="27">
        <v>21</v>
      </c>
      <c r="AO822" s="27">
        <f aca="true" t="shared" si="206" ref="AO822:AO827">H822*0</f>
        <v>0</v>
      </c>
      <c r="AP822" s="27">
        <f aca="true" t="shared" si="207" ref="AP822:AP827">H822*(1-0)</f>
        <v>0</v>
      </c>
      <c r="AQ822" s="29" t="s">
        <v>84</v>
      </c>
      <c r="AV822" s="27">
        <f aca="true" t="shared" si="208" ref="AV822:AV827">AW822+AX822</f>
        <v>0</v>
      </c>
      <c r="AW822" s="27">
        <f aca="true" t="shared" si="209" ref="AW822:AW827">G822*AO822</f>
        <v>0</v>
      </c>
      <c r="AX822" s="27">
        <f aca="true" t="shared" si="210" ref="AX822:AX827">G822*AP822</f>
        <v>0</v>
      </c>
      <c r="AY822" s="29" t="s">
        <v>205</v>
      </c>
      <c r="AZ822" s="29" t="s">
        <v>1342</v>
      </c>
      <c r="BA822" s="9" t="s">
        <v>1343</v>
      </c>
      <c r="BC822" s="27">
        <f aca="true" t="shared" si="211" ref="BC822:BC827">AW822+AX822</f>
        <v>0</v>
      </c>
      <c r="BD822" s="27">
        <f aca="true" t="shared" si="212" ref="BD822:BD827">H822/(100-BE822)*100</f>
        <v>0</v>
      </c>
      <c r="BE822" s="27">
        <v>0</v>
      </c>
      <c r="BF822" s="27">
        <f>822</f>
        <v>822</v>
      </c>
      <c r="BH822" s="27">
        <f aca="true" t="shared" si="213" ref="BH822:BH827">G822*AO822</f>
        <v>0</v>
      </c>
      <c r="BI822" s="27">
        <f aca="true" t="shared" si="214" ref="BI822:BI827">G822*AP822</f>
        <v>0</v>
      </c>
      <c r="BJ822" s="27">
        <f aca="true" t="shared" si="215" ref="BJ822:BJ827">G822*H822</f>
        <v>0</v>
      </c>
      <c r="BK822" s="27"/>
      <c r="BL822" s="27">
        <v>721</v>
      </c>
      <c r="BW822" s="27">
        <v>21</v>
      </c>
    </row>
    <row r="823" spans="1:75" ht="13.5" customHeight="1">
      <c r="A823" s="2" t="s">
        <v>1344</v>
      </c>
      <c r="B823" s="3" t="s">
        <v>1339</v>
      </c>
      <c r="C823" s="3" t="s">
        <v>667</v>
      </c>
      <c r="D823" s="148" t="s">
        <v>668</v>
      </c>
      <c r="E823" s="143"/>
      <c r="F823" s="3" t="s">
        <v>154</v>
      </c>
      <c r="G823" s="27">
        <v>1</v>
      </c>
      <c r="H823" s="27">
        <v>0</v>
      </c>
      <c r="I823" s="27">
        <f t="shared" si="192"/>
        <v>0</v>
      </c>
      <c r="J823" s="27">
        <f t="shared" si="193"/>
        <v>0</v>
      </c>
      <c r="K823" s="27">
        <f t="shared" si="194"/>
        <v>0</v>
      </c>
      <c r="L823" s="28" t="s">
        <v>52</v>
      </c>
      <c r="Z823" s="27">
        <f t="shared" si="195"/>
        <v>0</v>
      </c>
      <c r="AB823" s="27">
        <f t="shared" si="196"/>
        <v>0</v>
      </c>
      <c r="AC823" s="27">
        <f t="shared" si="197"/>
        <v>0</v>
      </c>
      <c r="AD823" s="27">
        <f t="shared" si="198"/>
        <v>0</v>
      </c>
      <c r="AE823" s="27">
        <f t="shared" si="199"/>
        <v>0</v>
      </c>
      <c r="AF823" s="27">
        <f t="shared" si="200"/>
        <v>0</v>
      </c>
      <c r="AG823" s="27">
        <f t="shared" si="201"/>
        <v>0</v>
      </c>
      <c r="AH823" s="27">
        <f t="shared" si="202"/>
        <v>0</v>
      </c>
      <c r="AI823" s="9" t="s">
        <v>1339</v>
      </c>
      <c r="AJ823" s="27">
        <f t="shared" si="203"/>
        <v>0</v>
      </c>
      <c r="AK823" s="27">
        <f t="shared" si="204"/>
        <v>0</v>
      </c>
      <c r="AL823" s="27">
        <f t="shared" si="205"/>
        <v>0</v>
      </c>
      <c r="AN823" s="27">
        <v>21</v>
      </c>
      <c r="AO823" s="27">
        <f t="shared" si="206"/>
        <v>0</v>
      </c>
      <c r="AP823" s="27">
        <f t="shared" si="207"/>
        <v>0</v>
      </c>
      <c r="AQ823" s="29" t="s">
        <v>84</v>
      </c>
      <c r="AV823" s="27">
        <f t="shared" si="208"/>
        <v>0</v>
      </c>
      <c r="AW823" s="27">
        <f t="shared" si="209"/>
        <v>0</v>
      </c>
      <c r="AX823" s="27">
        <f t="shared" si="210"/>
        <v>0</v>
      </c>
      <c r="AY823" s="29" t="s">
        <v>205</v>
      </c>
      <c r="AZ823" s="29" t="s">
        <v>1342</v>
      </c>
      <c r="BA823" s="9" t="s">
        <v>1343</v>
      </c>
      <c r="BC823" s="27">
        <f t="shared" si="211"/>
        <v>0</v>
      </c>
      <c r="BD823" s="27">
        <f t="shared" si="212"/>
        <v>0</v>
      </c>
      <c r="BE823" s="27">
        <v>0</v>
      </c>
      <c r="BF823" s="27">
        <f>823</f>
        <v>823</v>
      </c>
      <c r="BH823" s="27">
        <f t="shared" si="213"/>
        <v>0</v>
      </c>
      <c r="BI823" s="27">
        <f t="shared" si="214"/>
        <v>0</v>
      </c>
      <c r="BJ823" s="27">
        <f t="shared" si="215"/>
        <v>0</v>
      </c>
      <c r="BK823" s="27"/>
      <c r="BL823" s="27">
        <v>721</v>
      </c>
      <c r="BW823" s="27">
        <v>21</v>
      </c>
    </row>
    <row r="824" spans="1:75" ht="13.5" customHeight="1">
      <c r="A824" s="2" t="s">
        <v>1345</v>
      </c>
      <c r="B824" s="3" t="s">
        <v>1339</v>
      </c>
      <c r="C824" s="3" t="s">
        <v>679</v>
      </c>
      <c r="D824" s="148" t="s">
        <v>680</v>
      </c>
      <c r="E824" s="143"/>
      <c r="F824" s="3" t="s">
        <v>126</v>
      </c>
      <c r="G824" s="27">
        <v>1</v>
      </c>
      <c r="H824" s="27">
        <v>0</v>
      </c>
      <c r="I824" s="27">
        <f t="shared" si="192"/>
        <v>0</v>
      </c>
      <c r="J824" s="27">
        <f t="shared" si="193"/>
        <v>0</v>
      </c>
      <c r="K824" s="27">
        <f t="shared" si="194"/>
        <v>0</v>
      </c>
      <c r="L824" s="28" t="s">
        <v>52</v>
      </c>
      <c r="Z824" s="27">
        <f t="shared" si="195"/>
        <v>0</v>
      </c>
      <c r="AB824" s="27">
        <f t="shared" si="196"/>
        <v>0</v>
      </c>
      <c r="AC824" s="27">
        <f t="shared" si="197"/>
        <v>0</v>
      </c>
      <c r="AD824" s="27">
        <f t="shared" si="198"/>
        <v>0</v>
      </c>
      <c r="AE824" s="27">
        <f t="shared" si="199"/>
        <v>0</v>
      </c>
      <c r="AF824" s="27">
        <f t="shared" si="200"/>
        <v>0</v>
      </c>
      <c r="AG824" s="27">
        <f t="shared" si="201"/>
        <v>0</v>
      </c>
      <c r="AH824" s="27">
        <f t="shared" si="202"/>
        <v>0</v>
      </c>
      <c r="AI824" s="9" t="s">
        <v>1339</v>
      </c>
      <c r="AJ824" s="27">
        <f t="shared" si="203"/>
        <v>0</v>
      </c>
      <c r="AK824" s="27">
        <f t="shared" si="204"/>
        <v>0</v>
      </c>
      <c r="AL824" s="27">
        <f t="shared" si="205"/>
        <v>0</v>
      </c>
      <c r="AN824" s="27">
        <v>21</v>
      </c>
      <c r="AO824" s="27">
        <f t="shared" si="206"/>
        <v>0</v>
      </c>
      <c r="AP824" s="27">
        <f t="shared" si="207"/>
        <v>0</v>
      </c>
      <c r="AQ824" s="29" t="s">
        <v>84</v>
      </c>
      <c r="AV824" s="27">
        <f t="shared" si="208"/>
        <v>0</v>
      </c>
      <c r="AW824" s="27">
        <f t="shared" si="209"/>
        <v>0</v>
      </c>
      <c r="AX824" s="27">
        <f t="shared" si="210"/>
        <v>0</v>
      </c>
      <c r="AY824" s="29" t="s">
        <v>205</v>
      </c>
      <c r="AZ824" s="29" t="s">
        <v>1342</v>
      </c>
      <c r="BA824" s="9" t="s">
        <v>1343</v>
      </c>
      <c r="BC824" s="27">
        <f t="shared" si="211"/>
        <v>0</v>
      </c>
      <c r="BD824" s="27">
        <f t="shared" si="212"/>
        <v>0</v>
      </c>
      <c r="BE824" s="27">
        <v>0</v>
      </c>
      <c r="BF824" s="27">
        <f>824</f>
        <v>824</v>
      </c>
      <c r="BH824" s="27">
        <f t="shared" si="213"/>
        <v>0</v>
      </c>
      <c r="BI824" s="27">
        <f t="shared" si="214"/>
        <v>0</v>
      </c>
      <c r="BJ824" s="27">
        <f t="shared" si="215"/>
        <v>0</v>
      </c>
      <c r="BK824" s="27"/>
      <c r="BL824" s="27">
        <v>721</v>
      </c>
      <c r="BW824" s="27">
        <v>21</v>
      </c>
    </row>
    <row r="825" spans="1:75" ht="13.5" customHeight="1">
      <c r="A825" s="2" t="s">
        <v>1346</v>
      </c>
      <c r="B825" s="3" t="s">
        <v>1339</v>
      </c>
      <c r="C825" s="3" t="s">
        <v>682</v>
      </c>
      <c r="D825" s="148" t="s">
        <v>683</v>
      </c>
      <c r="E825" s="143"/>
      <c r="F825" s="3" t="s">
        <v>126</v>
      </c>
      <c r="G825" s="27">
        <v>1</v>
      </c>
      <c r="H825" s="27">
        <v>0</v>
      </c>
      <c r="I825" s="27">
        <f t="shared" si="192"/>
        <v>0</v>
      </c>
      <c r="J825" s="27">
        <f t="shared" si="193"/>
        <v>0</v>
      </c>
      <c r="K825" s="27">
        <f t="shared" si="194"/>
        <v>0</v>
      </c>
      <c r="L825" s="28" t="s">
        <v>52</v>
      </c>
      <c r="Z825" s="27">
        <f t="shared" si="195"/>
        <v>0</v>
      </c>
      <c r="AB825" s="27">
        <f t="shared" si="196"/>
        <v>0</v>
      </c>
      <c r="AC825" s="27">
        <f t="shared" si="197"/>
        <v>0</v>
      </c>
      <c r="AD825" s="27">
        <f t="shared" si="198"/>
        <v>0</v>
      </c>
      <c r="AE825" s="27">
        <f t="shared" si="199"/>
        <v>0</v>
      </c>
      <c r="AF825" s="27">
        <f t="shared" si="200"/>
        <v>0</v>
      </c>
      <c r="AG825" s="27">
        <f t="shared" si="201"/>
        <v>0</v>
      </c>
      <c r="AH825" s="27">
        <f t="shared" si="202"/>
        <v>0</v>
      </c>
      <c r="AI825" s="9" t="s">
        <v>1339</v>
      </c>
      <c r="AJ825" s="27">
        <f t="shared" si="203"/>
        <v>0</v>
      </c>
      <c r="AK825" s="27">
        <f t="shared" si="204"/>
        <v>0</v>
      </c>
      <c r="AL825" s="27">
        <f t="shared" si="205"/>
        <v>0</v>
      </c>
      <c r="AN825" s="27">
        <v>21</v>
      </c>
      <c r="AO825" s="27">
        <f t="shared" si="206"/>
        <v>0</v>
      </c>
      <c r="AP825" s="27">
        <f t="shared" si="207"/>
        <v>0</v>
      </c>
      <c r="AQ825" s="29" t="s">
        <v>84</v>
      </c>
      <c r="AV825" s="27">
        <f t="shared" si="208"/>
        <v>0</v>
      </c>
      <c r="AW825" s="27">
        <f t="shared" si="209"/>
        <v>0</v>
      </c>
      <c r="AX825" s="27">
        <f t="shared" si="210"/>
        <v>0</v>
      </c>
      <c r="AY825" s="29" t="s">
        <v>205</v>
      </c>
      <c r="AZ825" s="29" t="s">
        <v>1342</v>
      </c>
      <c r="BA825" s="9" t="s">
        <v>1343</v>
      </c>
      <c r="BC825" s="27">
        <f t="shared" si="211"/>
        <v>0</v>
      </c>
      <c r="BD825" s="27">
        <f t="shared" si="212"/>
        <v>0</v>
      </c>
      <c r="BE825" s="27">
        <v>0</v>
      </c>
      <c r="BF825" s="27">
        <f>825</f>
        <v>825</v>
      </c>
      <c r="BH825" s="27">
        <f t="shared" si="213"/>
        <v>0</v>
      </c>
      <c r="BI825" s="27">
        <f t="shared" si="214"/>
        <v>0</v>
      </c>
      <c r="BJ825" s="27">
        <f t="shared" si="215"/>
        <v>0</v>
      </c>
      <c r="BK825" s="27"/>
      <c r="BL825" s="27">
        <v>721</v>
      </c>
      <c r="BW825" s="27">
        <v>21</v>
      </c>
    </row>
    <row r="826" spans="1:75" ht="13.5" customHeight="1">
      <c r="A826" s="2" t="s">
        <v>1347</v>
      </c>
      <c r="B826" s="3" t="s">
        <v>1339</v>
      </c>
      <c r="C826" s="3" t="s">
        <v>691</v>
      </c>
      <c r="D826" s="148" t="s">
        <v>692</v>
      </c>
      <c r="E826" s="143"/>
      <c r="F826" s="3" t="s">
        <v>154</v>
      </c>
      <c r="G826" s="27">
        <v>1</v>
      </c>
      <c r="H826" s="27">
        <v>0</v>
      </c>
      <c r="I826" s="27">
        <f t="shared" si="192"/>
        <v>0</v>
      </c>
      <c r="J826" s="27">
        <f t="shared" si="193"/>
        <v>0</v>
      </c>
      <c r="K826" s="27">
        <f t="shared" si="194"/>
        <v>0</v>
      </c>
      <c r="L826" s="28" t="s">
        <v>52</v>
      </c>
      <c r="Z826" s="27">
        <f t="shared" si="195"/>
        <v>0</v>
      </c>
      <c r="AB826" s="27">
        <f t="shared" si="196"/>
        <v>0</v>
      </c>
      <c r="AC826" s="27">
        <f t="shared" si="197"/>
        <v>0</v>
      </c>
      <c r="AD826" s="27">
        <f t="shared" si="198"/>
        <v>0</v>
      </c>
      <c r="AE826" s="27">
        <f t="shared" si="199"/>
        <v>0</v>
      </c>
      <c r="AF826" s="27">
        <f t="shared" si="200"/>
        <v>0</v>
      </c>
      <c r="AG826" s="27">
        <f t="shared" si="201"/>
        <v>0</v>
      </c>
      <c r="AH826" s="27">
        <f t="shared" si="202"/>
        <v>0</v>
      </c>
      <c r="AI826" s="9" t="s">
        <v>1339</v>
      </c>
      <c r="AJ826" s="27">
        <f t="shared" si="203"/>
        <v>0</v>
      </c>
      <c r="AK826" s="27">
        <f t="shared" si="204"/>
        <v>0</v>
      </c>
      <c r="AL826" s="27">
        <f t="shared" si="205"/>
        <v>0</v>
      </c>
      <c r="AN826" s="27">
        <v>21</v>
      </c>
      <c r="AO826" s="27">
        <f t="shared" si="206"/>
        <v>0</v>
      </c>
      <c r="AP826" s="27">
        <f t="shared" si="207"/>
        <v>0</v>
      </c>
      <c r="AQ826" s="29" t="s">
        <v>84</v>
      </c>
      <c r="AV826" s="27">
        <f t="shared" si="208"/>
        <v>0</v>
      </c>
      <c r="AW826" s="27">
        <f t="shared" si="209"/>
        <v>0</v>
      </c>
      <c r="AX826" s="27">
        <f t="shared" si="210"/>
        <v>0</v>
      </c>
      <c r="AY826" s="29" t="s">
        <v>205</v>
      </c>
      <c r="AZ826" s="29" t="s">
        <v>1342</v>
      </c>
      <c r="BA826" s="9" t="s">
        <v>1343</v>
      </c>
      <c r="BC826" s="27">
        <f t="shared" si="211"/>
        <v>0</v>
      </c>
      <c r="BD826" s="27">
        <f t="shared" si="212"/>
        <v>0</v>
      </c>
      <c r="BE826" s="27">
        <v>0</v>
      </c>
      <c r="BF826" s="27">
        <f>826</f>
        <v>826</v>
      </c>
      <c r="BH826" s="27">
        <f t="shared" si="213"/>
        <v>0</v>
      </c>
      <c r="BI826" s="27">
        <f t="shared" si="214"/>
        <v>0</v>
      </c>
      <c r="BJ826" s="27">
        <f t="shared" si="215"/>
        <v>0</v>
      </c>
      <c r="BK826" s="27"/>
      <c r="BL826" s="27">
        <v>721</v>
      </c>
      <c r="BW826" s="27">
        <v>21</v>
      </c>
    </row>
    <row r="827" spans="1:75" ht="13.5" customHeight="1">
      <c r="A827" s="2" t="s">
        <v>1348</v>
      </c>
      <c r="B827" s="3" t="s">
        <v>1339</v>
      </c>
      <c r="C827" s="3" t="s">
        <v>697</v>
      </c>
      <c r="D827" s="148" t="s">
        <v>698</v>
      </c>
      <c r="E827" s="143"/>
      <c r="F827" s="3" t="s">
        <v>126</v>
      </c>
      <c r="G827" s="27">
        <v>2</v>
      </c>
      <c r="H827" s="27">
        <v>0</v>
      </c>
      <c r="I827" s="27">
        <f t="shared" si="192"/>
        <v>0</v>
      </c>
      <c r="J827" s="27">
        <f t="shared" si="193"/>
        <v>0</v>
      </c>
      <c r="K827" s="27">
        <f t="shared" si="194"/>
        <v>0</v>
      </c>
      <c r="L827" s="28" t="s">
        <v>52</v>
      </c>
      <c r="Z827" s="27">
        <f t="shared" si="195"/>
        <v>0</v>
      </c>
      <c r="AB827" s="27">
        <f t="shared" si="196"/>
        <v>0</v>
      </c>
      <c r="AC827" s="27">
        <f t="shared" si="197"/>
        <v>0</v>
      </c>
      <c r="AD827" s="27">
        <f t="shared" si="198"/>
        <v>0</v>
      </c>
      <c r="AE827" s="27">
        <f t="shared" si="199"/>
        <v>0</v>
      </c>
      <c r="AF827" s="27">
        <f t="shared" si="200"/>
        <v>0</v>
      </c>
      <c r="AG827" s="27">
        <f t="shared" si="201"/>
        <v>0</v>
      </c>
      <c r="AH827" s="27">
        <f t="shared" si="202"/>
        <v>0</v>
      </c>
      <c r="AI827" s="9" t="s">
        <v>1339</v>
      </c>
      <c r="AJ827" s="27">
        <f t="shared" si="203"/>
        <v>0</v>
      </c>
      <c r="AK827" s="27">
        <f t="shared" si="204"/>
        <v>0</v>
      </c>
      <c r="AL827" s="27">
        <f t="shared" si="205"/>
        <v>0</v>
      </c>
      <c r="AN827" s="27">
        <v>21</v>
      </c>
      <c r="AO827" s="27">
        <f t="shared" si="206"/>
        <v>0</v>
      </c>
      <c r="AP827" s="27">
        <f t="shared" si="207"/>
        <v>0</v>
      </c>
      <c r="AQ827" s="29" t="s">
        <v>84</v>
      </c>
      <c r="AV827" s="27">
        <f t="shared" si="208"/>
        <v>0</v>
      </c>
      <c r="AW827" s="27">
        <f t="shared" si="209"/>
        <v>0</v>
      </c>
      <c r="AX827" s="27">
        <f t="shared" si="210"/>
        <v>0</v>
      </c>
      <c r="AY827" s="29" t="s">
        <v>205</v>
      </c>
      <c r="AZ827" s="29" t="s">
        <v>1342</v>
      </c>
      <c r="BA827" s="9" t="s">
        <v>1343</v>
      </c>
      <c r="BC827" s="27">
        <f t="shared" si="211"/>
        <v>0</v>
      </c>
      <c r="BD827" s="27">
        <f t="shared" si="212"/>
        <v>0</v>
      </c>
      <c r="BE827" s="27">
        <v>0</v>
      </c>
      <c r="BF827" s="27">
        <f>827</f>
        <v>827</v>
      </c>
      <c r="BH827" s="27">
        <f t="shared" si="213"/>
        <v>0</v>
      </c>
      <c r="BI827" s="27">
        <f t="shared" si="214"/>
        <v>0</v>
      </c>
      <c r="BJ827" s="27">
        <f t="shared" si="215"/>
        <v>0</v>
      </c>
      <c r="BK827" s="27"/>
      <c r="BL827" s="27">
        <v>721</v>
      </c>
      <c r="BW827" s="27">
        <v>21</v>
      </c>
    </row>
    <row r="828" spans="1:47" ht="15">
      <c r="A828" s="23" t="s">
        <v>52</v>
      </c>
      <c r="B828" s="24" t="s">
        <v>1339</v>
      </c>
      <c r="C828" s="24" t="s">
        <v>699</v>
      </c>
      <c r="D828" s="164" t="s">
        <v>700</v>
      </c>
      <c r="E828" s="165"/>
      <c r="F828" s="25" t="s">
        <v>4</v>
      </c>
      <c r="G828" s="25" t="s">
        <v>4</v>
      </c>
      <c r="H828" s="25" t="s">
        <v>4</v>
      </c>
      <c r="I828" s="1">
        <f>SUM(I829:I845)</f>
        <v>0</v>
      </c>
      <c r="J828" s="1">
        <f>SUM(J829:J845)</f>
        <v>0</v>
      </c>
      <c r="K828" s="1">
        <f>SUM(K829:K845)</f>
        <v>0</v>
      </c>
      <c r="L828" s="26" t="s">
        <v>52</v>
      </c>
      <c r="AI828" s="9" t="s">
        <v>1339</v>
      </c>
      <c r="AS828" s="1">
        <f>SUM(AJ829:AJ845)</f>
        <v>0</v>
      </c>
      <c r="AT828" s="1">
        <f>SUM(AK829:AK845)</f>
        <v>0</v>
      </c>
      <c r="AU828" s="1">
        <f>SUM(AL829:AL845)</f>
        <v>0</v>
      </c>
    </row>
    <row r="829" spans="1:75" ht="13.5" customHeight="1">
      <c r="A829" s="2" t="s">
        <v>1349</v>
      </c>
      <c r="B829" s="3" t="s">
        <v>1339</v>
      </c>
      <c r="C829" s="3" t="s">
        <v>702</v>
      </c>
      <c r="D829" s="148" t="s">
        <v>703</v>
      </c>
      <c r="E829" s="143"/>
      <c r="F829" s="3" t="s">
        <v>126</v>
      </c>
      <c r="G829" s="27">
        <v>1</v>
      </c>
      <c r="H829" s="27">
        <v>0</v>
      </c>
      <c r="I829" s="27">
        <f aca="true" t="shared" si="216" ref="I829:I845">G829*AO829</f>
        <v>0</v>
      </c>
      <c r="J829" s="27">
        <f aca="true" t="shared" si="217" ref="J829:J845">G829*AP829</f>
        <v>0</v>
      </c>
      <c r="K829" s="27">
        <f aca="true" t="shared" si="218" ref="K829:K845">G829*H829</f>
        <v>0</v>
      </c>
      <c r="L829" s="28" t="s">
        <v>52</v>
      </c>
      <c r="Z829" s="27">
        <f aca="true" t="shared" si="219" ref="Z829:Z845">IF(AQ829="5",BJ829,0)</f>
        <v>0</v>
      </c>
      <c r="AB829" s="27">
        <f aca="true" t="shared" si="220" ref="AB829:AB845">IF(AQ829="1",BH829,0)</f>
        <v>0</v>
      </c>
      <c r="AC829" s="27">
        <f aca="true" t="shared" si="221" ref="AC829:AC845">IF(AQ829="1",BI829,0)</f>
        <v>0</v>
      </c>
      <c r="AD829" s="27">
        <f aca="true" t="shared" si="222" ref="AD829:AD845">IF(AQ829="7",BH829,0)</f>
        <v>0</v>
      </c>
      <c r="AE829" s="27">
        <f aca="true" t="shared" si="223" ref="AE829:AE845">IF(AQ829="7",BI829,0)</f>
        <v>0</v>
      </c>
      <c r="AF829" s="27">
        <f aca="true" t="shared" si="224" ref="AF829:AF845">IF(AQ829="2",BH829,0)</f>
        <v>0</v>
      </c>
      <c r="AG829" s="27">
        <f aca="true" t="shared" si="225" ref="AG829:AG845">IF(AQ829="2",BI829,0)</f>
        <v>0</v>
      </c>
      <c r="AH829" s="27">
        <f aca="true" t="shared" si="226" ref="AH829:AH845">IF(AQ829="0",BJ829,0)</f>
        <v>0</v>
      </c>
      <c r="AI829" s="9" t="s">
        <v>1339</v>
      </c>
      <c r="AJ829" s="27">
        <f aca="true" t="shared" si="227" ref="AJ829:AJ845">IF(AN829=0,K829,0)</f>
        <v>0</v>
      </c>
      <c r="AK829" s="27">
        <f aca="true" t="shared" si="228" ref="AK829:AK845">IF(AN829=12,K829,0)</f>
        <v>0</v>
      </c>
      <c r="AL829" s="27">
        <f aca="true" t="shared" si="229" ref="AL829:AL845">IF(AN829=21,K829,0)</f>
        <v>0</v>
      </c>
      <c r="AN829" s="27">
        <v>21</v>
      </c>
      <c r="AO829" s="27">
        <f aca="true" t="shared" si="230" ref="AO829:AO845">H829*0</f>
        <v>0</v>
      </c>
      <c r="AP829" s="27">
        <f aca="true" t="shared" si="231" ref="AP829:AP845">H829*(1-0)</f>
        <v>0</v>
      </c>
      <c r="AQ829" s="29" t="s">
        <v>84</v>
      </c>
      <c r="AV829" s="27">
        <f aca="true" t="shared" si="232" ref="AV829:AV845">AW829+AX829</f>
        <v>0</v>
      </c>
      <c r="AW829" s="27">
        <f aca="true" t="shared" si="233" ref="AW829:AW845">G829*AO829</f>
        <v>0</v>
      </c>
      <c r="AX829" s="27">
        <f aca="true" t="shared" si="234" ref="AX829:AX845">G829*AP829</f>
        <v>0</v>
      </c>
      <c r="AY829" s="29" t="s">
        <v>704</v>
      </c>
      <c r="AZ829" s="29" t="s">
        <v>1342</v>
      </c>
      <c r="BA829" s="9" t="s">
        <v>1343</v>
      </c>
      <c r="BC829" s="27">
        <f aca="true" t="shared" si="235" ref="BC829:BC845">AW829+AX829</f>
        <v>0</v>
      </c>
      <c r="BD829" s="27">
        <f aca="true" t="shared" si="236" ref="BD829:BD845">H829/(100-BE829)*100</f>
        <v>0</v>
      </c>
      <c r="BE829" s="27">
        <v>0</v>
      </c>
      <c r="BF829" s="27">
        <f>829</f>
        <v>829</v>
      </c>
      <c r="BH829" s="27">
        <f aca="true" t="shared" si="237" ref="BH829:BH845">G829*AO829</f>
        <v>0</v>
      </c>
      <c r="BI829" s="27">
        <f aca="true" t="shared" si="238" ref="BI829:BI845">G829*AP829</f>
        <v>0</v>
      </c>
      <c r="BJ829" s="27">
        <f aca="true" t="shared" si="239" ref="BJ829:BJ845">G829*H829</f>
        <v>0</v>
      </c>
      <c r="BK829" s="27"/>
      <c r="BL829" s="27">
        <v>722</v>
      </c>
      <c r="BW829" s="27">
        <v>21</v>
      </c>
    </row>
    <row r="830" spans="1:75" ht="13.5" customHeight="1">
      <c r="A830" s="2" t="s">
        <v>1350</v>
      </c>
      <c r="B830" s="3" t="s">
        <v>1339</v>
      </c>
      <c r="C830" s="3" t="s">
        <v>706</v>
      </c>
      <c r="D830" s="148" t="s">
        <v>707</v>
      </c>
      <c r="E830" s="143"/>
      <c r="F830" s="3" t="s">
        <v>154</v>
      </c>
      <c r="G830" s="27">
        <v>2</v>
      </c>
      <c r="H830" s="27">
        <v>0</v>
      </c>
      <c r="I830" s="27">
        <f t="shared" si="216"/>
        <v>0</v>
      </c>
      <c r="J830" s="27">
        <f t="shared" si="217"/>
        <v>0</v>
      </c>
      <c r="K830" s="27">
        <f t="shared" si="218"/>
        <v>0</v>
      </c>
      <c r="L830" s="28" t="s">
        <v>52</v>
      </c>
      <c r="Z830" s="27">
        <f t="shared" si="219"/>
        <v>0</v>
      </c>
      <c r="AB830" s="27">
        <f t="shared" si="220"/>
        <v>0</v>
      </c>
      <c r="AC830" s="27">
        <f t="shared" si="221"/>
        <v>0</v>
      </c>
      <c r="AD830" s="27">
        <f t="shared" si="222"/>
        <v>0</v>
      </c>
      <c r="AE830" s="27">
        <f t="shared" si="223"/>
        <v>0</v>
      </c>
      <c r="AF830" s="27">
        <f t="shared" si="224"/>
        <v>0</v>
      </c>
      <c r="AG830" s="27">
        <f t="shared" si="225"/>
        <v>0</v>
      </c>
      <c r="AH830" s="27">
        <f t="shared" si="226"/>
        <v>0</v>
      </c>
      <c r="AI830" s="9" t="s">
        <v>1339</v>
      </c>
      <c r="AJ830" s="27">
        <f t="shared" si="227"/>
        <v>0</v>
      </c>
      <c r="AK830" s="27">
        <f t="shared" si="228"/>
        <v>0</v>
      </c>
      <c r="AL830" s="27">
        <f t="shared" si="229"/>
        <v>0</v>
      </c>
      <c r="AN830" s="27">
        <v>21</v>
      </c>
      <c r="AO830" s="27">
        <f t="shared" si="230"/>
        <v>0</v>
      </c>
      <c r="AP830" s="27">
        <f t="shared" si="231"/>
        <v>0</v>
      </c>
      <c r="AQ830" s="29" t="s">
        <v>84</v>
      </c>
      <c r="AV830" s="27">
        <f t="shared" si="232"/>
        <v>0</v>
      </c>
      <c r="AW830" s="27">
        <f t="shared" si="233"/>
        <v>0</v>
      </c>
      <c r="AX830" s="27">
        <f t="shared" si="234"/>
        <v>0</v>
      </c>
      <c r="AY830" s="29" t="s">
        <v>704</v>
      </c>
      <c r="AZ830" s="29" t="s">
        <v>1342</v>
      </c>
      <c r="BA830" s="9" t="s">
        <v>1343</v>
      </c>
      <c r="BC830" s="27">
        <f t="shared" si="235"/>
        <v>0</v>
      </c>
      <c r="BD830" s="27">
        <f t="shared" si="236"/>
        <v>0</v>
      </c>
      <c r="BE830" s="27">
        <v>0</v>
      </c>
      <c r="BF830" s="27">
        <f>830</f>
        <v>830</v>
      </c>
      <c r="BH830" s="27">
        <f t="shared" si="237"/>
        <v>0</v>
      </c>
      <c r="BI830" s="27">
        <f t="shared" si="238"/>
        <v>0</v>
      </c>
      <c r="BJ830" s="27">
        <f t="shared" si="239"/>
        <v>0</v>
      </c>
      <c r="BK830" s="27"/>
      <c r="BL830" s="27">
        <v>722</v>
      </c>
      <c r="BW830" s="27">
        <v>21</v>
      </c>
    </row>
    <row r="831" spans="1:75" ht="13.5" customHeight="1">
      <c r="A831" s="2" t="s">
        <v>1351</v>
      </c>
      <c r="B831" s="3" t="s">
        <v>1339</v>
      </c>
      <c r="C831" s="3" t="s">
        <v>709</v>
      </c>
      <c r="D831" s="148" t="s">
        <v>710</v>
      </c>
      <c r="E831" s="143"/>
      <c r="F831" s="3" t="s">
        <v>154</v>
      </c>
      <c r="G831" s="27">
        <v>2</v>
      </c>
      <c r="H831" s="27">
        <v>0</v>
      </c>
      <c r="I831" s="27">
        <f t="shared" si="216"/>
        <v>0</v>
      </c>
      <c r="J831" s="27">
        <f t="shared" si="217"/>
        <v>0</v>
      </c>
      <c r="K831" s="27">
        <f t="shared" si="218"/>
        <v>0</v>
      </c>
      <c r="L831" s="28" t="s">
        <v>52</v>
      </c>
      <c r="Z831" s="27">
        <f t="shared" si="219"/>
        <v>0</v>
      </c>
      <c r="AB831" s="27">
        <f t="shared" si="220"/>
        <v>0</v>
      </c>
      <c r="AC831" s="27">
        <f t="shared" si="221"/>
        <v>0</v>
      </c>
      <c r="AD831" s="27">
        <f t="shared" si="222"/>
        <v>0</v>
      </c>
      <c r="AE831" s="27">
        <f t="shared" si="223"/>
        <v>0</v>
      </c>
      <c r="AF831" s="27">
        <f t="shared" si="224"/>
        <v>0</v>
      </c>
      <c r="AG831" s="27">
        <f t="shared" si="225"/>
        <v>0</v>
      </c>
      <c r="AH831" s="27">
        <f t="shared" si="226"/>
        <v>0</v>
      </c>
      <c r="AI831" s="9" t="s">
        <v>1339</v>
      </c>
      <c r="AJ831" s="27">
        <f t="shared" si="227"/>
        <v>0</v>
      </c>
      <c r="AK831" s="27">
        <f t="shared" si="228"/>
        <v>0</v>
      </c>
      <c r="AL831" s="27">
        <f t="shared" si="229"/>
        <v>0</v>
      </c>
      <c r="AN831" s="27">
        <v>21</v>
      </c>
      <c r="AO831" s="27">
        <f t="shared" si="230"/>
        <v>0</v>
      </c>
      <c r="AP831" s="27">
        <f t="shared" si="231"/>
        <v>0</v>
      </c>
      <c r="AQ831" s="29" t="s">
        <v>84</v>
      </c>
      <c r="AV831" s="27">
        <f t="shared" si="232"/>
        <v>0</v>
      </c>
      <c r="AW831" s="27">
        <f t="shared" si="233"/>
        <v>0</v>
      </c>
      <c r="AX831" s="27">
        <f t="shared" si="234"/>
        <v>0</v>
      </c>
      <c r="AY831" s="29" t="s">
        <v>704</v>
      </c>
      <c r="AZ831" s="29" t="s">
        <v>1342</v>
      </c>
      <c r="BA831" s="9" t="s">
        <v>1343</v>
      </c>
      <c r="BC831" s="27">
        <f t="shared" si="235"/>
        <v>0</v>
      </c>
      <c r="BD831" s="27">
        <f t="shared" si="236"/>
        <v>0</v>
      </c>
      <c r="BE831" s="27">
        <v>0</v>
      </c>
      <c r="BF831" s="27">
        <f>831</f>
        <v>831</v>
      </c>
      <c r="BH831" s="27">
        <f t="shared" si="237"/>
        <v>0</v>
      </c>
      <c r="BI831" s="27">
        <f t="shared" si="238"/>
        <v>0</v>
      </c>
      <c r="BJ831" s="27">
        <f t="shared" si="239"/>
        <v>0</v>
      </c>
      <c r="BK831" s="27"/>
      <c r="BL831" s="27">
        <v>722</v>
      </c>
      <c r="BW831" s="27">
        <v>21</v>
      </c>
    </row>
    <row r="832" spans="1:75" ht="13.5" customHeight="1">
      <c r="A832" s="2" t="s">
        <v>1352</v>
      </c>
      <c r="B832" s="3" t="s">
        <v>1339</v>
      </c>
      <c r="C832" s="3" t="s">
        <v>712</v>
      </c>
      <c r="D832" s="148" t="s">
        <v>713</v>
      </c>
      <c r="E832" s="143"/>
      <c r="F832" s="3" t="s">
        <v>126</v>
      </c>
      <c r="G832" s="27">
        <v>2</v>
      </c>
      <c r="H832" s="27">
        <v>0</v>
      </c>
      <c r="I832" s="27">
        <f t="shared" si="216"/>
        <v>0</v>
      </c>
      <c r="J832" s="27">
        <f t="shared" si="217"/>
        <v>0</v>
      </c>
      <c r="K832" s="27">
        <f t="shared" si="218"/>
        <v>0</v>
      </c>
      <c r="L832" s="28" t="s">
        <v>52</v>
      </c>
      <c r="Z832" s="27">
        <f t="shared" si="219"/>
        <v>0</v>
      </c>
      <c r="AB832" s="27">
        <f t="shared" si="220"/>
        <v>0</v>
      </c>
      <c r="AC832" s="27">
        <f t="shared" si="221"/>
        <v>0</v>
      </c>
      <c r="AD832" s="27">
        <f t="shared" si="222"/>
        <v>0</v>
      </c>
      <c r="AE832" s="27">
        <f t="shared" si="223"/>
        <v>0</v>
      </c>
      <c r="AF832" s="27">
        <f t="shared" si="224"/>
        <v>0</v>
      </c>
      <c r="AG832" s="27">
        <f t="shared" si="225"/>
        <v>0</v>
      </c>
      <c r="AH832" s="27">
        <f t="shared" si="226"/>
        <v>0</v>
      </c>
      <c r="AI832" s="9" t="s">
        <v>1339</v>
      </c>
      <c r="AJ832" s="27">
        <f t="shared" si="227"/>
        <v>0</v>
      </c>
      <c r="AK832" s="27">
        <f t="shared" si="228"/>
        <v>0</v>
      </c>
      <c r="AL832" s="27">
        <f t="shared" si="229"/>
        <v>0</v>
      </c>
      <c r="AN832" s="27">
        <v>21</v>
      </c>
      <c r="AO832" s="27">
        <f t="shared" si="230"/>
        <v>0</v>
      </c>
      <c r="AP832" s="27">
        <f t="shared" si="231"/>
        <v>0</v>
      </c>
      <c r="AQ832" s="29" t="s">
        <v>84</v>
      </c>
      <c r="AV832" s="27">
        <f t="shared" si="232"/>
        <v>0</v>
      </c>
      <c r="AW832" s="27">
        <f t="shared" si="233"/>
        <v>0</v>
      </c>
      <c r="AX832" s="27">
        <f t="shared" si="234"/>
        <v>0</v>
      </c>
      <c r="AY832" s="29" t="s">
        <v>704</v>
      </c>
      <c r="AZ832" s="29" t="s">
        <v>1342</v>
      </c>
      <c r="BA832" s="9" t="s">
        <v>1343</v>
      </c>
      <c r="BC832" s="27">
        <f t="shared" si="235"/>
        <v>0</v>
      </c>
      <c r="BD832" s="27">
        <f t="shared" si="236"/>
        <v>0</v>
      </c>
      <c r="BE832" s="27">
        <v>0</v>
      </c>
      <c r="BF832" s="27">
        <f>832</f>
        <v>832</v>
      </c>
      <c r="BH832" s="27">
        <f t="shared" si="237"/>
        <v>0</v>
      </c>
      <c r="BI832" s="27">
        <f t="shared" si="238"/>
        <v>0</v>
      </c>
      <c r="BJ832" s="27">
        <f t="shared" si="239"/>
        <v>0</v>
      </c>
      <c r="BK832" s="27"/>
      <c r="BL832" s="27">
        <v>722</v>
      </c>
      <c r="BW832" s="27">
        <v>21</v>
      </c>
    </row>
    <row r="833" spans="1:75" ht="13.5" customHeight="1">
      <c r="A833" s="2" t="s">
        <v>1353</v>
      </c>
      <c r="B833" s="3" t="s">
        <v>1339</v>
      </c>
      <c r="C833" s="3" t="s">
        <v>718</v>
      </c>
      <c r="D833" s="148" t="s">
        <v>719</v>
      </c>
      <c r="E833" s="143"/>
      <c r="F833" s="3" t="s">
        <v>126</v>
      </c>
      <c r="G833" s="27">
        <v>1</v>
      </c>
      <c r="H833" s="27">
        <v>0</v>
      </c>
      <c r="I833" s="27">
        <f t="shared" si="216"/>
        <v>0</v>
      </c>
      <c r="J833" s="27">
        <f t="shared" si="217"/>
        <v>0</v>
      </c>
      <c r="K833" s="27">
        <f t="shared" si="218"/>
        <v>0</v>
      </c>
      <c r="L833" s="28" t="s">
        <v>52</v>
      </c>
      <c r="Z833" s="27">
        <f t="shared" si="219"/>
        <v>0</v>
      </c>
      <c r="AB833" s="27">
        <f t="shared" si="220"/>
        <v>0</v>
      </c>
      <c r="AC833" s="27">
        <f t="shared" si="221"/>
        <v>0</v>
      </c>
      <c r="AD833" s="27">
        <f t="shared" si="222"/>
        <v>0</v>
      </c>
      <c r="AE833" s="27">
        <f t="shared" si="223"/>
        <v>0</v>
      </c>
      <c r="AF833" s="27">
        <f t="shared" si="224"/>
        <v>0</v>
      </c>
      <c r="AG833" s="27">
        <f t="shared" si="225"/>
        <v>0</v>
      </c>
      <c r="AH833" s="27">
        <f t="shared" si="226"/>
        <v>0</v>
      </c>
      <c r="AI833" s="9" t="s">
        <v>1339</v>
      </c>
      <c r="AJ833" s="27">
        <f t="shared" si="227"/>
        <v>0</v>
      </c>
      <c r="AK833" s="27">
        <f t="shared" si="228"/>
        <v>0</v>
      </c>
      <c r="AL833" s="27">
        <f t="shared" si="229"/>
        <v>0</v>
      </c>
      <c r="AN833" s="27">
        <v>21</v>
      </c>
      <c r="AO833" s="27">
        <f t="shared" si="230"/>
        <v>0</v>
      </c>
      <c r="AP833" s="27">
        <f t="shared" si="231"/>
        <v>0</v>
      </c>
      <c r="AQ833" s="29" t="s">
        <v>84</v>
      </c>
      <c r="AV833" s="27">
        <f t="shared" si="232"/>
        <v>0</v>
      </c>
      <c r="AW833" s="27">
        <f t="shared" si="233"/>
        <v>0</v>
      </c>
      <c r="AX833" s="27">
        <f t="shared" si="234"/>
        <v>0</v>
      </c>
      <c r="AY833" s="29" t="s">
        <v>704</v>
      </c>
      <c r="AZ833" s="29" t="s">
        <v>1342</v>
      </c>
      <c r="BA833" s="9" t="s">
        <v>1343</v>
      </c>
      <c r="BC833" s="27">
        <f t="shared" si="235"/>
        <v>0</v>
      </c>
      <c r="BD833" s="27">
        <f t="shared" si="236"/>
        <v>0</v>
      </c>
      <c r="BE833" s="27">
        <v>0</v>
      </c>
      <c r="BF833" s="27">
        <f>833</f>
        <v>833</v>
      </c>
      <c r="BH833" s="27">
        <f t="shared" si="237"/>
        <v>0</v>
      </c>
      <c r="BI833" s="27">
        <f t="shared" si="238"/>
        <v>0</v>
      </c>
      <c r="BJ833" s="27">
        <f t="shared" si="239"/>
        <v>0</v>
      </c>
      <c r="BK833" s="27"/>
      <c r="BL833" s="27">
        <v>722</v>
      </c>
      <c r="BW833" s="27">
        <v>21</v>
      </c>
    </row>
    <row r="834" spans="1:75" ht="13.5" customHeight="1">
      <c r="A834" s="2" t="s">
        <v>1354</v>
      </c>
      <c r="B834" s="3" t="s">
        <v>1339</v>
      </c>
      <c r="C834" s="3" t="s">
        <v>724</v>
      </c>
      <c r="D834" s="148" t="s">
        <v>725</v>
      </c>
      <c r="E834" s="143"/>
      <c r="F834" s="3" t="s">
        <v>126</v>
      </c>
      <c r="G834" s="27">
        <v>1</v>
      </c>
      <c r="H834" s="27">
        <v>0</v>
      </c>
      <c r="I834" s="27">
        <f t="shared" si="216"/>
        <v>0</v>
      </c>
      <c r="J834" s="27">
        <f t="shared" si="217"/>
        <v>0</v>
      </c>
      <c r="K834" s="27">
        <f t="shared" si="218"/>
        <v>0</v>
      </c>
      <c r="L834" s="28" t="s">
        <v>52</v>
      </c>
      <c r="Z834" s="27">
        <f t="shared" si="219"/>
        <v>0</v>
      </c>
      <c r="AB834" s="27">
        <f t="shared" si="220"/>
        <v>0</v>
      </c>
      <c r="AC834" s="27">
        <f t="shared" si="221"/>
        <v>0</v>
      </c>
      <c r="AD834" s="27">
        <f t="shared" si="222"/>
        <v>0</v>
      </c>
      <c r="AE834" s="27">
        <f t="shared" si="223"/>
        <v>0</v>
      </c>
      <c r="AF834" s="27">
        <f t="shared" si="224"/>
        <v>0</v>
      </c>
      <c r="AG834" s="27">
        <f t="shared" si="225"/>
        <v>0</v>
      </c>
      <c r="AH834" s="27">
        <f t="shared" si="226"/>
        <v>0</v>
      </c>
      <c r="AI834" s="9" t="s">
        <v>1339</v>
      </c>
      <c r="AJ834" s="27">
        <f t="shared" si="227"/>
        <v>0</v>
      </c>
      <c r="AK834" s="27">
        <f t="shared" si="228"/>
        <v>0</v>
      </c>
      <c r="AL834" s="27">
        <f t="shared" si="229"/>
        <v>0</v>
      </c>
      <c r="AN834" s="27">
        <v>21</v>
      </c>
      <c r="AO834" s="27">
        <f t="shared" si="230"/>
        <v>0</v>
      </c>
      <c r="AP834" s="27">
        <f t="shared" si="231"/>
        <v>0</v>
      </c>
      <c r="AQ834" s="29" t="s">
        <v>84</v>
      </c>
      <c r="AV834" s="27">
        <f t="shared" si="232"/>
        <v>0</v>
      </c>
      <c r="AW834" s="27">
        <f t="shared" si="233"/>
        <v>0</v>
      </c>
      <c r="AX834" s="27">
        <f t="shared" si="234"/>
        <v>0</v>
      </c>
      <c r="AY834" s="29" t="s">
        <v>704</v>
      </c>
      <c r="AZ834" s="29" t="s">
        <v>1342</v>
      </c>
      <c r="BA834" s="9" t="s">
        <v>1343</v>
      </c>
      <c r="BC834" s="27">
        <f t="shared" si="235"/>
        <v>0</v>
      </c>
      <c r="BD834" s="27">
        <f t="shared" si="236"/>
        <v>0</v>
      </c>
      <c r="BE834" s="27">
        <v>0</v>
      </c>
      <c r="BF834" s="27">
        <f>834</f>
        <v>834</v>
      </c>
      <c r="BH834" s="27">
        <f t="shared" si="237"/>
        <v>0</v>
      </c>
      <c r="BI834" s="27">
        <f t="shared" si="238"/>
        <v>0</v>
      </c>
      <c r="BJ834" s="27">
        <f t="shared" si="239"/>
        <v>0</v>
      </c>
      <c r="BK834" s="27"/>
      <c r="BL834" s="27">
        <v>722</v>
      </c>
      <c r="BW834" s="27">
        <v>21</v>
      </c>
    </row>
    <row r="835" spans="1:75" ht="13.5" customHeight="1">
      <c r="A835" s="2" t="s">
        <v>1355</v>
      </c>
      <c r="B835" s="3" t="s">
        <v>1339</v>
      </c>
      <c r="C835" s="3" t="s">
        <v>730</v>
      </c>
      <c r="D835" s="148" t="s">
        <v>731</v>
      </c>
      <c r="E835" s="143"/>
      <c r="F835" s="3" t="s">
        <v>126</v>
      </c>
      <c r="G835" s="27">
        <v>1</v>
      </c>
      <c r="H835" s="27">
        <v>0</v>
      </c>
      <c r="I835" s="27">
        <f t="shared" si="216"/>
        <v>0</v>
      </c>
      <c r="J835" s="27">
        <f t="shared" si="217"/>
        <v>0</v>
      </c>
      <c r="K835" s="27">
        <f t="shared" si="218"/>
        <v>0</v>
      </c>
      <c r="L835" s="28" t="s">
        <v>52</v>
      </c>
      <c r="Z835" s="27">
        <f t="shared" si="219"/>
        <v>0</v>
      </c>
      <c r="AB835" s="27">
        <f t="shared" si="220"/>
        <v>0</v>
      </c>
      <c r="AC835" s="27">
        <f t="shared" si="221"/>
        <v>0</v>
      </c>
      <c r="AD835" s="27">
        <f t="shared" si="222"/>
        <v>0</v>
      </c>
      <c r="AE835" s="27">
        <f t="shared" si="223"/>
        <v>0</v>
      </c>
      <c r="AF835" s="27">
        <f t="shared" si="224"/>
        <v>0</v>
      </c>
      <c r="AG835" s="27">
        <f t="shared" si="225"/>
        <v>0</v>
      </c>
      <c r="AH835" s="27">
        <f t="shared" si="226"/>
        <v>0</v>
      </c>
      <c r="AI835" s="9" t="s">
        <v>1339</v>
      </c>
      <c r="AJ835" s="27">
        <f t="shared" si="227"/>
        <v>0</v>
      </c>
      <c r="AK835" s="27">
        <f t="shared" si="228"/>
        <v>0</v>
      </c>
      <c r="AL835" s="27">
        <f t="shared" si="229"/>
        <v>0</v>
      </c>
      <c r="AN835" s="27">
        <v>21</v>
      </c>
      <c r="AO835" s="27">
        <f t="shared" si="230"/>
        <v>0</v>
      </c>
      <c r="AP835" s="27">
        <f t="shared" si="231"/>
        <v>0</v>
      </c>
      <c r="AQ835" s="29" t="s">
        <v>84</v>
      </c>
      <c r="AV835" s="27">
        <f t="shared" si="232"/>
        <v>0</v>
      </c>
      <c r="AW835" s="27">
        <f t="shared" si="233"/>
        <v>0</v>
      </c>
      <c r="AX835" s="27">
        <f t="shared" si="234"/>
        <v>0</v>
      </c>
      <c r="AY835" s="29" t="s">
        <v>704</v>
      </c>
      <c r="AZ835" s="29" t="s">
        <v>1342</v>
      </c>
      <c r="BA835" s="9" t="s">
        <v>1343</v>
      </c>
      <c r="BC835" s="27">
        <f t="shared" si="235"/>
        <v>0</v>
      </c>
      <c r="BD835" s="27">
        <f t="shared" si="236"/>
        <v>0</v>
      </c>
      <c r="BE835" s="27">
        <v>0</v>
      </c>
      <c r="BF835" s="27">
        <f>835</f>
        <v>835</v>
      </c>
      <c r="BH835" s="27">
        <f t="shared" si="237"/>
        <v>0</v>
      </c>
      <c r="BI835" s="27">
        <f t="shared" si="238"/>
        <v>0</v>
      </c>
      <c r="BJ835" s="27">
        <f t="shared" si="239"/>
        <v>0</v>
      </c>
      <c r="BK835" s="27"/>
      <c r="BL835" s="27">
        <v>722</v>
      </c>
      <c r="BW835" s="27">
        <v>21</v>
      </c>
    </row>
    <row r="836" spans="1:75" ht="13.5" customHeight="1">
      <c r="A836" s="2" t="s">
        <v>1356</v>
      </c>
      <c r="B836" s="3" t="s">
        <v>1339</v>
      </c>
      <c r="C836" s="3" t="s">
        <v>739</v>
      </c>
      <c r="D836" s="148" t="s">
        <v>740</v>
      </c>
      <c r="E836" s="143"/>
      <c r="F836" s="3" t="s">
        <v>126</v>
      </c>
      <c r="G836" s="27">
        <v>1</v>
      </c>
      <c r="H836" s="27">
        <v>0</v>
      </c>
      <c r="I836" s="27">
        <f t="shared" si="216"/>
        <v>0</v>
      </c>
      <c r="J836" s="27">
        <f t="shared" si="217"/>
        <v>0</v>
      </c>
      <c r="K836" s="27">
        <f t="shared" si="218"/>
        <v>0</v>
      </c>
      <c r="L836" s="28" t="s">
        <v>52</v>
      </c>
      <c r="Z836" s="27">
        <f t="shared" si="219"/>
        <v>0</v>
      </c>
      <c r="AB836" s="27">
        <f t="shared" si="220"/>
        <v>0</v>
      </c>
      <c r="AC836" s="27">
        <f t="shared" si="221"/>
        <v>0</v>
      </c>
      <c r="AD836" s="27">
        <f t="shared" si="222"/>
        <v>0</v>
      </c>
      <c r="AE836" s="27">
        <f t="shared" si="223"/>
        <v>0</v>
      </c>
      <c r="AF836" s="27">
        <f t="shared" si="224"/>
        <v>0</v>
      </c>
      <c r="AG836" s="27">
        <f t="shared" si="225"/>
        <v>0</v>
      </c>
      <c r="AH836" s="27">
        <f t="shared" si="226"/>
        <v>0</v>
      </c>
      <c r="AI836" s="9" t="s">
        <v>1339</v>
      </c>
      <c r="AJ836" s="27">
        <f t="shared" si="227"/>
        <v>0</v>
      </c>
      <c r="AK836" s="27">
        <f t="shared" si="228"/>
        <v>0</v>
      </c>
      <c r="AL836" s="27">
        <f t="shared" si="229"/>
        <v>0</v>
      </c>
      <c r="AN836" s="27">
        <v>21</v>
      </c>
      <c r="AO836" s="27">
        <f t="shared" si="230"/>
        <v>0</v>
      </c>
      <c r="AP836" s="27">
        <f t="shared" si="231"/>
        <v>0</v>
      </c>
      <c r="AQ836" s="29" t="s">
        <v>84</v>
      </c>
      <c r="AV836" s="27">
        <f t="shared" si="232"/>
        <v>0</v>
      </c>
      <c r="AW836" s="27">
        <f t="shared" si="233"/>
        <v>0</v>
      </c>
      <c r="AX836" s="27">
        <f t="shared" si="234"/>
        <v>0</v>
      </c>
      <c r="AY836" s="29" t="s">
        <v>704</v>
      </c>
      <c r="AZ836" s="29" t="s">
        <v>1342</v>
      </c>
      <c r="BA836" s="9" t="s">
        <v>1343</v>
      </c>
      <c r="BC836" s="27">
        <f t="shared" si="235"/>
        <v>0</v>
      </c>
      <c r="BD836" s="27">
        <f t="shared" si="236"/>
        <v>0</v>
      </c>
      <c r="BE836" s="27">
        <v>0</v>
      </c>
      <c r="BF836" s="27">
        <f>836</f>
        <v>836</v>
      </c>
      <c r="BH836" s="27">
        <f t="shared" si="237"/>
        <v>0</v>
      </c>
      <c r="BI836" s="27">
        <f t="shared" si="238"/>
        <v>0</v>
      </c>
      <c r="BJ836" s="27">
        <f t="shared" si="239"/>
        <v>0</v>
      </c>
      <c r="BK836" s="27"/>
      <c r="BL836" s="27">
        <v>722</v>
      </c>
      <c r="BW836" s="27">
        <v>21</v>
      </c>
    </row>
    <row r="837" spans="1:75" ht="13.5" customHeight="1">
      <c r="A837" s="2" t="s">
        <v>1357</v>
      </c>
      <c r="B837" s="3" t="s">
        <v>1339</v>
      </c>
      <c r="C837" s="3" t="s">
        <v>742</v>
      </c>
      <c r="D837" s="148" t="s">
        <v>743</v>
      </c>
      <c r="E837" s="143"/>
      <c r="F837" s="3" t="s">
        <v>154</v>
      </c>
      <c r="G837" s="27">
        <v>2</v>
      </c>
      <c r="H837" s="27">
        <v>0</v>
      </c>
      <c r="I837" s="27">
        <f t="shared" si="216"/>
        <v>0</v>
      </c>
      <c r="J837" s="27">
        <f t="shared" si="217"/>
        <v>0</v>
      </c>
      <c r="K837" s="27">
        <f t="shared" si="218"/>
        <v>0</v>
      </c>
      <c r="L837" s="28" t="s">
        <v>52</v>
      </c>
      <c r="Z837" s="27">
        <f t="shared" si="219"/>
        <v>0</v>
      </c>
      <c r="AB837" s="27">
        <f t="shared" si="220"/>
        <v>0</v>
      </c>
      <c r="AC837" s="27">
        <f t="shared" si="221"/>
        <v>0</v>
      </c>
      <c r="AD837" s="27">
        <f t="shared" si="222"/>
        <v>0</v>
      </c>
      <c r="AE837" s="27">
        <f t="shared" si="223"/>
        <v>0</v>
      </c>
      <c r="AF837" s="27">
        <f t="shared" si="224"/>
        <v>0</v>
      </c>
      <c r="AG837" s="27">
        <f t="shared" si="225"/>
        <v>0</v>
      </c>
      <c r="AH837" s="27">
        <f t="shared" si="226"/>
        <v>0</v>
      </c>
      <c r="AI837" s="9" t="s">
        <v>1339</v>
      </c>
      <c r="AJ837" s="27">
        <f t="shared" si="227"/>
        <v>0</v>
      </c>
      <c r="AK837" s="27">
        <f t="shared" si="228"/>
        <v>0</v>
      </c>
      <c r="AL837" s="27">
        <f t="shared" si="229"/>
        <v>0</v>
      </c>
      <c r="AN837" s="27">
        <v>21</v>
      </c>
      <c r="AO837" s="27">
        <f t="shared" si="230"/>
        <v>0</v>
      </c>
      <c r="AP837" s="27">
        <f t="shared" si="231"/>
        <v>0</v>
      </c>
      <c r="AQ837" s="29" t="s">
        <v>84</v>
      </c>
      <c r="AV837" s="27">
        <f t="shared" si="232"/>
        <v>0</v>
      </c>
      <c r="AW837" s="27">
        <f t="shared" si="233"/>
        <v>0</v>
      </c>
      <c r="AX837" s="27">
        <f t="shared" si="234"/>
        <v>0</v>
      </c>
      <c r="AY837" s="29" t="s">
        <v>704</v>
      </c>
      <c r="AZ837" s="29" t="s">
        <v>1342</v>
      </c>
      <c r="BA837" s="9" t="s">
        <v>1343</v>
      </c>
      <c r="BC837" s="27">
        <f t="shared" si="235"/>
        <v>0</v>
      </c>
      <c r="BD837" s="27">
        <f t="shared" si="236"/>
        <v>0</v>
      </c>
      <c r="BE837" s="27">
        <v>0</v>
      </c>
      <c r="BF837" s="27">
        <f>837</f>
        <v>837</v>
      </c>
      <c r="BH837" s="27">
        <f t="shared" si="237"/>
        <v>0</v>
      </c>
      <c r="BI837" s="27">
        <f t="shared" si="238"/>
        <v>0</v>
      </c>
      <c r="BJ837" s="27">
        <f t="shared" si="239"/>
        <v>0</v>
      </c>
      <c r="BK837" s="27"/>
      <c r="BL837" s="27">
        <v>722</v>
      </c>
      <c r="BW837" s="27">
        <v>21</v>
      </c>
    </row>
    <row r="838" spans="1:75" ht="13.5" customHeight="1">
      <c r="A838" s="2" t="s">
        <v>1358</v>
      </c>
      <c r="B838" s="3" t="s">
        <v>1339</v>
      </c>
      <c r="C838" s="3" t="s">
        <v>745</v>
      </c>
      <c r="D838" s="148" t="s">
        <v>746</v>
      </c>
      <c r="E838" s="143"/>
      <c r="F838" s="3" t="s">
        <v>154</v>
      </c>
      <c r="G838" s="27">
        <v>2</v>
      </c>
      <c r="H838" s="27">
        <v>0</v>
      </c>
      <c r="I838" s="27">
        <f t="shared" si="216"/>
        <v>0</v>
      </c>
      <c r="J838" s="27">
        <f t="shared" si="217"/>
        <v>0</v>
      </c>
      <c r="K838" s="27">
        <f t="shared" si="218"/>
        <v>0</v>
      </c>
      <c r="L838" s="28" t="s">
        <v>52</v>
      </c>
      <c r="Z838" s="27">
        <f t="shared" si="219"/>
        <v>0</v>
      </c>
      <c r="AB838" s="27">
        <f t="shared" si="220"/>
        <v>0</v>
      </c>
      <c r="AC838" s="27">
        <f t="shared" si="221"/>
        <v>0</v>
      </c>
      <c r="AD838" s="27">
        <f t="shared" si="222"/>
        <v>0</v>
      </c>
      <c r="AE838" s="27">
        <f t="shared" si="223"/>
        <v>0</v>
      </c>
      <c r="AF838" s="27">
        <f t="shared" si="224"/>
        <v>0</v>
      </c>
      <c r="AG838" s="27">
        <f t="shared" si="225"/>
        <v>0</v>
      </c>
      <c r="AH838" s="27">
        <f t="shared" si="226"/>
        <v>0</v>
      </c>
      <c r="AI838" s="9" t="s">
        <v>1339</v>
      </c>
      <c r="AJ838" s="27">
        <f t="shared" si="227"/>
        <v>0</v>
      </c>
      <c r="AK838" s="27">
        <f t="shared" si="228"/>
        <v>0</v>
      </c>
      <c r="AL838" s="27">
        <f t="shared" si="229"/>
        <v>0</v>
      </c>
      <c r="AN838" s="27">
        <v>21</v>
      </c>
      <c r="AO838" s="27">
        <f t="shared" si="230"/>
        <v>0</v>
      </c>
      <c r="AP838" s="27">
        <f t="shared" si="231"/>
        <v>0</v>
      </c>
      <c r="AQ838" s="29" t="s">
        <v>84</v>
      </c>
      <c r="AV838" s="27">
        <f t="shared" si="232"/>
        <v>0</v>
      </c>
      <c r="AW838" s="27">
        <f t="shared" si="233"/>
        <v>0</v>
      </c>
      <c r="AX838" s="27">
        <f t="shared" si="234"/>
        <v>0</v>
      </c>
      <c r="AY838" s="29" t="s">
        <v>704</v>
      </c>
      <c r="AZ838" s="29" t="s">
        <v>1342</v>
      </c>
      <c r="BA838" s="9" t="s">
        <v>1343</v>
      </c>
      <c r="BC838" s="27">
        <f t="shared" si="235"/>
        <v>0</v>
      </c>
      <c r="BD838" s="27">
        <f t="shared" si="236"/>
        <v>0</v>
      </c>
      <c r="BE838" s="27">
        <v>0</v>
      </c>
      <c r="BF838" s="27">
        <f>838</f>
        <v>838</v>
      </c>
      <c r="BH838" s="27">
        <f t="shared" si="237"/>
        <v>0</v>
      </c>
      <c r="BI838" s="27">
        <f t="shared" si="238"/>
        <v>0</v>
      </c>
      <c r="BJ838" s="27">
        <f t="shared" si="239"/>
        <v>0</v>
      </c>
      <c r="BK838" s="27"/>
      <c r="BL838" s="27">
        <v>722</v>
      </c>
      <c r="BW838" s="27">
        <v>21</v>
      </c>
    </row>
    <row r="839" spans="1:75" ht="13.5" customHeight="1">
      <c r="A839" s="2" t="s">
        <v>1359</v>
      </c>
      <c r="B839" s="3" t="s">
        <v>1339</v>
      </c>
      <c r="C839" s="3" t="s">
        <v>748</v>
      </c>
      <c r="D839" s="148" t="s">
        <v>749</v>
      </c>
      <c r="E839" s="143"/>
      <c r="F839" s="3" t="s">
        <v>154</v>
      </c>
      <c r="G839" s="27">
        <v>2</v>
      </c>
      <c r="H839" s="27">
        <v>0</v>
      </c>
      <c r="I839" s="27">
        <f t="shared" si="216"/>
        <v>0</v>
      </c>
      <c r="J839" s="27">
        <f t="shared" si="217"/>
        <v>0</v>
      </c>
      <c r="K839" s="27">
        <f t="shared" si="218"/>
        <v>0</v>
      </c>
      <c r="L839" s="28" t="s">
        <v>52</v>
      </c>
      <c r="Z839" s="27">
        <f t="shared" si="219"/>
        <v>0</v>
      </c>
      <c r="AB839" s="27">
        <f t="shared" si="220"/>
        <v>0</v>
      </c>
      <c r="AC839" s="27">
        <f t="shared" si="221"/>
        <v>0</v>
      </c>
      <c r="AD839" s="27">
        <f t="shared" si="222"/>
        <v>0</v>
      </c>
      <c r="AE839" s="27">
        <f t="shared" si="223"/>
        <v>0</v>
      </c>
      <c r="AF839" s="27">
        <f t="shared" si="224"/>
        <v>0</v>
      </c>
      <c r="AG839" s="27">
        <f t="shared" si="225"/>
        <v>0</v>
      </c>
      <c r="AH839" s="27">
        <f t="shared" si="226"/>
        <v>0</v>
      </c>
      <c r="AI839" s="9" t="s">
        <v>1339</v>
      </c>
      <c r="AJ839" s="27">
        <f t="shared" si="227"/>
        <v>0</v>
      </c>
      <c r="AK839" s="27">
        <f t="shared" si="228"/>
        <v>0</v>
      </c>
      <c r="AL839" s="27">
        <f t="shared" si="229"/>
        <v>0</v>
      </c>
      <c r="AN839" s="27">
        <v>21</v>
      </c>
      <c r="AO839" s="27">
        <f t="shared" si="230"/>
        <v>0</v>
      </c>
      <c r="AP839" s="27">
        <f t="shared" si="231"/>
        <v>0</v>
      </c>
      <c r="AQ839" s="29" t="s">
        <v>84</v>
      </c>
      <c r="AV839" s="27">
        <f t="shared" si="232"/>
        <v>0</v>
      </c>
      <c r="AW839" s="27">
        <f t="shared" si="233"/>
        <v>0</v>
      </c>
      <c r="AX839" s="27">
        <f t="shared" si="234"/>
        <v>0</v>
      </c>
      <c r="AY839" s="29" t="s">
        <v>704</v>
      </c>
      <c r="AZ839" s="29" t="s">
        <v>1342</v>
      </c>
      <c r="BA839" s="9" t="s">
        <v>1343</v>
      </c>
      <c r="BC839" s="27">
        <f t="shared" si="235"/>
        <v>0</v>
      </c>
      <c r="BD839" s="27">
        <f t="shared" si="236"/>
        <v>0</v>
      </c>
      <c r="BE839" s="27">
        <v>0</v>
      </c>
      <c r="BF839" s="27">
        <f>839</f>
        <v>839</v>
      </c>
      <c r="BH839" s="27">
        <f t="shared" si="237"/>
        <v>0</v>
      </c>
      <c r="BI839" s="27">
        <f t="shared" si="238"/>
        <v>0</v>
      </c>
      <c r="BJ839" s="27">
        <f t="shared" si="239"/>
        <v>0</v>
      </c>
      <c r="BK839" s="27"/>
      <c r="BL839" s="27">
        <v>722</v>
      </c>
      <c r="BW839" s="27">
        <v>21</v>
      </c>
    </row>
    <row r="840" spans="1:75" ht="13.5" customHeight="1">
      <c r="A840" s="2" t="s">
        <v>1360</v>
      </c>
      <c r="B840" s="3" t="s">
        <v>1339</v>
      </c>
      <c r="C840" s="3" t="s">
        <v>754</v>
      </c>
      <c r="D840" s="148" t="s">
        <v>755</v>
      </c>
      <c r="E840" s="143"/>
      <c r="F840" s="3" t="s">
        <v>224</v>
      </c>
      <c r="G840" s="27">
        <v>2</v>
      </c>
      <c r="H840" s="27">
        <v>0</v>
      </c>
      <c r="I840" s="27">
        <f t="shared" si="216"/>
        <v>0</v>
      </c>
      <c r="J840" s="27">
        <f t="shared" si="217"/>
        <v>0</v>
      </c>
      <c r="K840" s="27">
        <f t="shared" si="218"/>
        <v>0</v>
      </c>
      <c r="L840" s="28" t="s">
        <v>52</v>
      </c>
      <c r="Z840" s="27">
        <f t="shared" si="219"/>
        <v>0</v>
      </c>
      <c r="AB840" s="27">
        <f t="shared" si="220"/>
        <v>0</v>
      </c>
      <c r="AC840" s="27">
        <f t="shared" si="221"/>
        <v>0</v>
      </c>
      <c r="AD840" s="27">
        <f t="shared" si="222"/>
        <v>0</v>
      </c>
      <c r="AE840" s="27">
        <f t="shared" si="223"/>
        <v>0</v>
      </c>
      <c r="AF840" s="27">
        <f t="shared" si="224"/>
        <v>0</v>
      </c>
      <c r="AG840" s="27">
        <f t="shared" si="225"/>
        <v>0</v>
      </c>
      <c r="AH840" s="27">
        <f t="shared" si="226"/>
        <v>0</v>
      </c>
      <c r="AI840" s="9" t="s">
        <v>1339</v>
      </c>
      <c r="AJ840" s="27">
        <f t="shared" si="227"/>
        <v>0</v>
      </c>
      <c r="AK840" s="27">
        <f t="shared" si="228"/>
        <v>0</v>
      </c>
      <c r="AL840" s="27">
        <f t="shared" si="229"/>
        <v>0</v>
      </c>
      <c r="AN840" s="27">
        <v>21</v>
      </c>
      <c r="AO840" s="27">
        <f t="shared" si="230"/>
        <v>0</v>
      </c>
      <c r="AP840" s="27">
        <f t="shared" si="231"/>
        <v>0</v>
      </c>
      <c r="AQ840" s="29" t="s">
        <v>84</v>
      </c>
      <c r="AV840" s="27">
        <f t="shared" si="232"/>
        <v>0</v>
      </c>
      <c r="AW840" s="27">
        <f t="shared" si="233"/>
        <v>0</v>
      </c>
      <c r="AX840" s="27">
        <f t="shared" si="234"/>
        <v>0</v>
      </c>
      <c r="AY840" s="29" t="s">
        <v>704</v>
      </c>
      <c r="AZ840" s="29" t="s">
        <v>1342</v>
      </c>
      <c r="BA840" s="9" t="s">
        <v>1343</v>
      </c>
      <c r="BC840" s="27">
        <f t="shared" si="235"/>
        <v>0</v>
      </c>
      <c r="BD840" s="27">
        <f t="shared" si="236"/>
        <v>0</v>
      </c>
      <c r="BE840" s="27">
        <v>0</v>
      </c>
      <c r="BF840" s="27">
        <f>840</f>
        <v>840</v>
      </c>
      <c r="BH840" s="27">
        <f t="shared" si="237"/>
        <v>0</v>
      </c>
      <c r="BI840" s="27">
        <f t="shared" si="238"/>
        <v>0</v>
      </c>
      <c r="BJ840" s="27">
        <f t="shared" si="239"/>
        <v>0</v>
      </c>
      <c r="BK840" s="27"/>
      <c r="BL840" s="27">
        <v>722</v>
      </c>
      <c r="BW840" s="27">
        <v>21</v>
      </c>
    </row>
    <row r="841" spans="1:75" ht="13.5" customHeight="1">
      <c r="A841" s="2" t="s">
        <v>1361</v>
      </c>
      <c r="B841" s="3" t="s">
        <v>1339</v>
      </c>
      <c r="C841" s="3" t="s">
        <v>760</v>
      </c>
      <c r="D841" s="148" t="s">
        <v>761</v>
      </c>
      <c r="E841" s="143"/>
      <c r="F841" s="3" t="s">
        <v>762</v>
      </c>
      <c r="G841" s="27">
        <v>1</v>
      </c>
      <c r="H841" s="27">
        <v>0</v>
      </c>
      <c r="I841" s="27">
        <f t="shared" si="216"/>
        <v>0</v>
      </c>
      <c r="J841" s="27">
        <f t="shared" si="217"/>
        <v>0</v>
      </c>
      <c r="K841" s="27">
        <f t="shared" si="218"/>
        <v>0</v>
      </c>
      <c r="L841" s="28" t="s">
        <v>52</v>
      </c>
      <c r="Z841" s="27">
        <f t="shared" si="219"/>
        <v>0</v>
      </c>
      <c r="AB841" s="27">
        <f t="shared" si="220"/>
        <v>0</v>
      </c>
      <c r="AC841" s="27">
        <f t="shared" si="221"/>
        <v>0</v>
      </c>
      <c r="AD841" s="27">
        <f t="shared" si="222"/>
        <v>0</v>
      </c>
      <c r="AE841" s="27">
        <f t="shared" si="223"/>
        <v>0</v>
      </c>
      <c r="AF841" s="27">
        <f t="shared" si="224"/>
        <v>0</v>
      </c>
      <c r="AG841" s="27">
        <f t="shared" si="225"/>
        <v>0</v>
      </c>
      <c r="AH841" s="27">
        <f t="shared" si="226"/>
        <v>0</v>
      </c>
      <c r="AI841" s="9" t="s">
        <v>1339</v>
      </c>
      <c r="AJ841" s="27">
        <f t="shared" si="227"/>
        <v>0</v>
      </c>
      <c r="AK841" s="27">
        <f t="shared" si="228"/>
        <v>0</v>
      </c>
      <c r="AL841" s="27">
        <f t="shared" si="229"/>
        <v>0</v>
      </c>
      <c r="AN841" s="27">
        <v>21</v>
      </c>
      <c r="AO841" s="27">
        <f t="shared" si="230"/>
        <v>0</v>
      </c>
      <c r="AP841" s="27">
        <f t="shared" si="231"/>
        <v>0</v>
      </c>
      <c r="AQ841" s="29" t="s">
        <v>84</v>
      </c>
      <c r="AV841" s="27">
        <f t="shared" si="232"/>
        <v>0</v>
      </c>
      <c r="AW841" s="27">
        <f t="shared" si="233"/>
        <v>0</v>
      </c>
      <c r="AX841" s="27">
        <f t="shared" si="234"/>
        <v>0</v>
      </c>
      <c r="AY841" s="29" t="s">
        <v>704</v>
      </c>
      <c r="AZ841" s="29" t="s">
        <v>1342</v>
      </c>
      <c r="BA841" s="9" t="s">
        <v>1343</v>
      </c>
      <c r="BC841" s="27">
        <f t="shared" si="235"/>
        <v>0</v>
      </c>
      <c r="BD841" s="27">
        <f t="shared" si="236"/>
        <v>0</v>
      </c>
      <c r="BE841" s="27">
        <v>0</v>
      </c>
      <c r="BF841" s="27">
        <f>841</f>
        <v>841</v>
      </c>
      <c r="BH841" s="27">
        <f t="shared" si="237"/>
        <v>0</v>
      </c>
      <c r="BI841" s="27">
        <f t="shared" si="238"/>
        <v>0</v>
      </c>
      <c r="BJ841" s="27">
        <f t="shared" si="239"/>
        <v>0</v>
      </c>
      <c r="BK841" s="27"/>
      <c r="BL841" s="27">
        <v>722</v>
      </c>
      <c r="BW841" s="27">
        <v>21</v>
      </c>
    </row>
    <row r="842" spans="1:75" ht="13.5" customHeight="1">
      <c r="A842" s="2" t="s">
        <v>1362</v>
      </c>
      <c r="B842" s="3" t="s">
        <v>1339</v>
      </c>
      <c r="C842" s="3" t="s">
        <v>764</v>
      </c>
      <c r="D842" s="148" t="s">
        <v>765</v>
      </c>
      <c r="E842" s="143"/>
      <c r="F842" s="3" t="s">
        <v>126</v>
      </c>
      <c r="G842" s="27">
        <v>1</v>
      </c>
      <c r="H842" s="27">
        <v>0</v>
      </c>
      <c r="I842" s="27">
        <f t="shared" si="216"/>
        <v>0</v>
      </c>
      <c r="J842" s="27">
        <f t="shared" si="217"/>
        <v>0</v>
      </c>
      <c r="K842" s="27">
        <f t="shared" si="218"/>
        <v>0</v>
      </c>
      <c r="L842" s="28" t="s">
        <v>52</v>
      </c>
      <c r="Z842" s="27">
        <f t="shared" si="219"/>
        <v>0</v>
      </c>
      <c r="AB842" s="27">
        <f t="shared" si="220"/>
        <v>0</v>
      </c>
      <c r="AC842" s="27">
        <f t="shared" si="221"/>
        <v>0</v>
      </c>
      <c r="AD842" s="27">
        <f t="shared" si="222"/>
        <v>0</v>
      </c>
      <c r="AE842" s="27">
        <f t="shared" si="223"/>
        <v>0</v>
      </c>
      <c r="AF842" s="27">
        <f t="shared" si="224"/>
        <v>0</v>
      </c>
      <c r="AG842" s="27">
        <f t="shared" si="225"/>
        <v>0</v>
      </c>
      <c r="AH842" s="27">
        <f t="shared" si="226"/>
        <v>0</v>
      </c>
      <c r="AI842" s="9" t="s">
        <v>1339</v>
      </c>
      <c r="AJ842" s="27">
        <f t="shared" si="227"/>
        <v>0</v>
      </c>
      <c r="AK842" s="27">
        <f t="shared" si="228"/>
        <v>0</v>
      </c>
      <c r="AL842" s="27">
        <f t="shared" si="229"/>
        <v>0</v>
      </c>
      <c r="AN842" s="27">
        <v>21</v>
      </c>
      <c r="AO842" s="27">
        <f t="shared" si="230"/>
        <v>0</v>
      </c>
      <c r="AP842" s="27">
        <f t="shared" si="231"/>
        <v>0</v>
      </c>
      <c r="AQ842" s="29" t="s">
        <v>84</v>
      </c>
      <c r="AV842" s="27">
        <f t="shared" si="232"/>
        <v>0</v>
      </c>
      <c r="AW842" s="27">
        <f t="shared" si="233"/>
        <v>0</v>
      </c>
      <c r="AX842" s="27">
        <f t="shared" si="234"/>
        <v>0</v>
      </c>
      <c r="AY842" s="29" t="s">
        <v>704</v>
      </c>
      <c r="AZ842" s="29" t="s">
        <v>1342</v>
      </c>
      <c r="BA842" s="9" t="s">
        <v>1343</v>
      </c>
      <c r="BC842" s="27">
        <f t="shared" si="235"/>
        <v>0</v>
      </c>
      <c r="BD842" s="27">
        <f t="shared" si="236"/>
        <v>0</v>
      </c>
      <c r="BE842" s="27">
        <v>0</v>
      </c>
      <c r="BF842" s="27">
        <f>842</f>
        <v>842</v>
      </c>
      <c r="BH842" s="27">
        <f t="shared" si="237"/>
        <v>0</v>
      </c>
      <c r="BI842" s="27">
        <f t="shared" si="238"/>
        <v>0</v>
      </c>
      <c r="BJ842" s="27">
        <f t="shared" si="239"/>
        <v>0</v>
      </c>
      <c r="BK842" s="27"/>
      <c r="BL842" s="27">
        <v>722</v>
      </c>
      <c r="BW842" s="27">
        <v>21</v>
      </c>
    </row>
    <row r="843" spans="1:75" ht="13.5" customHeight="1">
      <c r="A843" s="2" t="s">
        <v>1363</v>
      </c>
      <c r="B843" s="3" t="s">
        <v>1339</v>
      </c>
      <c r="C843" s="3" t="s">
        <v>770</v>
      </c>
      <c r="D843" s="148" t="s">
        <v>771</v>
      </c>
      <c r="E843" s="143"/>
      <c r="F843" s="3" t="s">
        <v>126</v>
      </c>
      <c r="G843" s="27">
        <v>1</v>
      </c>
      <c r="H843" s="27">
        <v>0</v>
      </c>
      <c r="I843" s="27">
        <f t="shared" si="216"/>
        <v>0</v>
      </c>
      <c r="J843" s="27">
        <f t="shared" si="217"/>
        <v>0</v>
      </c>
      <c r="K843" s="27">
        <f t="shared" si="218"/>
        <v>0</v>
      </c>
      <c r="L843" s="28" t="s">
        <v>52</v>
      </c>
      <c r="Z843" s="27">
        <f t="shared" si="219"/>
        <v>0</v>
      </c>
      <c r="AB843" s="27">
        <f t="shared" si="220"/>
        <v>0</v>
      </c>
      <c r="AC843" s="27">
        <f t="shared" si="221"/>
        <v>0</v>
      </c>
      <c r="AD843" s="27">
        <f t="shared" si="222"/>
        <v>0</v>
      </c>
      <c r="AE843" s="27">
        <f t="shared" si="223"/>
        <v>0</v>
      </c>
      <c r="AF843" s="27">
        <f t="shared" si="224"/>
        <v>0</v>
      </c>
      <c r="AG843" s="27">
        <f t="shared" si="225"/>
        <v>0</v>
      </c>
      <c r="AH843" s="27">
        <f t="shared" si="226"/>
        <v>0</v>
      </c>
      <c r="AI843" s="9" t="s">
        <v>1339</v>
      </c>
      <c r="AJ843" s="27">
        <f t="shared" si="227"/>
        <v>0</v>
      </c>
      <c r="AK843" s="27">
        <f t="shared" si="228"/>
        <v>0</v>
      </c>
      <c r="AL843" s="27">
        <f t="shared" si="229"/>
        <v>0</v>
      </c>
      <c r="AN843" s="27">
        <v>21</v>
      </c>
      <c r="AO843" s="27">
        <f t="shared" si="230"/>
        <v>0</v>
      </c>
      <c r="AP843" s="27">
        <f t="shared" si="231"/>
        <v>0</v>
      </c>
      <c r="AQ843" s="29" t="s">
        <v>84</v>
      </c>
      <c r="AV843" s="27">
        <f t="shared" si="232"/>
        <v>0</v>
      </c>
      <c r="AW843" s="27">
        <f t="shared" si="233"/>
        <v>0</v>
      </c>
      <c r="AX843" s="27">
        <f t="shared" si="234"/>
        <v>0</v>
      </c>
      <c r="AY843" s="29" t="s">
        <v>704</v>
      </c>
      <c r="AZ843" s="29" t="s">
        <v>1342</v>
      </c>
      <c r="BA843" s="9" t="s">
        <v>1343</v>
      </c>
      <c r="BC843" s="27">
        <f t="shared" si="235"/>
        <v>0</v>
      </c>
      <c r="BD843" s="27">
        <f t="shared" si="236"/>
        <v>0</v>
      </c>
      <c r="BE843" s="27">
        <v>0</v>
      </c>
      <c r="BF843" s="27">
        <f>843</f>
        <v>843</v>
      </c>
      <c r="BH843" s="27">
        <f t="shared" si="237"/>
        <v>0</v>
      </c>
      <c r="BI843" s="27">
        <f t="shared" si="238"/>
        <v>0</v>
      </c>
      <c r="BJ843" s="27">
        <f t="shared" si="239"/>
        <v>0</v>
      </c>
      <c r="BK843" s="27"/>
      <c r="BL843" s="27">
        <v>722</v>
      </c>
      <c r="BW843" s="27">
        <v>21</v>
      </c>
    </row>
    <row r="844" spans="1:75" ht="13.5" customHeight="1">
      <c r="A844" s="2" t="s">
        <v>1364</v>
      </c>
      <c r="B844" s="3" t="s">
        <v>1339</v>
      </c>
      <c r="C844" s="3" t="s">
        <v>773</v>
      </c>
      <c r="D844" s="148" t="s">
        <v>774</v>
      </c>
      <c r="E844" s="143"/>
      <c r="F844" s="3" t="s">
        <v>546</v>
      </c>
      <c r="G844" s="27">
        <v>1</v>
      </c>
      <c r="H844" s="27">
        <v>0</v>
      </c>
      <c r="I844" s="27">
        <f t="shared" si="216"/>
        <v>0</v>
      </c>
      <c r="J844" s="27">
        <f t="shared" si="217"/>
        <v>0</v>
      </c>
      <c r="K844" s="27">
        <f t="shared" si="218"/>
        <v>0</v>
      </c>
      <c r="L844" s="28" t="s">
        <v>52</v>
      </c>
      <c r="Z844" s="27">
        <f t="shared" si="219"/>
        <v>0</v>
      </c>
      <c r="AB844" s="27">
        <f t="shared" si="220"/>
        <v>0</v>
      </c>
      <c r="AC844" s="27">
        <f t="shared" si="221"/>
        <v>0</v>
      </c>
      <c r="AD844" s="27">
        <f t="shared" si="222"/>
        <v>0</v>
      </c>
      <c r="AE844" s="27">
        <f t="shared" si="223"/>
        <v>0</v>
      </c>
      <c r="AF844" s="27">
        <f t="shared" si="224"/>
        <v>0</v>
      </c>
      <c r="AG844" s="27">
        <f t="shared" si="225"/>
        <v>0</v>
      </c>
      <c r="AH844" s="27">
        <f t="shared" si="226"/>
        <v>0</v>
      </c>
      <c r="AI844" s="9" t="s">
        <v>1339</v>
      </c>
      <c r="AJ844" s="27">
        <f t="shared" si="227"/>
        <v>0</v>
      </c>
      <c r="AK844" s="27">
        <f t="shared" si="228"/>
        <v>0</v>
      </c>
      <c r="AL844" s="27">
        <f t="shared" si="229"/>
        <v>0</v>
      </c>
      <c r="AN844" s="27">
        <v>21</v>
      </c>
      <c r="AO844" s="27">
        <f t="shared" si="230"/>
        <v>0</v>
      </c>
      <c r="AP844" s="27">
        <f t="shared" si="231"/>
        <v>0</v>
      </c>
      <c r="AQ844" s="29" t="s">
        <v>84</v>
      </c>
      <c r="AV844" s="27">
        <f t="shared" si="232"/>
        <v>0</v>
      </c>
      <c r="AW844" s="27">
        <f t="shared" si="233"/>
        <v>0</v>
      </c>
      <c r="AX844" s="27">
        <f t="shared" si="234"/>
        <v>0</v>
      </c>
      <c r="AY844" s="29" t="s">
        <v>704</v>
      </c>
      <c r="AZ844" s="29" t="s">
        <v>1342</v>
      </c>
      <c r="BA844" s="9" t="s">
        <v>1343</v>
      </c>
      <c r="BC844" s="27">
        <f t="shared" si="235"/>
        <v>0</v>
      </c>
      <c r="BD844" s="27">
        <f t="shared" si="236"/>
        <v>0</v>
      </c>
      <c r="BE844" s="27">
        <v>0</v>
      </c>
      <c r="BF844" s="27">
        <f>844</f>
        <v>844</v>
      </c>
      <c r="BH844" s="27">
        <f t="shared" si="237"/>
        <v>0</v>
      </c>
      <c r="BI844" s="27">
        <f t="shared" si="238"/>
        <v>0</v>
      </c>
      <c r="BJ844" s="27">
        <f t="shared" si="239"/>
        <v>0</v>
      </c>
      <c r="BK844" s="27"/>
      <c r="BL844" s="27">
        <v>722</v>
      </c>
      <c r="BW844" s="27">
        <v>21</v>
      </c>
    </row>
    <row r="845" spans="1:75" ht="13.5" customHeight="1">
      <c r="A845" s="2" t="s">
        <v>1365</v>
      </c>
      <c r="B845" s="3" t="s">
        <v>1339</v>
      </c>
      <c r="C845" s="3" t="s">
        <v>776</v>
      </c>
      <c r="D845" s="148" t="s">
        <v>777</v>
      </c>
      <c r="E845" s="143"/>
      <c r="F845" s="3" t="s">
        <v>546</v>
      </c>
      <c r="G845" s="27">
        <v>1</v>
      </c>
      <c r="H845" s="27">
        <v>0</v>
      </c>
      <c r="I845" s="27">
        <f t="shared" si="216"/>
        <v>0</v>
      </c>
      <c r="J845" s="27">
        <f t="shared" si="217"/>
        <v>0</v>
      </c>
      <c r="K845" s="27">
        <f t="shared" si="218"/>
        <v>0</v>
      </c>
      <c r="L845" s="28" t="s">
        <v>52</v>
      </c>
      <c r="Z845" s="27">
        <f t="shared" si="219"/>
        <v>0</v>
      </c>
      <c r="AB845" s="27">
        <f t="shared" si="220"/>
        <v>0</v>
      </c>
      <c r="AC845" s="27">
        <f t="shared" si="221"/>
        <v>0</v>
      </c>
      <c r="AD845" s="27">
        <f t="shared" si="222"/>
        <v>0</v>
      </c>
      <c r="AE845" s="27">
        <f t="shared" si="223"/>
        <v>0</v>
      </c>
      <c r="AF845" s="27">
        <f t="shared" si="224"/>
        <v>0</v>
      </c>
      <c r="AG845" s="27">
        <f t="shared" si="225"/>
        <v>0</v>
      </c>
      <c r="AH845" s="27">
        <f t="shared" si="226"/>
        <v>0</v>
      </c>
      <c r="AI845" s="9" t="s">
        <v>1339</v>
      </c>
      <c r="AJ845" s="27">
        <f t="shared" si="227"/>
        <v>0</v>
      </c>
      <c r="AK845" s="27">
        <f t="shared" si="228"/>
        <v>0</v>
      </c>
      <c r="AL845" s="27">
        <f t="shared" si="229"/>
        <v>0</v>
      </c>
      <c r="AN845" s="27">
        <v>21</v>
      </c>
      <c r="AO845" s="27">
        <f t="shared" si="230"/>
        <v>0</v>
      </c>
      <c r="AP845" s="27">
        <f t="shared" si="231"/>
        <v>0</v>
      </c>
      <c r="AQ845" s="29" t="s">
        <v>84</v>
      </c>
      <c r="AV845" s="27">
        <f t="shared" si="232"/>
        <v>0</v>
      </c>
      <c r="AW845" s="27">
        <f t="shared" si="233"/>
        <v>0</v>
      </c>
      <c r="AX845" s="27">
        <f t="shared" si="234"/>
        <v>0</v>
      </c>
      <c r="AY845" s="29" t="s">
        <v>704</v>
      </c>
      <c r="AZ845" s="29" t="s">
        <v>1342</v>
      </c>
      <c r="BA845" s="9" t="s">
        <v>1343</v>
      </c>
      <c r="BC845" s="27">
        <f t="shared" si="235"/>
        <v>0</v>
      </c>
      <c r="BD845" s="27">
        <f t="shared" si="236"/>
        <v>0</v>
      </c>
      <c r="BE845" s="27">
        <v>0</v>
      </c>
      <c r="BF845" s="27">
        <f>845</f>
        <v>845</v>
      </c>
      <c r="BH845" s="27">
        <f t="shared" si="237"/>
        <v>0</v>
      </c>
      <c r="BI845" s="27">
        <f t="shared" si="238"/>
        <v>0</v>
      </c>
      <c r="BJ845" s="27">
        <f t="shared" si="239"/>
        <v>0</v>
      </c>
      <c r="BK845" s="27"/>
      <c r="BL845" s="27">
        <v>722</v>
      </c>
      <c r="BW845" s="27">
        <v>21</v>
      </c>
    </row>
    <row r="846" spans="1:47" ht="15">
      <c r="A846" s="23" t="s">
        <v>52</v>
      </c>
      <c r="B846" s="24" t="s">
        <v>1339</v>
      </c>
      <c r="C846" s="24" t="s">
        <v>209</v>
      </c>
      <c r="D846" s="164" t="s">
        <v>210</v>
      </c>
      <c r="E846" s="165"/>
      <c r="F846" s="25" t="s">
        <v>4</v>
      </c>
      <c r="G846" s="25" t="s">
        <v>4</v>
      </c>
      <c r="H846" s="25" t="s">
        <v>4</v>
      </c>
      <c r="I846" s="1">
        <f>SUM(I847:I858)</f>
        <v>0</v>
      </c>
      <c r="J846" s="1">
        <f>SUM(J847:J858)</f>
        <v>0</v>
      </c>
      <c r="K846" s="1">
        <f>SUM(K847:K858)</f>
        <v>0</v>
      </c>
      <c r="L846" s="26" t="s">
        <v>52</v>
      </c>
      <c r="AI846" s="9" t="s">
        <v>1339</v>
      </c>
      <c r="AS846" s="1">
        <f>SUM(AJ847:AJ858)</f>
        <v>0</v>
      </c>
      <c r="AT846" s="1">
        <f>SUM(AK847:AK858)</f>
        <v>0</v>
      </c>
      <c r="AU846" s="1">
        <f>SUM(AL847:AL858)</f>
        <v>0</v>
      </c>
    </row>
    <row r="847" spans="1:75" ht="13.5" customHeight="1">
      <c r="A847" s="2" t="s">
        <v>1366</v>
      </c>
      <c r="B847" s="3" t="s">
        <v>1339</v>
      </c>
      <c r="C847" s="3" t="s">
        <v>782</v>
      </c>
      <c r="D847" s="148" t="s">
        <v>783</v>
      </c>
      <c r="E847" s="143"/>
      <c r="F847" s="3" t="s">
        <v>224</v>
      </c>
      <c r="G847" s="27">
        <v>1</v>
      </c>
      <c r="H847" s="27">
        <v>0</v>
      </c>
      <c r="I847" s="27">
        <f aca="true" t="shared" si="240" ref="I847:I858">G847*AO847</f>
        <v>0</v>
      </c>
      <c r="J847" s="27">
        <f aca="true" t="shared" si="241" ref="J847:J858">G847*AP847</f>
        <v>0</v>
      </c>
      <c r="K847" s="27">
        <f aca="true" t="shared" si="242" ref="K847:K858">G847*H847</f>
        <v>0</v>
      </c>
      <c r="L847" s="28" t="s">
        <v>52</v>
      </c>
      <c r="Z847" s="27">
        <f aca="true" t="shared" si="243" ref="Z847:Z858">IF(AQ847="5",BJ847,0)</f>
        <v>0</v>
      </c>
      <c r="AB847" s="27">
        <f aca="true" t="shared" si="244" ref="AB847:AB858">IF(AQ847="1",BH847,0)</f>
        <v>0</v>
      </c>
      <c r="AC847" s="27">
        <f aca="true" t="shared" si="245" ref="AC847:AC858">IF(AQ847="1",BI847,0)</f>
        <v>0</v>
      </c>
      <c r="AD847" s="27">
        <f aca="true" t="shared" si="246" ref="AD847:AD858">IF(AQ847="7",BH847,0)</f>
        <v>0</v>
      </c>
      <c r="AE847" s="27">
        <f aca="true" t="shared" si="247" ref="AE847:AE858">IF(AQ847="7",BI847,0)</f>
        <v>0</v>
      </c>
      <c r="AF847" s="27">
        <f aca="true" t="shared" si="248" ref="AF847:AF858">IF(AQ847="2",BH847,0)</f>
        <v>0</v>
      </c>
      <c r="AG847" s="27">
        <f aca="true" t="shared" si="249" ref="AG847:AG858">IF(AQ847="2",BI847,0)</f>
        <v>0</v>
      </c>
      <c r="AH847" s="27">
        <f aca="true" t="shared" si="250" ref="AH847:AH858">IF(AQ847="0",BJ847,0)</f>
        <v>0</v>
      </c>
      <c r="AI847" s="9" t="s">
        <v>1339</v>
      </c>
      <c r="AJ847" s="27">
        <f aca="true" t="shared" si="251" ref="AJ847:AJ858">IF(AN847=0,K847,0)</f>
        <v>0</v>
      </c>
      <c r="AK847" s="27">
        <f aca="true" t="shared" si="252" ref="AK847:AK858">IF(AN847=12,K847,0)</f>
        <v>0</v>
      </c>
      <c r="AL847" s="27">
        <f aca="true" t="shared" si="253" ref="AL847:AL858">IF(AN847=21,K847,0)</f>
        <v>0</v>
      </c>
      <c r="AN847" s="27">
        <v>21</v>
      </c>
      <c r="AO847" s="27">
        <f aca="true" t="shared" si="254" ref="AO847:AO858">H847*0</f>
        <v>0</v>
      </c>
      <c r="AP847" s="27">
        <f aca="true" t="shared" si="255" ref="AP847:AP858">H847*(1-0)</f>
        <v>0</v>
      </c>
      <c r="AQ847" s="29" t="s">
        <v>84</v>
      </c>
      <c r="AV847" s="27">
        <f aca="true" t="shared" si="256" ref="AV847:AV858">AW847+AX847</f>
        <v>0</v>
      </c>
      <c r="AW847" s="27">
        <f aca="true" t="shared" si="257" ref="AW847:AW858">G847*AO847</f>
        <v>0</v>
      </c>
      <c r="AX847" s="27">
        <f aca="true" t="shared" si="258" ref="AX847:AX858">G847*AP847</f>
        <v>0</v>
      </c>
      <c r="AY847" s="29" t="s">
        <v>214</v>
      </c>
      <c r="AZ847" s="29" t="s">
        <v>1342</v>
      </c>
      <c r="BA847" s="9" t="s">
        <v>1343</v>
      </c>
      <c r="BC847" s="27">
        <f aca="true" t="shared" si="259" ref="BC847:BC858">AW847+AX847</f>
        <v>0</v>
      </c>
      <c r="BD847" s="27">
        <f aca="true" t="shared" si="260" ref="BD847:BD858">H847/(100-BE847)*100</f>
        <v>0</v>
      </c>
      <c r="BE847" s="27">
        <v>0</v>
      </c>
      <c r="BF847" s="27">
        <f>847</f>
        <v>847</v>
      </c>
      <c r="BH847" s="27">
        <f aca="true" t="shared" si="261" ref="BH847:BH858">G847*AO847</f>
        <v>0</v>
      </c>
      <c r="BI847" s="27">
        <f aca="true" t="shared" si="262" ref="BI847:BI858">G847*AP847</f>
        <v>0</v>
      </c>
      <c r="BJ847" s="27">
        <f aca="true" t="shared" si="263" ref="BJ847:BJ858">G847*H847</f>
        <v>0</v>
      </c>
      <c r="BK847" s="27"/>
      <c r="BL847" s="27">
        <v>725</v>
      </c>
      <c r="BW847" s="27">
        <v>21</v>
      </c>
    </row>
    <row r="848" spans="1:75" ht="13.5" customHeight="1">
      <c r="A848" s="2" t="s">
        <v>1367</v>
      </c>
      <c r="B848" s="3" t="s">
        <v>1339</v>
      </c>
      <c r="C848" s="3" t="s">
        <v>785</v>
      </c>
      <c r="D848" s="148" t="s">
        <v>786</v>
      </c>
      <c r="E848" s="143"/>
      <c r="F848" s="3" t="s">
        <v>224</v>
      </c>
      <c r="G848" s="27">
        <v>1</v>
      </c>
      <c r="H848" s="27">
        <v>0</v>
      </c>
      <c r="I848" s="27">
        <f t="shared" si="240"/>
        <v>0</v>
      </c>
      <c r="J848" s="27">
        <f t="shared" si="241"/>
        <v>0</v>
      </c>
      <c r="K848" s="27">
        <f t="shared" si="242"/>
        <v>0</v>
      </c>
      <c r="L848" s="28" t="s">
        <v>52</v>
      </c>
      <c r="Z848" s="27">
        <f t="shared" si="243"/>
        <v>0</v>
      </c>
      <c r="AB848" s="27">
        <f t="shared" si="244"/>
        <v>0</v>
      </c>
      <c r="AC848" s="27">
        <f t="shared" si="245"/>
        <v>0</v>
      </c>
      <c r="AD848" s="27">
        <f t="shared" si="246"/>
        <v>0</v>
      </c>
      <c r="AE848" s="27">
        <f t="shared" si="247"/>
        <v>0</v>
      </c>
      <c r="AF848" s="27">
        <f t="shared" si="248"/>
        <v>0</v>
      </c>
      <c r="AG848" s="27">
        <f t="shared" si="249"/>
        <v>0</v>
      </c>
      <c r="AH848" s="27">
        <f t="shared" si="250"/>
        <v>0</v>
      </c>
      <c r="AI848" s="9" t="s">
        <v>1339</v>
      </c>
      <c r="AJ848" s="27">
        <f t="shared" si="251"/>
        <v>0</v>
      </c>
      <c r="AK848" s="27">
        <f t="shared" si="252"/>
        <v>0</v>
      </c>
      <c r="AL848" s="27">
        <f t="shared" si="253"/>
        <v>0</v>
      </c>
      <c r="AN848" s="27">
        <v>21</v>
      </c>
      <c r="AO848" s="27">
        <f t="shared" si="254"/>
        <v>0</v>
      </c>
      <c r="AP848" s="27">
        <f t="shared" si="255"/>
        <v>0</v>
      </c>
      <c r="AQ848" s="29" t="s">
        <v>84</v>
      </c>
      <c r="AV848" s="27">
        <f t="shared" si="256"/>
        <v>0</v>
      </c>
      <c r="AW848" s="27">
        <f t="shared" si="257"/>
        <v>0</v>
      </c>
      <c r="AX848" s="27">
        <f t="shared" si="258"/>
        <v>0</v>
      </c>
      <c r="AY848" s="29" t="s">
        <v>214</v>
      </c>
      <c r="AZ848" s="29" t="s">
        <v>1342</v>
      </c>
      <c r="BA848" s="9" t="s">
        <v>1343</v>
      </c>
      <c r="BC848" s="27">
        <f t="shared" si="259"/>
        <v>0</v>
      </c>
      <c r="BD848" s="27">
        <f t="shared" si="260"/>
        <v>0</v>
      </c>
      <c r="BE848" s="27">
        <v>0</v>
      </c>
      <c r="BF848" s="27">
        <f>848</f>
        <v>848</v>
      </c>
      <c r="BH848" s="27">
        <f t="shared" si="261"/>
        <v>0</v>
      </c>
      <c r="BI848" s="27">
        <f t="shared" si="262"/>
        <v>0</v>
      </c>
      <c r="BJ848" s="27">
        <f t="shared" si="263"/>
        <v>0</v>
      </c>
      <c r="BK848" s="27"/>
      <c r="BL848" s="27">
        <v>725</v>
      </c>
      <c r="BW848" s="27">
        <v>21</v>
      </c>
    </row>
    <row r="849" spans="1:75" ht="13.5" customHeight="1">
      <c r="A849" s="2" t="s">
        <v>1368</v>
      </c>
      <c r="B849" s="3" t="s">
        <v>1339</v>
      </c>
      <c r="C849" s="3" t="s">
        <v>788</v>
      </c>
      <c r="D849" s="148" t="s">
        <v>789</v>
      </c>
      <c r="E849" s="143"/>
      <c r="F849" s="3" t="s">
        <v>154</v>
      </c>
      <c r="G849" s="27">
        <v>1</v>
      </c>
      <c r="H849" s="27">
        <v>0</v>
      </c>
      <c r="I849" s="27">
        <f t="shared" si="240"/>
        <v>0</v>
      </c>
      <c r="J849" s="27">
        <f t="shared" si="241"/>
        <v>0</v>
      </c>
      <c r="K849" s="27">
        <f t="shared" si="242"/>
        <v>0</v>
      </c>
      <c r="L849" s="28" t="s">
        <v>52</v>
      </c>
      <c r="Z849" s="27">
        <f t="shared" si="243"/>
        <v>0</v>
      </c>
      <c r="AB849" s="27">
        <f t="shared" si="244"/>
        <v>0</v>
      </c>
      <c r="AC849" s="27">
        <f t="shared" si="245"/>
        <v>0</v>
      </c>
      <c r="AD849" s="27">
        <f t="shared" si="246"/>
        <v>0</v>
      </c>
      <c r="AE849" s="27">
        <f t="shared" si="247"/>
        <v>0</v>
      </c>
      <c r="AF849" s="27">
        <f t="shared" si="248"/>
        <v>0</v>
      </c>
      <c r="AG849" s="27">
        <f t="shared" si="249"/>
        <v>0</v>
      </c>
      <c r="AH849" s="27">
        <f t="shared" si="250"/>
        <v>0</v>
      </c>
      <c r="AI849" s="9" t="s">
        <v>1339</v>
      </c>
      <c r="AJ849" s="27">
        <f t="shared" si="251"/>
        <v>0</v>
      </c>
      <c r="AK849" s="27">
        <f t="shared" si="252"/>
        <v>0</v>
      </c>
      <c r="AL849" s="27">
        <f t="shared" si="253"/>
        <v>0</v>
      </c>
      <c r="AN849" s="27">
        <v>21</v>
      </c>
      <c r="AO849" s="27">
        <f t="shared" si="254"/>
        <v>0</v>
      </c>
      <c r="AP849" s="27">
        <f t="shared" si="255"/>
        <v>0</v>
      </c>
      <c r="AQ849" s="29" t="s">
        <v>84</v>
      </c>
      <c r="AV849" s="27">
        <f t="shared" si="256"/>
        <v>0</v>
      </c>
      <c r="AW849" s="27">
        <f t="shared" si="257"/>
        <v>0</v>
      </c>
      <c r="AX849" s="27">
        <f t="shared" si="258"/>
        <v>0</v>
      </c>
      <c r="AY849" s="29" t="s">
        <v>214</v>
      </c>
      <c r="AZ849" s="29" t="s">
        <v>1342</v>
      </c>
      <c r="BA849" s="9" t="s">
        <v>1343</v>
      </c>
      <c r="BC849" s="27">
        <f t="shared" si="259"/>
        <v>0</v>
      </c>
      <c r="BD849" s="27">
        <f t="shared" si="260"/>
        <v>0</v>
      </c>
      <c r="BE849" s="27">
        <v>0</v>
      </c>
      <c r="BF849" s="27">
        <f>849</f>
        <v>849</v>
      </c>
      <c r="BH849" s="27">
        <f t="shared" si="261"/>
        <v>0</v>
      </c>
      <c r="BI849" s="27">
        <f t="shared" si="262"/>
        <v>0</v>
      </c>
      <c r="BJ849" s="27">
        <f t="shared" si="263"/>
        <v>0</v>
      </c>
      <c r="BK849" s="27"/>
      <c r="BL849" s="27">
        <v>725</v>
      </c>
      <c r="BW849" s="27">
        <v>21</v>
      </c>
    </row>
    <row r="850" spans="1:75" ht="13.5" customHeight="1">
      <c r="A850" s="2" t="s">
        <v>1369</v>
      </c>
      <c r="B850" s="3" t="s">
        <v>1339</v>
      </c>
      <c r="C850" s="3" t="s">
        <v>791</v>
      </c>
      <c r="D850" s="148" t="s">
        <v>792</v>
      </c>
      <c r="E850" s="143"/>
      <c r="F850" s="3" t="s">
        <v>154</v>
      </c>
      <c r="G850" s="27">
        <v>2</v>
      </c>
      <c r="H850" s="27">
        <v>0</v>
      </c>
      <c r="I850" s="27">
        <f t="shared" si="240"/>
        <v>0</v>
      </c>
      <c r="J850" s="27">
        <f t="shared" si="241"/>
        <v>0</v>
      </c>
      <c r="K850" s="27">
        <f t="shared" si="242"/>
        <v>0</v>
      </c>
      <c r="L850" s="28" t="s">
        <v>52</v>
      </c>
      <c r="Z850" s="27">
        <f t="shared" si="243"/>
        <v>0</v>
      </c>
      <c r="AB850" s="27">
        <f t="shared" si="244"/>
        <v>0</v>
      </c>
      <c r="AC850" s="27">
        <f t="shared" si="245"/>
        <v>0</v>
      </c>
      <c r="AD850" s="27">
        <f t="shared" si="246"/>
        <v>0</v>
      </c>
      <c r="AE850" s="27">
        <f t="shared" si="247"/>
        <v>0</v>
      </c>
      <c r="AF850" s="27">
        <f t="shared" si="248"/>
        <v>0</v>
      </c>
      <c r="AG850" s="27">
        <f t="shared" si="249"/>
        <v>0</v>
      </c>
      <c r="AH850" s="27">
        <f t="shared" si="250"/>
        <v>0</v>
      </c>
      <c r="AI850" s="9" t="s">
        <v>1339</v>
      </c>
      <c r="AJ850" s="27">
        <f t="shared" si="251"/>
        <v>0</v>
      </c>
      <c r="AK850" s="27">
        <f t="shared" si="252"/>
        <v>0</v>
      </c>
      <c r="AL850" s="27">
        <f t="shared" si="253"/>
        <v>0</v>
      </c>
      <c r="AN850" s="27">
        <v>21</v>
      </c>
      <c r="AO850" s="27">
        <f t="shared" si="254"/>
        <v>0</v>
      </c>
      <c r="AP850" s="27">
        <f t="shared" si="255"/>
        <v>0</v>
      </c>
      <c r="AQ850" s="29" t="s">
        <v>84</v>
      </c>
      <c r="AV850" s="27">
        <f t="shared" si="256"/>
        <v>0</v>
      </c>
      <c r="AW850" s="27">
        <f t="shared" si="257"/>
        <v>0</v>
      </c>
      <c r="AX850" s="27">
        <f t="shared" si="258"/>
        <v>0</v>
      </c>
      <c r="AY850" s="29" t="s">
        <v>214</v>
      </c>
      <c r="AZ850" s="29" t="s">
        <v>1342</v>
      </c>
      <c r="BA850" s="9" t="s">
        <v>1343</v>
      </c>
      <c r="BC850" s="27">
        <f t="shared" si="259"/>
        <v>0</v>
      </c>
      <c r="BD850" s="27">
        <f t="shared" si="260"/>
        <v>0</v>
      </c>
      <c r="BE850" s="27">
        <v>0</v>
      </c>
      <c r="BF850" s="27">
        <f>850</f>
        <v>850</v>
      </c>
      <c r="BH850" s="27">
        <f t="shared" si="261"/>
        <v>0</v>
      </c>
      <c r="BI850" s="27">
        <f t="shared" si="262"/>
        <v>0</v>
      </c>
      <c r="BJ850" s="27">
        <f t="shared" si="263"/>
        <v>0</v>
      </c>
      <c r="BK850" s="27"/>
      <c r="BL850" s="27">
        <v>725</v>
      </c>
      <c r="BW850" s="27">
        <v>21</v>
      </c>
    </row>
    <row r="851" spans="1:75" ht="13.5" customHeight="1">
      <c r="A851" s="2" t="s">
        <v>1370</v>
      </c>
      <c r="B851" s="3" t="s">
        <v>1339</v>
      </c>
      <c r="C851" s="3" t="s">
        <v>1190</v>
      </c>
      <c r="D851" s="148" t="s">
        <v>1191</v>
      </c>
      <c r="E851" s="143"/>
      <c r="F851" s="3" t="s">
        <v>224</v>
      </c>
      <c r="G851" s="27">
        <v>1</v>
      </c>
      <c r="H851" s="27">
        <v>0</v>
      </c>
      <c r="I851" s="27">
        <f t="shared" si="240"/>
        <v>0</v>
      </c>
      <c r="J851" s="27">
        <f t="shared" si="241"/>
        <v>0</v>
      </c>
      <c r="K851" s="27">
        <f t="shared" si="242"/>
        <v>0</v>
      </c>
      <c r="L851" s="28" t="s">
        <v>52</v>
      </c>
      <c r="Z851" s="27">
        <f t="shared" si="243"/>
        <v>0</v>
      </c>
      <c r="AB851" s="27">
        <f t="shared" si="244"/>
        <v>0</v>
      </c>
      <c r="AC851" s="27">
        <f t="shared" si="245"/>
        <v>0</v>
      </c>
      <c r="AD851" s="27">
        <f t="shared" si="246"/>
        <v>0</v>
      </c>
      <c r="AE851" s="27">
        <f t="shared" si="247"/>
        <v>0</v>
      </c>
      <c r="AF851" s="27">
        <f t="shared" si="248"/>
        <v>0</v>
      </c>
      <c r="AG851" s="27">
        <f t="shared" si="249"/>
        <v>0</v>
      </c>
      <c r="AH851" s="27">
        <f t="shared" si="250"/>
        <v>0</v>
      </c>
      <c r="AI851" s="9" t="s">
        <v>1339</v>
      </c>
      <c r="AJ851" s="27">
        <f t="shared" si="251"/>
        <v>0</v>
      </c>
      <c r="AK851" s="27">
        <f t="shared" si="252"/>
        <v>0</v>
      </c>
      <c r="AL851" s="27">
        <f t="shared" si="253"/>
        <v>0</v>
      </c>
      <c r="AN851" s="27">
        <v>21</v>
      </c>
      <c r="AO851" s="27">
        <f t="shared" si="254"/>
        <v>0</v>
      </c>
      <c r="AP851" s="27">
        <f t="shared" si="255"/>
        <v>0</v>
      </c>
      <c r="AQ851" s="29" t="s">
        <v>84</v>
      </c>
      <c r="AV851" s="27">
        <f t="shared" si="256"/>
        <v>0</v>
      </c>
      <c r="AW851" s="27">
        <f t="shared" si="257"/>
        <v>0</v>
      </c>
      <c r="AX851" s="27">
        <f t="shared" si="258"/>
        <v>0</v>
      </c>
      <c r="AY851" s="29" t="s">
        <v>214</v>
      </c>
      <c r="AZ851" s="29" t="s">
        <v>1342</v>
      </c>
      <c r="BA851" s="9" t="s">
        <v>1343</v>
      </c>
      <c r="BC851" s="27">
        <f t="shared" si="259"/>
        <v>0</v>
      </c>
      <c r="BD851" s="27">
        <f t="shared" si="260"/>
        <v>0</v>
      </c>
      <c r="BE851" s="27">
        <v>0</v>
      </c>
      <c r="BF851" s="27">
        <f>851</f>
        <v>851</v>
      </c>
      <c r="BH851" s="27">
        <f t="shared" si="261"/>
        <v>0</v>
      </c>
      <c r="BI851" s="27">
        <f t="shared" si="262"/>
        <v>0</v>
      </c>
      <c r="BJ851" s="27">
        <f t="shared" si="263"/>
        <v>0</v>
      </c>
      <c r="BK851" s="27"/>
      <c r="BL851" s="27">
        <v>725</v>
      </c>
      <c r="BW851" s="27">
        <v>21</v>
      </c>
    </row>
    <row r="852" spans="1:75" ht="13.5" customHeight="1">
      <c r="A852" s="2" t="s">
        <v>1371</v>
      </c>
      <c r="B852" s="3" t="s">
        <v>1339</v>
      </c>
      <c r="C852" s="3" t="s">
        <v>1193</v>
      </c>
      <c r="D852" s="148" t="s">
        <v>1194</v>
      </c>
      <c r="E852" s="143"/>
      <c r="F852" s="3" t="s">
        <v>224</v>
      </c>
      <c r="G852" s="27">
        <v>1</v>
      </c>
      <c r="H852" s="27">
        <v>0</v>
      </c>
      <c r="I852" s="27">
        <f t="shared" si="240"/>
        <v>0</v>
      </c>
      <c r="J852" s="27">
        <f t="shared" si="241"/>
        <v>0</v>
      </c>
      <c r="K852" s="27">
        <f t="shared" si="242"/>
        <v>0</v>
      </c>
      <c r="L852" s="28" t="s">
        <v>52</v>
      </c>
      <c r="Z852" s="27">
        <f t="shared" si="243"/>
        <v>0</v>
      </c>
      <c r="AB852" s="27">
        <f t="shared" si="244"/>
        <v>0</v>
      </c>
      <c r="AC852" s="27">
        <f t="shared" si="245"/>
        <v>0</v>
      </c>
      <c r="AD852" s="27">
        <f t="shared" si="246"/>
        <v>0</v>
      </c>
      <c r="AE852" s="27">
        <f t="shared" si="247"/>
        <v>0</v>
      </c>
      <c r="AF852" s="27">
        <f t="shared" si="248"/>
        <v>0</v>
      </c>
      <c r="AG852" s="27">
        <f t="shared" si="249"/>
        <v>0</v>
      </c>
      <c r="AH852" s="27">
        <f t="shared" si="250"/>
        <v>0</v>
      </c>
      <c r="AI852" s="9" t="s">
        <v>1339</v>
      </c>
      <c r="AJ852" s="27">
        <f t="shared" si="251"/>
        <v>0</v>
      </c>
      <c r="AK852" s="27">
        <f t="shared" si="252"/>
        <v>0</v>
      </c>
      <c r="AL852" s="27">
        <f t="shared" si="253"/>
        <v>0</v>
      </c>
      <c r="AN852" s="27">
        <v>21</v>
      </c>
      <c r="AO852" s="27">
        <f t="shared" si="254"/>
        <v>0</v>
      </c>
      <c r="AP852" s="27">
        <f t="shared" si="255"/>
        <v>0</v>
      </c>
      <c r="AQ852" s="29" t="s">
        <v>84</v>
      </c>
      <c r="AV852" s="27">
        <f t="shared" si="256"/>
        <v>0</v>
      </c>
      <c r="AW852" s="27">
        <f t="shared" si="257"/>
        <v>0</v>
      </c>
      <c r="AX852" s="27">
        <f t="shared" si="258"/>
        <v>0</v>
      </c>
      <c r="AY852" s="29" t="s">
        <v>214</v>
      </c>
      <c r="AZ852" s="29" t="s">
        <v>1342</v>
      </c>
      <c r="BA852" s="9" t="s">
        <v>1343</v>
      </c>
      <c r="BC852" s="27">
        <f t="shared" si="259"/>
        <v>0</v>
      </c>
      <c r="BD852" s="27">
        <f t="shared" si="260"/>
        <v>0</v>
      </c>
      <c r="BE852" s="27">
        <v>0</v>
      </c>
      <c r="BF852" s="27">
        <f>852</f>
        <v>852</v>
      </c>
      <c r="BH852" s="27">
        <f t="shared" si="261"/>
        <v>0</v>
      </c>
      <c r="BI852" s="27">
        <f t="shared" si="262"/>
        <v>0</v>
      </c>
      <c r="BJ852" s="27">
        <f t="shared" si="263"/>
        <v>0</v>
      </c>
      <c r="BK852" s="27"/>
      <c r="BL852" s="27">
        <v>725</v>
      </c>
      <c r="BW852" s="27">
        <v>21</v>
      </c>
    </row>
    <row r="853" spans="1:75" ht="13.5" customHeight="1">
      <c r="A853" s="2" t="s">
        <v>1372</v>
      </c>
      <c r="B853" s="3" t="s">
        <v>1339</v>
      </c>
      <c r="C853" s="3" t="s">
        <v>833</v>
      </c>
      <c r="D853" s="148" t="s">
        <v>834</v>
      </c>
      <c r="E853" s="143"/>
      <c r="F853" s="3" t="s">
        <v>224</v>
      </c>
      <c r="G853" s="27">
        <v>2</v>
      </c>
      <c r="H853" s="27">
        <v>0</v>
      </c>
      <c r="I853" s="27">
        <f t="shared" si="240"/>
        <v>0</v>
      </c>
      <c r="J853" s="27">
        <f t="shared" si="241"/>
        <v>0</v>
      </c>
      <c r="K853" s="27">
        <f t="shared" si="242"/>
        <v>0</v>
      </c>
      <c r="L853" s="28" t="s">
        <v>52</v>
      </c>
      <c r="Z853" s="27">
        <f t="shared" si="243"/>
        <v>0</v>
      </c>
      <c r="AB853" s="27">
        <f t="shared" si="244"/>
        <v>0</v>
      </c>
      <c r="AC853" s="27">
        <f t="shared" si="245"/>
        <v>0</v>
      </c>
      <c r="AD853" s="27">
        <f t="shared" si="246"/>
        <v>0</v>
      </c>
      <c r="AE853" s="27">
        <f t="shared" si="247"/>
        <v>0</v>
      </c>
      <c r="AF853" s="27">
        <f t="shared" si="248"/>
        <v>0</v>
      </c>
      <c r="AG853" s="27">
        <f t="shared" si="249"/>
        <v>0</v>
      </c>
      <c r="AH853" s="27">
        <f t="shared" si="250"/>
        <v>0</v>
      </c>
      <c r="AI853" s="9" t="s">
        <v>1339</v>
      </c>
      <c r="AJ853" s="27">
        <f t="shared" si="251"/>
        <v>0</v>
      </c>
      <c r="AK853" s="27">
        <f t="shared" si="252"/>
        <v>0</v>
      </c>
      <c r="AL853" s="27">
        <f t="shared" si="253"/>
        <v>0</v>
      </c>
      <c r="AN853" s="27">
        <v>21</v>
      </c>
      <c r="AO853" s="27">
        <f t="shared" si="254"/>
        <v>0</v>
      </c>
      <c r="AP853" s="27">
        <f t="shared" si="255"/>
        <v>0</v>
      </c>
      <c r="AQ853" s="29" t="s">
        <v>84</v>
      </c>
      <c r="AV853" s="27">
        <f t="shared" si="256"/>
        <v>0</v>
      </c>
      <c r="AW853" s="27">
        <f t="shared" si="257"/>
        <v>0</v>
      </c>
      <c r="AX853" s="27">
        <f t="shared" si="258"/>
        <v>0</v>
      </c>
      <c r="AY853" s="29" t="s">
        <v>214</v>
      </c>
      <c r="AZ853" s="29" t="s">
        <v>1342</v>
      </c>
      <c r="BA853" s="9" t="s">
        <v>1343</v>
      </c>
      <c r="BC853" s="27">
        <f t="shared" si="259"/>
        <v>0</v>
      </c>
      <c r="BD853" s="27">
        <f t="shared" si="260"/>
        <v>0</v>
      </c>
      <c r="BE853" s="27">
        <v>0</v>
      </c>
      <c r="BF853" s="27">
        <f>853</f>
        <v>853</v>
      </c>
      <c r="BH853" s="27">
        <f t="shared" si="261"/>
        <v>0</v>
      </c>
      <c r="BI853" s="27">
        <f t="shared" si="262"/>
        <v>0</v>
      </c>
      <c r="BJ853" s="27">
        <f t="shared" si="263"/>
        <v>0</v>
      </c>
      <c r="BK853" s="27"/>
      <c r="BL853" s="27">
        <v>725</v>
      </c>
      <c r="BW853" s="27">
        <v>21</v>
      </c>
    </row>
    <row r="854" spans="1:75" ht="13.5" customHeight="1">
      <c r="A854" s="2" t="s">
        <v>1373</v>
      </c>
      <c r="B854" s="3" t="s">
        <v>1339</v>
      </c>
      <c r="C854" s="3" t="s">
        <v>842</v>
      </c>
      <c r="D854" s="148" t="s">
        <v>843</v>
      </c>
      <c r="E854" s="143"/>
      <c r="F854" s="3" t="s">
        <v>154</v>
      </c>
      <c r="G854" s="27">
        <v>1</v>
      </c>
      <c r="H854" s="27">
        <v>0</v>
      </c>
      <c r="I854" s="27">
        <f t="shared" si="240"/>
        <v>0</v>
      </c>
      <c r="J854" s="27">
        <f t="shared" si="241"/>
        <v>0</v>
      </c>
      <c r="K854" s="27">
        <f t="shared" si="242"/>
        <v>0</v>
      </c>
      <c r="L854" s="28" t="s">
        <v>52</v>
      </c>
      <c r="Z854" s="27">
        <f t="shared" si="243"/>
        <v>0</v>
      </c>
      <c r="AB854" s="27">
        <f t="shared" si="244"/>
        <v>0</v>
      </c>
      <c r="AC854" s="27">
        <f t="shared" si="245"/>
        <v>0</v>
      </c>
      <c r="AD854" s="27">
        <f t="shared" si="246"/>
        <v>0</v>
      </c>
      <c r="AE854" s="27">
        <f t="shared" si="247"/>
        <v>0</v>
      </c>
      <c r="AF854" s="27">
        <f t="shared" si="248"/>
        <v>0</v>
      </c>
      <c r="AG854" s="27">
        <f t="shared" si="249"/>
        <v>0</v>
      </c>
      <c r="AH854" s="27">
        <f t="shared" si="250"/>
        <v>0</v>
      </c>
      <c r="AI854" s="9" t="s">
        <v>1339</v>
      </c>
      <c r="AJ854" s="27">
        <f t="shared" si="251"/>
        <v>0</v>
      </c>
      <c r="AK854" s="27">
        <f t="shared" si="252"/>
        <v>0</v>
      </c>
      <c r="AL854" s="27">
        <f t="shared" si="253"/>
        <v>0</v>
      </c>
      <c r="AN854" s="27">
        <v>21</v>
      </c>
      <c r="AO854" s="27">
        <f t="shared" si="254"/>
        <v>0</v>
      </c>
      <c r="AP854" s="27">
        <f t="shared" si="255"/>
        <v>0</v>
      </c>
      <c r="AQ854" s="29" t="s">
        <v>84</v>
      </c>
      <c r="AV854" s="27">
        <f t="shared" si="256"/>
        <v>0</v>
      </c>
      <c r="AW854" s="27">
        <f t="shared" si="257"/>
        <v>0</v>
      </c>
      <c r="AX854" s="27">
        <f t="shared" si="258"/>
        <v>0</v>
      </c>
      <c r="AY854" s="29" t="s">
        <v>214</v>
      </c>
      <c r="AZ854" s="29" t="s">
        <v>1342</v>
      </c>
      <c r="BA854" s="9" t="s">
        <v>1343</v>
      </c>
      <c r="BC854" s="27">
        <f t="shared" si="259"/>
        <v>0</v>
      </c>
      <c r="BD854" s="27">
        <f t="shared" si="260"/>
        <v>0</v>
      </c>
      <c r="BE854" s="27">
        <v>0</v>
      </c>
      <c r="BF854" s="27">
        <f>854</f>
        <v>854</v>
      </c>
      <c r="BH854" s="27">
        <f t="shared" si="261"/>
        <v>0</v>
      </c>
      <c r="BI854" s="27">
        <f t="shared" si="262"/>
        <v>0</v>
      </c>
      <c r="BJ854" s="27">
        <f t="shared" si="263"/>
        <v>0</v>
      </c>
      <c r="BK854" s="27"/>
      <c r="BL854" s="27">
        <v>725</v>
      </c>
      <c r="BW854" s="27">
        <v>21</v>
      </c>
    </row>
    <row r="855" spans="1:75" ht="13.5" customHeight="1">
      <c r="A855" s="2" t="s">
        <v>1374</v>
      </c>
      <c r="B855" s="3" t="s">
        <v>1339</v>
      </c>
      <c r="C855" s="3" t="s">
        <v>848</v>
      </c>
      <c r="D855" s="148" t="s">
        <v>849</v>
      </c>
      <c r="E855" s="143"/>
      <c r="F855" s="3" t="s">
        <v>154</v>
      </c>
      <c r="G855" s="27">
        <v>1</v>
      </c>
      <c r="H855" s="27">
        <v>0</v>
      </c>
      <c r="I855" s="27">
        <f t="shared" si="240"/>
        <v>0</v>
      </c>
      <c r="J855" s="27">
        <f t="shared" si="241"/>
        <v>0</v>
      </c>
      <c r="K855" s="27">
        <f t="shared" si="242"/>
        <v>0</v>
      </c>
      <c r="L855" s="28" t="s">
        <v>52</v>
      </c>
      <c r="Z855" s="27">
        <f t="shared" si="243"/>
        <v>0</v>
      </c>
      <c r="AB855" s="27">
        <f t="shared" si="244"/>
        <v>0</v>
      </c>
      <c r="AC855" s="27">
        <f t="shared" si="245"/>
        <v>0</v>
      </c>
      <c r="AD855" s="27">
        <f t="shared" si="246"/>
        <v>0</v>
      </c>
      <c r="AE855" s="27">
        <f t="shared" si="247"/>
        <v>0</v>
      </c>
      <c r="AF855" s="27">
        <f t="shared" si="248"/>
        <v>0</v>
      </c>
      <c r="AG855" s="27">
        <f t="shared" si="249"/>
        <v>0</v>
      </c>
      <c r="AH855" s="27">
        <f t="shared" si="250"/>
        <v>0</v>
      </c>
      <c r="AI855" s="9" t="s">
        <v>1339</v>
      </c>
      <c r="AJ855" s="27">
        <f t="shared" si="251"/>
        <v>0</v>
      </c>
      <c r="AK855" s="27">
        <f t="shared" si="252"/>
        <v>0</v>
      </c>
      <c r="AL855" s="27">
        <f t="shared" si="253"/>
        <v>0</v>
      </c>
      <c r="AN855" s="27">
        <v>21</v>
      </c>
      <c r="AO855" s="27">
        <f t="shared" si="254"/>
        <v>0</v>
      </c>
      <c r="AP855" s="27">
        <f t="shared" si="255"/>
        <v>0</v>
      </c>
      <c r="AQ855" s="29" t="s">
        <v>84</v>
      </c>
      <c r="AV855" s="27">
        <f t="shared" si="256"/>
        <v>0</v>
      </c>
      <c r="AW855" s="27">
        <f t="shared" si="257"/>
        <v>0</v>
      </c>
      <c r="AX855" s="27">
        <f t="shared" si="258"/>
        <v>0</v>
      </c>
      <c r="AY855" s="29" t="s">
        <v>214</v>
      </c>
      <c r="AZ855" s="29" t="s">
        <v>1342</v>
      </c>
      <c r="BA855" s="9" t="s">
        <v>1343</v>
      </c>
      <c r="BC855" s="27">
        <f t="shared" si="259"/>
        <v>0</v>
      </c>
      <c r="BD855" s="27">
        <f t="shared" si="260"/>
        <v>0</v>
      </c>
      <c r="BE855" s="27">
        <v>0</v>
      </c>
      <c r="BF855" s="27">
        <f>855</f>
        <v>855</v>
      </c>
      <c r="BH855" s="27">
        <f t="shared" si="261"/>
        <v>0</v>
      </c>
      <c r="BI855" s="27">
        <f t="shared" si="262"/>
        <v>0</v>
      </c>
      <c r="BJ855" s="27">
        <f t="shared" si="263"/>
        <v>0</v>
      </c>
      <c r="BK855" s="27"/>
      <c r="BL855" s="27">
        <v>725</v>
      </c>
      <c r="BW855" s="27">
        <v>21</v>
      </c>
    </row>
    <row r="856" spans="1:75" ht="13.5" customHeight="1">
      <c r="A856" s="2" t="s">
        <v>1375</v>
      </c>
      <c r="B856" s="3" t="s">
        <v>1339</v>
      </c>
      <c r="C856" s="3" t="s">
        <v>851</v>
      </c>
      <c r="D856" s="148" t="s">
        <v>852</v>
      </c>
      <c r="E856" s="143"/>
      <c r="F856" s="3" t="s">
        <v>154</v>
      </c>
      <c r="G856" s="27">
        <v>1</v>
      </c>
      <c r="H856" s="27">
        <v>0</v>
      </c>
      <c r="I856" s="27">
        <f t="shared" si="240"/>
        <v>0</v>
      </c>
      <c r="J856" s="27">
        <f t="shared" si="241"/>
        <v>0</v>
      </c>
      <c r="K856" s="27">
        <f t="shared" si="242"/>
        <v>0</v>
      </c>
      <c r="L856" s="28" t="s">
        <v>52</v>
      </c>
      <c r="Z856" s="27">
        <f t="shared" si="243"/>
        <v>0</v>
      </c>
      <c r="AB856" s="27">
        <f t="shared" si="244"/>
        <v>0</v>
      </c>
      <c r="AC856" s="27">
        <f t="shared" si="245"/>
        <v>0</v>
      </c>
      <c r="AD856" s="27">
        <f t="shared" si="246"/>
        <v>0</v>
      </c>
      <c r="AE856" s="27">
        <f t="shared" si="247"/>
        <v>0</v>
      </c>
      <c r="AF856" s="27">
        <f t="shared" si="248"/>
        <v>0</v>
      </c>
      <c r="AG856" s="27">
        <f t="shared" si="249"/>
        <v>0</v>
      </c>
      <c r="AH856" s="27">
        <f t="shared" si="250"/>
        <v>0</v>
      </c>
      <c r="AI856" s="9" t="s">
        <v>1339</v>
      </c>
      <c r="AJ856" s="27">
        <f t="shared" si="251"/>
        <v>0</v>
      </c>
      <c r="AK856" s="27">
        <f t="shared" si="252"/>
        <v>0</v>
      </c>
      <c r="AL856" s="27">
        <f t="shared" si="253"/>
        <v>0</v>
      </c>
      <c r="AN856" s="27">
        <v>21</v>
      </c>
      <c r="AO856" s="27">
        <f t="shared" si="254"/>
        <v>0</v>
      </c>
      <c r="AP856" s="27">
        <f t="shared" si="255"/>
        <v>0</v>
      </c>
      <c r="AQ856" s="29" t="s">
        <v>84</v>
      </c>
      <c r="AV856" s="27">
        <f t="shared" si="256"/>
        <v>0</v>
      </c>
      <c r="AW856" s="27">
        <f t="shared" si="257"/>
        <v>0</v>
      </c>
      <c r="AX856" s="27">
        <f t="shared" si="258"/>
        <v>0</v>
      </c>
      <c r="AY856" s="29" t="s">
        <v>214</v>
      </c>
      <c r="AZ856" s="29" t="s">
        <v>1342</v>
      </c>
      <c r="BA856" s="9" t="s">
        <v>1343</v>
      </c>
      <c r="BC856" s="27">
        <f t="shared" si="259"/>
        <v>0</v>
      </c>
      <c r="BD856" s="27">
        <f t="shared" si="260"/>
        <v>0</v>
      </c>
      <c r="BE856" s="27">
        <v>0</v>
      </c>
      <c r="BF856" s="27">
        <f>856</f>
        <v>856</v>
      </c>
      <c r="BH856" s="27">
        <f t="shared" si="261"/>
        <v>0</v>
      </c>
      <c r="BI856" s="27">
        <f t="shared" si="262"/>
        <v>0</v>
      </c>
      <c r="BJ856" s="27">
        <f t="shared" si="263"/>
        <v>0</v>
      </c>
      <c r="BK856" s="27"/>
      <c r="BL856" s="27">
        <v>725</v>
      </c>
      <c r="BW856" s="27">
        <v>21</v>
      </c>
    </row>
    <row r="857" spans="1:75" ht="13.5" customHeight="1">
      <c r="A857" s="2" t="s">
        <v>1376</v>
      </c>
      <c r="B857" s="3" t="s">
        <v>1339</v>
      </c>
      <c r="C857" s="3" t="s">
        <v>1200</v>
      </c>
      <c r="D857" s="148" t="s">
        <v>1201</v>
      </c>
      <c r="E857" s="143"/>
      <c r="F857" s="3" t="s">
        <v>1202</v>
      </c>
      <c r="G857" s="27">
        <v>1</v>
      </c>
      <c r="H857" s="27">
        <v>0</v>
      </c>
      <c r="I857" s="27">
        <f t="shared" si="240"/>
        <v>0</v>
      </c>
      <c r="J857" s="27">
        <f t="shared" si="241"/>
        <v>0</v>
      </c>
      <c r="K857" s="27">
        <f t="shared" si="242"/>
        <v>0</v>
      </c>
      <c r="L857" s="28" t="s">
        <v>52</v>
      </c>
      <c r="Z857" s="27">
        <f t="shared" si="243"/>
        <v>0</v>
      </c>
      <c r="AB857" s="27">
        <f t="shared" si="244"/>
        <v>0</v>
      </c>
      <c r="AC857" s="27">
        <f t="shared" si="245"/>
        <v>0</v>
      </c>
      <c r="AD857" s="27">
        <f t="shared" si="246"/>
        <v>0</v>
      </c>
      <c r="AE857" s="27">
        <f t="shared" si="247"/>
        <v>0</v>
      </c>
      <c r="AF857" s="27">
        <f t="shared" si="248"/>
        <v>0</v>
      </c>
      <c r="AG857" s="27">
        <f t="shared" si="249"/>
        <v>0</v>
      </c>
      <c r="AH857" s="27">
        <f t="shared" si="250"/>
        <v>0</v>
      </c>
      <c r="AI857" s="9" t="s">
        <v>1339</v>
      </c>
      <c r="AJ857" s="27">
        <f t="shared" si="251"/>
        <v>0</v>
      </c>
      <c r="AK857" s="27">
        <f t="shared" si="252"/>
        <v>0</v>
      </c>
      <c r="AL857" s="27">
        <f t="shared" si="253"/>
        <v>0</v>
      </c>
      <c r="AN857" s="27">
        <v>21</v>
      </c>
      <c r="AO857" s="27">
        <f t="shared" si="254"/>
        <v>0</v>
      </c>
      <c r="AP857" s="27">
        <f t="shared" si="255"/>
        <v>0</v>
      </c>
      <c r="AQ857" s="29" t="s">
        <v>84</v>
      </c>
      <c r="AV857" s="27">
        <f t="shared" si="256"/>
        <v>0</v>
      </c>
      <c r="AW857" s="27">
        <f t="shared" si="257"/>
        <v>0</v>
      </c>
      <c r="AX857" s="27">
        <f t="shared" si="258"/>
        <v>0</v>
      </c>
      <c r="AY857" s="29" t="s">
        <v>214</v>
      </c>
      <c r="AZ857" s="29" t="s">
        <v>1342</v>
      </c>
      <c r="BA857" s="9" t="s">
        <v>1343</v>
      </c>
      <c r="BC857" s="27">
        <f t="shared" si="259"/>
        <v>0</v>
      </c>
      <c r="BD857" s="27">
        <f t="shared" si="260"/>
        <v>0</v>
      </c>
      <c r="BE857" s="27">
        <v>0</v>
      </c>
      <c r="BF857" s="27">
        <f>857</f>
        <v>857</v>
      </c>
      <c r="BH857" s="27">
        <f t="shared" si="261"/>
        <v>0</v>
      </c>
      <c r="BI857" s="27">
        <f t="shared" si="262"/>
        <v>0</v>
      </c>
      <c r="BJ857" s="27">
        <f t="shared" si="263"/>
        <v>0</v>
      </c>
      <c r="BK857" s="27"/>
      <c r="BL857" s="27">
        <v>725</v>
      </c>
      <c r="BW857" s="27">
        <v>21</v>
      </c>
    </row>
    <row r="858" spans="1:75" ht="13.5" customHeight="1">
      <c r="A858" s="2" t="s">
        <v>1377</v>
      </c>
      <c r="B858" s="3" t="s">
        <v>1339</v>
      </c>
      <c r="C858" s="3" t="s">
        <v>1204</v>
      </c>
      <c r="D858" s="148" t="s">
        <v>1205</v>
      </c>
      <c r="E858" s="143"/>
      <c r="F858" s="3" t="s">
        <v>1202</v>
      </c>
      <c r="G858" s="27">
        <v>1</v>
      </c>
      <c r="H858" s="27">
        <v>0</v>
      </c>
      <c r="I858" s="27">
        <f t="shared" si="240"/>
        <v>0</v>
      </c>
      <c r="J858" s="27">
        <f t="shared" si="241"/>
        <v>0</v>
      </c>
      <c r="K858" s="27">
        <f t="shared" si="242"/>
        <v>0</v>
      </c>
      <c r="L858" s="28" t="s">
        <v>52</v>
      </c>
      <c r="Z858" s="27">
        <f t="shared" si="243"/>
        <v>0</v>
      </c>
      <c r="AB858" s="27">
        <f t="shared" si="244"/>
        <v>0</v>
      </c>
      <c r="AC858" s="27">
        <f t="shared" si="245"/>
        <v>0</v>
      </c>
      <c r="AD858" s="27">
        <f t="shared" si="246"/>
        <v>0</v>
      </c>
      <c r="AE858" s="27">
        <f t="shared" si="247"/>
        <v>0</v>
      </c>
      <c r="AF858" s="27">
        <f t="shared" si="248"/>
        <v>0</v>
      </c>
      <c r="AG858" s="27">
        <f t="shared" si="249"/>
        <v>0</v>
      </c>
      <c r="AH858" s="27">
        <f t="shared" si="250"/>
        <v>0</v>
      </c>
      <c r="AI858" s="9" t="s">
        <v>1339</v>
      </c>
      <c r="AJ858" s="27">
        <f t="shared" si="251"/>
        <v>0</v>
      </c>
      <c r="AK858" s="27">
        <f t="shared" si="252"/>
        <v>0</v>
      </c>
      <c r="AL858" s="27">
        <f t="shared" si="253"/>
        <v>0</v>
      </c>
      <c r="AN858" s="27">
        <v>21</v>
      </c>
      <c r="AO858" s="27">
        <f t="shared" si="254"/>
        <v>0</v>
      </c>
      <c r="AP858" s="27">
        <f t="shared" si="255"/>
        <v>0</v>
      </c>
      <c r="AQ858" s="29" t="s">
        <v>84</v>
      </c>
      <c r="AV858" s="27">
        <f t="shared" si="256"/>
        <v>0</v>
      </c>
      <c r="AW858" s="27">
        <f t="shared" si="257"/>
        <v>0</v>
      </c>
      <c r="AX858" s="27">
        <f t="shared" si="258"/>
        <v>0</v>
      </c>
      <c r="AY858" s="29" t="s">
        <v>214</v>
      </c>
      <c r="AZ858" s="29" t="s">
        <v>1342</v>
      </c>
      <c r="BA858" s="9" t="s">
        <v>1343</v>
      </c>
      <c r="BC858" s="27">
        <f t="shared" si="259"/>
        <v>0</v>
      </c>
      <c r="BD858" s="27">
        <f t="shared" si="260"/>
        <v>0</v>
      </c>
      <c r="BE858" s="27">
        <v>0</v>
      </c>
      <c r="BF858" s="27">
        <f>858</f>
        <v>858</v>
      </c>
      <c r="BH858" s="27">
        <f t="shared" si="261"/>
        <v>0</v>
      </c>
      <c r="BI858" s="27">
        <f t="shared" si="262"/>
        <v>0</v>
      </c>
      <c r="BJ858" s="27">
        <f t="shared" si="263"/>
        <v>0</v>
      </c>
      <c r="BK858" s="27"/>
      <c r="BL858" s="27">
        <v>725</v>
      </c>
      <c r="BW858" s="27">
        <v>21</v>
      </c>
    </row>
    <row r="859" spans="1:47" ht="15">
      <c r="A859" s="23" t="s">
        <v>52</v>
      </c>
      <c r="B859" s="24" t="s">
        <v>1339</v>
      </c>
      <c r="C859" s="24" t="s">
        <v>864</v>
      </c>
      <c r="D859" s="164" t="s">
        <v>201</v>
      </c>
      <c r="E859" s="165"/>
      <c r="F859" s="25" t="s">
        <v>4</v>
      </c>
      <c r="G859" s="25" t="s">
        <v>4</v>
      </c>
      <c r="H859" s="25" t="s">
        <v>4</v>
      </c>
      <c r="I859" s="1">
        <f>SUM(I860:I860)</f>
        <v>0</v>
      </c>
      <c r="J859" s="1">
        <f>SUM(J860:J860)</f>
        <v>0</v>
      </c>
      <c r="K859" s="1">
        <f>SUM(K860:K860)</f>
        <v>0</v>
      </c>
      <c r="L859" s="26" t="s">
        <v>52</v>
      </c>
      <c r="AI859" s="9" t="s">
        <v>1339</v>
      </c>
      <c r="AS859" s="1">
        <f>SUM(AJ860:AJ860)</f>
        <v>0</v>
      </c>
      <c r="AT859" s="1">
        <f>SUM(AK860:AK860)</f>
        <v>0</v>
      </c>
      <c r="AU859" s="1">
        <f>SUM(AL860:AL860)</f>
        <v>0</v>
      </c>
    </row>
    <row r="860" spans="1:75" ht="13.5" customHeight="1">
      <c r="A860" s="2" t="s">
        <v>1378</v>
      </c>
      <c r="B860" s="3" t="s">
        <v>1339</v>
      </c>
      <c r="C860" s="3" t="s">
        <v>866</v>
      </c>
      <c r="D860" s="148" t="s">
        <v>867</v>
      </c>
      <c r="E860" s="143"/>
      <c r="F860" s="3" t="s">
        <v>95</v>
      </c>
      <c r="G860" s="27">
        <v>0.00085</v>
      </c>
      <c r="H860" s="27">
        <v>0</v>
      </c>
      <c r="I860" s="27">
        <f>G860*AO860</f>
        <v>0</v>
      </c>
      <c r="J860" s="27">
        <f>G860*AP860</f>
        <v>0</v>
      </c>
      <c r="K860" s="27">
        <f>G860*H860</f>
        <v>0</v>
      </c>
      <c r="L860" s="28" t="s">
        <v>52</v>
      </c>
      <c r="Z860" s="27">
        <f>IF(AQ860="5",BJ860,0)</f>
        <v>0</v>
      </c>
      <c r="AB860" s="27">
        <f>IF(AQ860="1",BH860,0)</f>
        <v>0</v>
      </c>
      <c r="AC860" s="27">
        <f>IF(AQ860="1",BI860,0)</f>
        <v>0</v>
      </c>
      <c r="AD860" s="27">
        <f>IF(AQ860="7",BH860,0)</f>
        <v>0</v>
      </c>
      <c r="AE860" s="27">
        <f>IF(AQ860="7",BI860,0)</f>
        <v>0</v>
      </c>
      <c r="AF860" s="27">
        <f>IF(AQ860="2",BH860,0)</f>
        <v>0</v>
      </c>
      <c r="AG860" s="27">
        <f>IF(AQ860="2",BI860,0)</f>
        <v>0</v>
      </c>
      <c r="AH860" s="27">
        <f>IF(AQ860="0",BJ860,0)</f>
        <v>0</v>
      </c>
      <c r="AI860" s="9" t="s">
        <v>1339</v>
      </c>
      <c r="AJ860" s="27">
        <f>IF(AN860=0,K860,0)</f>
        <v>0</v>
      </c>
      <c r="AK860" s="27">
        <f>IF(AN860=12,K860,0)</f>
        <v>0</v>
      </c>
      <c r="AL860" s="27">
        <f>IF(AN860=21,K860,0)</f>
        <v>0</v>
      </c>
      <c r="AN860" s="27">
        <v>21</v>
      </c>
      <c r="AO860" s="27">
        <f>H860*0</f>
        <v>0</v>
      </c>
      <c r="AP860" s="27">
        <f>H860*(1-0)</f>
        <v>0</v>
      </c>
      <c r="AQ860" s="29" t="s">
        <v>78</v>
      </c>
      <c r="AV860" s="27">
        <f>AW860+AX860</f>
        <v>0</v>
      </c>
      <c r="AW860" s="27">
        <f>G860*AO860</f>
        <v>0</v>
      </c>
      <c r="AX860" s="27">
        <f>G860*AP860</f>
        <v>0</v>
      </c>
      <c r="AY860" s="29" t="s">
        <v>868</v>
      </c>
      <c r="AZ860" s="29" t="s">
        <v>1379</v>
      </c>
      <c r="BA860" s="9" t="s">
        <v>1343</v>
      </c>
      <c r="BC860" s="27">
        <f>AW860+AX860</f>
        <v>0</v>
      </c>
      <c r="BD860" s="27">
        <f>H860/(100-BE860)*100</f>
        <v>0</v>
      </c>
      <c r="BE860" s="27">
        <v>0</v>
      </c>
      <c r="BF860" s="27">
        <f>860</f>
        <v>860</v>
      </c>
      <c r="BH860" s="27">
        <f>G860*AO860</f>
        <v>0</v>
      </c>
      <c r="BI860" s="27">
        <f>G860*AP860</f>
        <v>0</v>
      </c>
      <c r="BJ860" s="27">
        <f>G860*H860</f>
        <v>0</v>
      </c>
      <c r="BK860" s="27"/>
      <c r="BL860" s="27"/>
      <c r="BW860" s="27">
        <v>21</v>
      </c>
    </row>
    <row r="861" spans="1:47" ht="15">
      <c r="A861" s="23" t="s">
        <v>52</v>
      </c>
      <c r="B861" s="24" t="s">
        <v>1339</v>
      </c>
      <c r="C861" s="24" t="s">
        <v>870</v>
      </c>
      <c r="D861" s="164" t="s">
        <v>700</v>
      </c>
      <c r="E861" s="165"/>
      <c r="F861" s="25" t="s">
        <v>4</v>
      </c>
      <c r="G861" s="25" t="s">
        <v>4</v>
      </c>
      <c r="H861" s="25" t="s">
        <v>4</v>
      </c>
      <c r="I861" s="1">
        <f>SUM(I862:I862)</f>
        <v>0</v>
      </c>
      <c r="J861" s="1">
        <f>SUM(J862:J862)</f>
        <v>0</v>
      </c>
      <c r="K861" s="1">
        <f>SUM(K862:K862)</f>
        <v>0</v>
      </c>
      <c r="L861" s="26" t="s">
        <v>52</v>
      </c>
      <c r="AI861" s="9" t="s">
        <v>1339</v>
      </c>
      <c r="AS861" s="1">
        <f>SUM(AJ862:AJ862)</f>
        <v>0</v>
      </c>
      <c r="AT861" s="1">
        <f>SUM(AK862:AK862)</f>
        <v>0</v>
      </c>
      <c r="AU861" s="1">
        <f>SUM(AL862:AL862)</f>
        <v>0</v>
      </c>
    </row>
    <row r="862" spans="1:75" ht="13.5" customHeight="1">
      <c r="A862" s="2" t="s">
        <v>1380</v>
      </c>
      <c r="B862" s="3" t="s">
        <v>1339</v>
      </c>
      <c r="C862" s="3" t="s">
        <v>872</v>
      </c>
      <c r="D862" s="148" t="s">
        <v>873</v>
      </c>
      <c r="E862" s="143"/>
      <c r="F862" s="3" t="s">
        <v>95</v>
      </c>
      <c r="G862" s="27">
        <v>0.00751</v>
      </c>
      <c r="H862" s="27">
        <v>0</v>
      </c>
      <c r="I862" s="27">
        <f>G862*AO862</f>
        <v>0</v>
      </c>
      <c r="J862" s="27">
        <f>G862*AP862</f>
        <v>0</v>
      </c>
      <c r="K862" s="27">
        <f>G862*H862</f>
        <v>0</v>
      </c>
      <c r="L862" s="28" t="s">
        <v>52</v>
      </c>
      <c r="Z862" s="27">
        <f>IF(AQ862="5",BJ862,0)</f>
        <v>0</v>
      </c>
      <c r="AB862" s="27">
        <f>IF(AQ862="1",BH862,0)</f>
        <v>0</v>
      </c>
      <c r="AC862" s="27">
        <f>IF(AQ862="1",BI862,0)</f>
        <v>0</v>
      </c>
      <c r="AD862" s="27">
        <f>IF(AQ862="7",BH862,0)</f>
        <v>0</v>
      </c>
      <c r="AE862" s="27">
        <f>IF(AQ862="7",BI862,0)</f>
        <v>0</v>
      </c>
      <c r="AF862" s="27">
        <f>IF(AQ862="2",BH862,0)</f>
        <v>0</v>
      </c>
      <c r="AG862" s="27">
        <f>IF(AQ862="2",BI862,0)</f>
        <v>0</v>
      </c>
      <c r="AH862" s="27">
        <f>IF(AQ862="0",BJ862,0)</f>
        <v>0</v>
      </c>
      <c r="AI862" s="9" t="s">
        <v>1339</v>
      </c>
      <c r="AJ862" s="27">
        <f>IF(AN862=0,K862,0)</f>
        <v>0</v>
      </c>
      <c r="AK862" s="27">
        <f>IF(AN862=12,K862,0)</f>
        <v>0</v>
      </c>
      <c r="AL862" s="27">
        <f>IF(AN862=21,K862,0)</f>
        <v>0</v>
      </c>
      <c r="AN862" s="27">
        <v>21</v>
      </c>
      <c r="AO862" s="27">
        <f>H862*0</f>
        <v>0</v>
      </c>
      <c r="AP862" s="27">
        <f>H862*(1-0)</f>
        <v>0</v>
      </c>
      <c r="AQ862" s="29" t="s">
        <v>78</v>
      </c>
      <c r="AV862" s="27">
        <f>AW862+AX862</f>
        <v>0</v>
      </c>
      <c r="AW862" s="27">
        <f>G862*AO862</f>
        <v>0</v>
      </c>
      <c r="AX862" s="27">
        <f>G862*AP862</f>
        <v>0</v>
      </c>
      <c r="AY862" s="29" t="s">
        <v>874</v>
      </c>
      <c r="AZ862" s="29" t="s">
        <v>1379</v>
      </c>
      <c r="BA862" s="9" t="s">
        <v>1343</v>
      </c>
      <c r="BC862" s="27">
        <f>AW862+AX862</f>
        <v>0</v>
      </c>
      <c r="BD862" s="27">
        <f>H862/(100-BE862)*100</f>
        <v>0</v>
      </c>
      <c r="BE862" s="27">
        <v>0</v>
      </c>
      <c r="BF862" s="27">
        <f>862</f>
        <v>862</v>
      </c>
      <c r="BH862" s="27">
        <f>G862*AO862</f>
        <v>0</v>
      </c>
      <c r="BI862" s="27">
        <f>G862*AP862</f>
        <v>0</v>
      </c>
      <c r="BJ862" s="27">
        <f>G862*H862</f>
        <v>0</v>
      </c>
      <c r="BK862" s="27"/>
      <c r="BL862" s="27"/>
      <c r="BW862" s="27">
        <v>21</v>
      </c>
    </row>
    <row r="863" spans="1:47" ht="15">
      <c r="A863" s="23" t="s">
        <v>52</v>
      </c>
      <c r="B863" s="24" t="s">
        <v>1339</v>
      </c>
      <c r="C863" s="24" t="s">
        <v>875</v>
      </c>
      <c r="D863" s="164" t="s">
        <v>210</v>
      </c>
      <c r="E863" s="165"/>
      <c r="F863" s="25" t="s">
        <v>4</v>
      </c>
      <c r="G863" s="25" t="s">
        <v>4</v>
      </c>
      <c r="H863" s="25" t="s">
        <v>4</v>
      </c>
      <c r="I863" s="1">
        <f>SUM(I864:I864)</f>
        <v>0</v>
      </c>
      <c r="J863" s="1">
        <f>SUM(J864:J864)</f>
        <v>0</v>
      </c>
      <c r="K863" s="1">
        <f>SUM(K864:K864)</f>
        <v>0</v>
      </c>
      <c r="L863" s="26" t="s">
        <v>52</v>
      </c>
      <c r="AI863" s="9" t="s">
        <v>1339</v>
      </c>
      <c r="AS863" s="1">
        <f>SUM(AJ864:AJ864)</f>
        <v>0</v>
      </c>
      <c r="AT863" s="1">
        <f>SUM(AK864:AK864)</f>
        <v>0</v>
      </c>
      <c r="AU863" s="1">
        <f>SUM(AL864:AL864)</f>
        <v>0</v>
      </c>
    </row>
    <row r="864" spans="1:75" ht="13.5" customHeight="1">
      <c r="A864" s="2" t="s">
        <v>1381</v>
      </c>
      <c r="B864" s="3" t="s">
        <v>1339</v>
      </c>
      <c r="C864" s="3" t="s">
        <v>877</v>
      </c>
      <c r="D864" s="148" t="s">
        <v>878</v>
      </c>
      <c r="E864" s="143"/>
      <c r="F864" s="3" t="s">
        <v>95</v>
      </c>
      <c r="G864" s="27">
        <v>0.02172</v>
      </c>
      <c r="H864" s="27">
        <v>0</v>
      </c>
      <c r="I864" s="27">
        <f>G864*AO864</f>
        <v>0</v>
      </c>
      <c r="J864" s="27">
        <f>G864*AP864</f>
        <v>0</v>
      </c>
      <c r="K864" s="27">
        <f>G864*H864</f>
        <v>0</v>
      </c>
      <c r="L864" s="28" t="s">
        <v>52</v>
      </c>
      <c r="Z864" s="27">
        <f>IF(AQ864="5",BJ864,0)</f>
        <v>0</v>
      </c>
      <c r="AB864" s="27">
        <f>IF(AQ864="1",BH864,0)</f>
        <v>0</v>
      </c>
      <c r="AC864" s="27">
        <f>IF(AQ864="1",BI864,0)</f>
        <v>0</v>
      </c>
      <c r="AD864" s="27">
        <f>IF(AQ864="7",BH864,0)</f>
        <v>0</v>
      </c>
      <c r="AE864" s="27">
        <f>IF(AQ864="7",BI864,0)</f>
        <v>0</v>
      </c>
      <c r="AF864" s="27">
        <f>IF(AQ864="2",BH864,0)</f>
        <v>0</v>
      </c>
      <c r="AG864" s="27">
        <f>IF(AQ864="2",BI864,0)</f>
        <v>0</v>
      </c>
      <c r="AH864" s="27">
        <f>IF(AQ864="0",BJ864,0)</f>
        <v>0</v>
      </c>
      <c r="AI864" s="9" t="s">
        <v>1339</v>
      </c>
      <c r="AJ864" s="27">
        <f>IF(AN864=0,K864,0)</f>
        <v>0</v>
      </c>
      <c r="AK864" s="27">
        <f>IF(AN864=12,K864,0)</f>
        <v>0</v>
      </c>
      <c r="AL864" s="27">
        <f>IF(AN864=21,K864,0)</f>
        <v>0</v>
      </c>
      <c r="AN864" s="27">
        <v>21</v>
      </c>
      <c r="AO864" s="27">
        <f>H864*0</f>
        <v>0</v>
      </c>
      <c r="AP864" s="27">
        <f>H864*(1-0)</f>
        <v>0</v>
      </c>
      <c r="AQ864" s="29" t="s">
        <v>78</v>
      </c>
      <c r="AV864" s="27">
        <f>AW864+AX864</f>
        <v>0</v>
      </c>
      <c r="AW864" s="27">
        <f>G864*AO864</f>
        <v>0</v>
      </c>
      <c r="AX864" s="27">
        <f>G864*AP864</f>
        <v>0</v>
      </c>
      <c r="AY864" s="29" t="s">
        <v>879</v>
      </c>
      <c r="AZ864" s="29" t="s">
        <v>1379</v>
      </c>
      <c r="BA864" s="9" t="s">
        <v>1343</v>
      </c>
      <c r="BC864" s="27">
        <f>AW864+AX864</f>
        <v>0</v>
      </c>
      <c r="BD864" s="27">
        <f>H864/(100-BE864)*100</f>
        <v>0</v>
      </c>
      <c r="BE864" s="27">
        <v>0</v>
      </c>
      <c r="BF864" s="27">
        <f>864</f>
        <v>864</v>
      </c>
      <c r="BH864" s="27">
        <f>G864*AO864</f>
        <v>0</v>
      </c>
      <c r="BI864" s="27">
        <f>G864*AP864</f>
        <v>0</v>
      </c>
      <c r="BJ864" s="27">
        <f>G864*H864</f>
        <v>0</v>
      </c>
      <c r="BK864" s="27"/>
      <c r="BL864" s="27"/>
      <c r="BW864" s="27">
        <v>21</v>
      </c>
    </row>
    <row r="865" spans="1:47" ht="15">
      <c r="A865" s="23" t="s">
        <v>52</v>
      </c>
      <c r="B865" s="24" t="s">
        <v>1339</v>
      </c>
      <c r="C865" s="24" t="s">
        <v>52</v>
      </c>
      <c r="D865" s="164" t="s">
        <v>631</v>
      </c>
      <c r="E865" s="165"/>
      <c r="F865" s="25" t="s">
        <v>4</v>
      </c>
      <c r="G865" s="25" t="s">
        <v>4</v>
      </c>
      <c r="H865" s="25" t="s">
        <v>4</v>
      </c>
      <c r="I865" s="1">
        <f>SUM(I866:I869)</f>
        <v>0</v>
      </c>
      <c r="J865" s="1">
        <f>SUM(J866:J869)</f>
        <v>0</v>
      </c>
      <c r="K865" s="1">
        <f>SUM(K866:K869)</f>
        <v>0</v>
      </c>
      <c r="L865" s="26" t="s">
        <v>52</v>
      </c>
      <c r="AI865" s="9" t="s">
        <v>1339</v>
      </c>
      <c r="AS865" s="1">
        <f>SUM(AJ866:AJ869)</f>
        <v>0</v>
      </c>
      <c r="AT865" s="1">
        <f>SUM(AK866:AK869)</f>
        <v>0</v>
      </c>
      <c r="AU865" s="1">
        <f>SUM(AL866:AL869)</f>
        <v>0</v>
      </c>
    </row>
    <row r="866" spans="1:75" ht="13.5" customHeight="1">
      <c r="A866" s="2" t="s">
        <v>1382</v>
      </c>
      <c r="B866" s="3" t="s">
        <v>1339</v>
      </c>
      <c r="C866" s="3" t="s">
        <v>633</v>
      </c>
      <c r="D866" s="148" t="s">
        <v>887</v>
      </c>
      <c r="E866" s="143"/>
      <c r="F866" s="3" t="s">
        <v>635</v>
      </c>
      <c r="G866" s="27">
        <v>4</v>
      </c>
      <c r="H866" s="27">
        <v>0</v>
      </c>
      <c r="I866" s="27">
        <f>G866*AO866</f>
        <v>0</v>
      </c>
      <c r="J866" s="27">
        <f>G866*AP866</f>
        <v>0</v>
      </c>
      <c r="K866" s="27">
        <f>G866*H866</f>
        <v>0</v>
      </c>
      <c r="L866" s="28" t="s">
        <v>52</v>
      </c>
      <c r="Z866" s="27">
        <f>IF(AQ866="5",BJ866,0)</f>
        <v>0</v>
      </c>
      <c r="AB866" s="27">
        <f>IF(AQ866="1",BH866,0)</f>
        <v>0</v>
      </c>
      <c r="AC866" s="27">
        <f>IF(AQ866="1",BI866,0)</f>
        <v>0</v>
      </c>
      <c r="AD866" s="27">
        <f>IF(AQ866="7",BH866,0)</f>
        <v>0</v>
      </c>
      <c r="AE866" s="27">
        <f>IF(AQ866="7",BI866,0)</f>
        <v>0</v>
      </c>
      <c r="AF866" s="27">
        <f>IF(AQ866="2",BH866,0)</f>
        <v>0</v>
      </c>
      <c r="AG866" s="27">
        <f>IF(AQ866="2",BI866,0)</f>
        <v>0</v>
      </c>
      <c r="AH866" s="27">
        <f>IF(AQ866="0",BJ866,0)</f>
        <v>0</v>
      </c>
      <c r="AI866" s="9" t="s">
        <v>1339</v>
      </c>
      <c r="AJ866" s="27">
        <f>IF(AN866=0,K866,0)</f>
        <v>0</v>
      </c>
      <c r="AK866" s="27">
        <f>IF(AN866=12,K866,0)</f>
        <v>0</v>
      </c>
      <c r="AL866" s="27">
        <f>IF(AN866=21,K866,0)</f>
        <v>0</v>
      </c>
      <c r="AN866" s="27">
        <v>21</v>
      </c>
      <c r="AO866" s="27">
        <f>H866*0</f>
        <v>0</v>
      </c>
      <c r="AP866" s="27">
        <f>H866*(1-0)</f>
        <v>0</v>
      </c>
      <c r="AQ866" s="29" t="s">
        <v>57</v>
      </c>
      <c r="AV866" s="27">
        <f>AW866+AX866</f>
        <v>0</v>
      </c>
      <c r="AW866" s="27">
        <f>G866*AO866</f>
        <v>0</v>
      </c>
      <c r="AX866" s="27">
        <f>G866*AP866</f>
        <v>0</v>
      </c>
      <c r="AY866" s="29" t="s">
        <v>636</v>
      </c>
      <c r="AZ866" s="29" t="s">
        <v>1383</v>
      </c>
      <c r="BA866" s="9" t="s">
        <v>1343</v>
      </c>
      <c r="BC866" s="27">
        <f>AW866+AX866</f>
        <v>0</v>
      </c>
      <c r="BD866" s="27">
        <f>H866/(100-BE866)*100</f>
        <v>0</v>
      </c>
      <c r="BE866" s="27">
        <v>0</v>
      </c>
      <c r="BF866" s="27">
        <f>866</f>
        <v>866</v>
      </c>
      <c r="BH866" s="27">
        <f>G866*AO866</f>
        <v>0</v>
      </c>
      <c r="BI866" s="27">
        <f>G866*AP866</f>
        <v>0</v>
      </c>
      <c r="BJ866" s="27">
        <f>G866*H866</f>
        <v>0</v>
      </c>
      <c r="BK866" s="27"/>
      <c r="BL866" s="27"/>
      <c r="BW866" s="27">
        <v>21</v>
      </c>
    </row>
    <row r="867" spans="1:75" ht="13.5" customHeight="1">
      <c r="A867" s="2" t="s">
        <v>1384</v>
      </c>
      <c r="B867" s="3" t="s">
        <v>1339</v>
      </c>
      <c r="C867" s="3" t="s">
        <v>639</v>
      </c>
      <c r="D867" s="148" t="s">
        <v>640</v>
      </c>
      <c r="E867" s="143"/>
      <c r="F867" s="3" t="s">
        <v>635</v>
      </c>
      <c r="G867" s="27">
        <v>4</v>
      </c>
      <c r="H867" s="27">
        <v>0</v>
      </c>
      <c r="I867" s="27">
        <f>G867*AO867</f>
        <v>0</v>
      </c>
      <c r="J867" s="27">
        <f>G867*AP867</f>
        <v>0</v>
      </c>
      <c r="K867" s="27">
        <f>G867*H867</f>
        <v>0</v>
      </c>
      <c r="L867" s="28" t="s">
        <v>52</v>
      </c>
      <c r="Z867" s="27">
        <f>IF(AQ867="5",BJ867,0)</f>
        <v>0</v>
      </c>
      <c r="AB867" s="27">
        <f>IF(AQ867="1",BH867,0)</f>
        <v>0</v>
      </c>
      <c r="AC867" s="27">
        <f>IF(AQ867="1",BI867,0)</f>
        <v>0</v>
      </c>
      <c r="AD867" s="27">
        <f>IF(AQ867="7",BH867,0)</f>
        <v>0</v>
      </c>
      <c r="AE867" s="27">
        <f>IF(AQ867="7",BI867,0)</f>
        <v>0</v>
      </c>
      <c r="AF867" s="27">
        <f>IF(AQ867="2",BH867,0)</f>
        <v>0</v>
      </c>
      <c r="AG867" s="27">
        <f>IF(AQ867="2",BI867,0)</f>
        <v>0</v>
      </c>
      <c r="AH867" s="27">
        <f>IF(AQ867="0",BJ867,0)</f>
        <v>0</v>
      </c>
      <c r="AI867" s="9" t="s">
        <v>1339</v>
      </c>
      <c r="AJ867" s="27">
        <f>IF(AN867=0,K867,0)</f>
        <v>0</v>
      </c>
      <c r="AK867" s="27">
        <f>IF(AN867=12,K867,0)</f>
        <v>0</v>
      </c>
      <c r="AL867" s="27">
        <f>IF(AN867=21,K867,0)</f>
        <v>0</v>
      </c>
      <c r="AN867" s="27">
        <v>21</v>
      </c>
      <c r="AO867" s="27">
        <f>H867*0</f>
        <v>0</v>
      </c>
      <c r="AP867" s="27">
        <f>H867*(1-0)</f>
        <v>0</v>
      </c>
      <c r="AQ867" s="29" t="s">
        <v>57</v>
      </c>
      <c r="AV867" s="27">
        <f>AW867+AX867</f>
        <v>0</v>
      </c>
      <c r="AW867" s="27">
        <f>G867*AO867</f>
        <v>0</v>
      </c>
      <c r="AX867" s="27">
        <f>G867*AP867</f>
        <v>0</v>
      </c>
      <c r="AY867" s="29" t="s">
        <v>636</v>
      </c>
      <c r="AZ867" s="29" t="s">
        <v>1383</v>
      </c>
      <c r="BA867" s="9" t="s">
        <v>1343</v>
      </c>
      <c r="BC867" s="27">
        <f>AW867+AX867</f>
        <v>0</v>
      </c>
      <c r="BD867" s="27">
        <f>H867/(100-BE867)*100</f>
        <v>0</v>
      </c>
      <c r="BE867" s="27">
        <v>0</v>
      </c>
      <c r="BF867" s="27">
        <f>867</f>
        <v>867</v>
      </c>
      <c r="BH867" s="27">
        <f>G867*AO867</f>
        <v>0</v>
      </c>
      <c r="BI867" s="27">
        <f>G867*AP867</f>
        <v>0</v>
      </c>
      <c r="BJ867" s="27">
        <f>G867*H867</f>
        <v>0</v>
      </c>
      <c r="BK867" s="27"/>
      <c r="BL867" s="27"/>
      <c r="BW867" s="27">
        <v>21</v>
      </c>
    </row>
    <row r="868" spans="1:75" ht="13.5" customHeight="1">
      <c r="A868" s="2" t="s">
        <v>1385</v>
      </c>
      <c r="B868" s="3" t="s">
        <v>1339</v>
      </c>
      <c r="C868" s="3" t="s">
        <v>642</v>
      </c>
      <c r="D868" s="148" t="s">
        <v>891</v>
      </c>
      <c r="E868" s="143"/>
      <c r="F868" s="3" t="s">
        <v>635</v>
      </c>
      <c r="G868" s="27">
        <v>4</v>
      </c>
      <c r="H868" s="27">
        <v>0</v>
      </c>
      <c r="I868" s="27">
        <f>G868*AO868</f>
        <v>0</v>
      </c>
      <c r="J868" s="27">
        <f>G868*AP868</f>
        <v>0</v>
      </c>
      <c r="K868" s="27">
        <f>G868*H868</f>
        <v>0</v>
      </c>
      <c r="L868" s="28" t="s">
        <v>52</v>
      </c>
      <c r="Z868" s="27">
        <f>IF(AQ868="5",BJ868,0)</f>
        <v>0</v>
      </c>
      <c r="AB868" s="27">
        <f>IF(AQ868="1",BH868,0)</f>
        <v>0</v>
      </c>
      <c r="AC868" s="27">
        <f>IF(AQ868="1",BI868,0)</f>
        <v>0</v>
      </c>
      <c r="AD868" s="27">
        <f>IF(AQ868="7",BH868,0)</f>
        <v>0</v>
      </c>
      <c r="AE868" s="27">
        <f>IF(AQ868="7",BI868,0)</f>
        <v>0</v>
      </c>
      <c r="AF868" s="27">
        <f>IF(AQ868="2",BH868,0)</f>
        <v>0</v>
      </c>
      <c r="AG868" s="27">
        <f>IF(AQ868="2",BI868,0)</f>
        <v>0</v>
      </c>
      <c r="AH868" s="27">
        <f>IF(AQ868="0",BJ868,0)</f>
        <v>0</v>
      </c>
      <c r="AI868" s="9" t="s">
        <v>1339</v>
      </c>
      <c r="AJ868" s="27">
        <f>IF(AN868=0,K868,0)</f>
        <v>0</v>
      </c>
      <c r="AK868" s="27">
        <f>IF(AN868=12,K868,0)</f>
        <v>0</v>
      </c>
      <c r="AL868" s="27">
        <f>IF(AN868=21,K868,0)</f>
        <v>0</v>
      </c>
      <c r="AN868" s="27">
        <v>21</v>
      </c>
      <c r="AO868" s="27">
        <f>H868*0</f>
        <v>0</v>
      </c>
      <c r="AP868" s="27">
        <f>H868*(1-0)</f>
        <v>0</v>
      </c>
      <c r="AQ868" s="29" t="s">
        <v>57</v>
      </c>
      <c r="AV868" s="27">
        <f>AW868+AX868</f>
        <v>0</v>
      </c>
      <c r="AW868" s="27">
        <f>G868*AO868</f>
        <v>0</v>
      </c>
      <c r="AX868" s="27">
        <f>G868*AP868</f>
        <v>0</v>
      </c>
      <c r="AY868" s="29" t="s">
        <v>636</v>
      </c>
      <c r="AZ868" s="29" t="s">
        <v>1383</v>
      </c>
      <c r="BA868" s="9" t="s">
        <v>1343</v>
      </c>
      <c r="BC868" s="27">
        <f>AW868+AX868</f>
        <v>0</v>
      </c>
      <c r="BD868" s="27">
        <f>H868/(100-BE868)*100</f>
        <v>0</v>
      </c>
      <c r="BE868" s="27">
        <v>0</v>
      </c>
      <c r="BF868" s="27">
        <f>868</f>
        <v>868</v>
      </c>
      <c r="BH868" s="27">
        <f>G868*AO868</f>
        <v>0</v>
      </c>
      <c r="BI868" s="27">
        <f>G868*AP868</f>
        <v>0</v>
      </c>
      <c r="BJ868" s="27">
        <f>G868*H868</f>
        <v>0</v>
      </c>
      <c r="BK868" s="27"/>
      <c r="BL868" s="27"/>
      <c r="BW868" s="27">
        <v>21</v>
      </c>
    </row>
    <row r="869" spans="1:75" ht="13.5" customHeight="1">
      <c r="A869" s="2" t="s">
        <v>1386</v>
      </c>
      <c r="B869" s="3" t="s">
        <v>1339</v>
      </c>
      <c r="C869" s="3" t="s">
        <v>645</v>
      </c>
      <c r="D869" s="148" t="s">
        <v>649</v>
      </c>
      <c r="E869" s="143"/>
      <c r="F869" s="3" t="s">
        <v>635</v>
      </c>
      <c r="G869" s="27">
        <v>8</v>
      </c>
      <c r="H869" s="27">
        <v>0</v>
      </c>
      <c r="I869" s="27">
        <f>G869*AO869</f>
        <v>0</v>
      </c>
      <c r="J869" s="27">
        <f>G869*AP869</f>
        <v>0</v>
      </c>
      <c r="K869" s="27">
        <f>G869*H869</f>
        <v>0</v>
      </c>
      <c r="L869" s="28" t="s">
        <v>52</v>
      </c>
      <c r="Z869" s="27">
        <f>IF(AQ869="5",BJ869,0)</f>
        <v>0</v>
      </c>
      <c r="AB869" s="27">
        <f>IF(AQ869="1",BH869,0)</f>
        <v>0</v>
      </c>
      <c r="AC869" s="27">
        <f>IF(AQ869="1",BI869,0)</f>
        <v>0</v>
      </c>
      <c r="AD869" s="27">
        <f>IF(AQ869="7",BH869,0)</f>
        <v>0</v>
      </c>
      <c r="AE869" s="27">
        <f>IF(AQ869="7",BI869,0)</f>
        <v>0</v>
      </c>
      <c r="AF869" s="27">
        <f>IF(AQ869="2",BH869,0)</f>
        <v>0</v>
      </c>
      <c r="AG869" s="27">
        <f>IF(AQ869="2",BI869,0)</f>
        <v>0</v>
      </c>
      <c r="AH869" s="27">
        <f>IF(AQ869="0",BJ869,0)</f>
        <v>0</v>
      </c>
      <c r="AI869" s="9" t="s">
        <v>1339</v>
      </c>
      <c r="AJ869" s="27">
        <f>IF(AN869=0,K869,0)</f>
        <v>0</v>
      </c>
      <c r="AK869" s="27">
        <f>IF(AN869=12,K869,0)</f>
        <v>0</v>
      </c>
      <c r="AL869" s="27">
        <f>IF(AN869=21,K869,0)</f>
        <v>0</v>
      </c>
      <c r="AN869" s="27">
        <v>21</v>
      </c>
      <c r="AO869" s="27">
        <f>H869*0</f>
        <v>0</v>
      </c>
      <c r="AP869" s="27">
        <f>H869*(1-0)</f>
        <v>0</v>
      </c>
      <c r="AQ869" s="29" t="s">
        <v>57</v>
      </c>
      <c r="AV869" s="27">
        <f>AW869+AX869</f>
        <v>0</v>
      </c>
      <c r="AW869" s="27">
        <f>G869*AO869</f>
        <v>0</v>
      </c>
      <c r="AX869" s="27">
        <f>G869*AP869</f>
        <v>0</v>
      </c>
      <c r="AY869" s="29" t="s">
        <v>636</v>
      </c>
      <c r="AZ869" s="29" t="s">
        <v>1383</v>
      </c>
      <c r="BA869" s="9" t="s">
        <v>1343</v>
      </c>
      <c r="BC869" s="27">
        <f>AW869+AX869</f>
        <v>0</v>
      </c>
      <c r="BD869" s="27">
        <f>H869/(100-BE869)*100</f>
        <v>0</v>
      </c>
      <c r="BE869" s="27">
        <v>0</v>
      </c>
      <c r="BF869" s="27">
        <f>869</f>
        <v>869</v>
      </c>
      <c r="BH869" s="27">
        <f>G869*AO869</f>
        <v>0</v>
      </c>
      <c r="BI869" s="27">
        <f>G869*AP869</f>
        <v>0</v>
      </c>
      <c r="BJ869" s="27">
        <f>G869*H869</f>
        <v>0</v>
      </c>
      <c r="BK869" s="27"/>
      <c r="BL869" s="27"/>
      <c r="BW869" s="27">
        <v>21</v>
      </c>
    </row>
    <row r="870" spans="1:12" ht="15">
      <c r="A870" s="36" t="s">
        <v>52</v>
      </c>
      <c r="B870" s="37" t="s">
        <v>1387</v>
      </c>
      <c r="C870" s="37" t="s">
        <v>52</v>
      </c>
      <c r="D870" s="169" t="s">
        <v>1388</v>
      </c>
      <c r="E870" s="170"/>
      <c r="F870" s="38" t="s">
        <v>4</v>
      </c>
      <c r="G870" s="38" t="s">
        <v>4</v>
      </c>
      <c r="H870" s="38" t="s">
        <v>4</v>
      </c>
      <c r="I870" s="39">
        <f>I871+I897+I908+I914+I940+I967+I999+I1009+I1016+I1053+I1064+I1091+I1104+I1126+I1133+I1149+I1155+I1167+I1189</f>
        <v>0</v>
      </c>
      <c r="J870" s="39">
        <f>J871+J897+J908+J914+J940+J967+J999+J1009+J1016+J1053+J1064+J1091+J1104+J1126+J1133+J1149+J1155+J1167+J1189</f>
        <v>0</v>
      </c>
      <c r="K870" s="39">
        <f>K871+K897+K908+K914+K940+K967+K999+K1009+K1016+K1053+K1064+K1091+K1104+K1126+K1133+K1149+K1155+K1167+K1189</f>
        <v>0</v>
      </c>
      <c r="L870" s="40" t="s">
        <v>52</v>
      </c>
    </row>
    <row r="871" spans="1:47" ht="15">
      <c r="A871" s="70" t="s">
        <v>52</v>
      </c>
      <c r="B871" s="71" t="s">
        <v>1387</v>
      </c>
      <c r="C871" s="71" t="s">
        <v>121</v>
      </c>
      <c r="D871" s="183" t="s">
        <v>122</v>
      </c>
      <c r="E871" s="184"/>
      <c r="F871" s="72" t="s">
        <v>4</v>
      </c>
      <c r="G871" s="72" t="s">
        <v>4</v>
      </c>
      <c r="H871" s="72" t="s">
        <v>4</v>
      </c>
      <c r="I871" s="73">
        <f>SUM(I872:I893)</f>
        <v>0</v>
      </c>
      <c r="J871" s="73">
        <f>SUM(J872:J893)</f>
        <v>0</v>
      </c>
      <c r="K871" s="73">
        <f>SUM(K872:K893)</f>
        <v>0</v>
      </c>
      <c r="L871" s="74" t="s">
        <v>52</v>
      </c>
      <c r="AI871" s="9" t="s">
        <v>1387</v>
      </c>
      <c r="AS871" s="1">
        <f>SUM(AJ872:AJ893)</f>
        <v>0</v>
      </c>
      <c r="AT871" s="1">
        <f>SUM(AK872:AK893)</f>
        <v>0</v>
      </c>
      <c r="AU871" s="1">
        <f>SUM(AL872:AL893)</f>
        <v>0</v>
      </c>
    </row>
    <row r="872" spans="1:75" ht="13.5" customHeight="1">
      <c r="A872" s="66" t="s">
        <v>1389</v>
      </c>
      <c r="B872" s="67" t="s">
        <v>1387</v>
      </c>
      <c r="C872" s="67" t="s">
        <v>145</v>
      </c>
      <c r="D872" s="181" t="s">
        <v>146</v>
      </c>
      <c r="E872" s="182"/>
      <c r="F872" s="67" t="s">
        <v>109</v>
      </c>
      <c r="G872" s="68">
        <v>12.235</v>
      </c>
      <c r="H872" s="68">
        <v>0</v>
      </c>
      <c r="I872" s="68">
        <f>G872*AO872</f>
        <v>0</v>
      </c>
      <c r="J872" s="68">
        <f>G872*AP872</f>
        <v>0</v>
      </c>
      <c r="K872" s="68">
        <f>G872*H872</f>
        <v>0</v>
      </c>
      <c r="L872" s="69" t="s">
        <v>137</v>
      </c>
      <c r="Z872" s="27">
        <f>IF(AQ872="5",BJ872,0)</f>
        <v>0</v>
      </c>
      <c r="AB872" s="27">
        <f>IF(AQ872="1",BH872,0)</f>
        <v>0</v>
      </c>
      <c r="AC872" s="27">
        <f>IF(AQ872="1",BI872,0)</f>
        <v>0</v>
      </c>
      <c r="AD872" s="27">
        <f>IF(AQ872="7",BH872,0)</f>
        <v>0</v>
      </c>
      <c r="AE872" s="27">
        <f>IF(AQ872="7",BI872,0)</f>
        <v>0</v>
      </c>
      <c r="AF872" s="27">
        <f>IF(AQ872="2",BH872,0)</f>
        <v>0</v>
      </c>
      <c r="AG872" s="27">
        <f>IF(AQ872="2",BI872,0)</f>
        <v>0</v>
      </c>
      <c r="AH872" s="27">
        <f>IF(AQ872="0",BJ872,0)</f>
        <v>0</v>
      </c>
      <c r="AI872" s="9" t="s">
        <v>1387</v>
      </c>
      <c r="AJ872" s="27">
        <f>IF(AN872=0,K872,0)</f>
        <v>0</v>
      </c>
      <c r="AK872" s="27">
        <f>IF(AN872=12,K872,0)</f>
        <v>0</v>
      </c>
      <c r="AL872" s="27">
        <f>IF(AN872=21,K872,0)</f>
        <v>0</v>
      </c>
      <c r="AN872" s="27">
        <v>21</v>
      </c>
      <c r="AO872" s="27">
        <f>H872*0.334084462</f>
        <v>0</v>
      </c>
      <c r="AP872" s="27">
        <f>H872*(1-0.334084462)</f>
        <v>0</v>
      </c>
      <c r="AQ872" s="29" t="s">
        <v>57</v>
      </c>
      <c r="AV872" s="27">
        <f>AW872+AX872</f>
        <v>0</v>
      </c>
      <c r="AW872" s="27">
        <f>G872*AO872</f>
        <v>0</v>
      </c>
      <c r="AX872" s="27">
        <f>G872*AP872</f>
        <v>0</v>
      </c>
      <c r="AY872" s="29" t="s">
        <v>127</v>
      </c>
      <c r="AZ872" s="29" t="s">
        <v>1390</v>
      </c>
      <c r="BA872" s="9" t="s">
        <v>1391</v>
      </c>
      <c r="BC872" s="27">
        <f>AW872+AX872</f>
        <v>0</v>
      </c>
      <c r="BD872" s="27">
        <f>H872/(100-BE872)*100</f>
        <v>0</v>
      </c>
      <c r="BE872" s="27">
        <v>0</v>
      </c>
      <c r="BF872" s="27">
        <f>872</f>
        <v>872</v>
      </c>
      <c r="BH872" s="27">
        <f>G872*AO872</f>
        <v>0</v>
      </c>
      <c r="BI872" s="27">
        <f>G872*AP872</f>
        <v>0</v>
      </c>
      <c r="BJ872" s="27">
        <f>G872*H872</f>
        <v>0</v>
      </c>
      <c r="BK872" s="27"/>
      <c r="BL872" s="27">
        <v>61</v>
      </c>
      <c r="BW872" s="27">
        <v>21</v>
      </c>
    </row>
    <row r="873" spans="1:12" ht="15">
      <c r="A873" s="52"/>
      <c r="B873" s="53"/>
      <c r="C873" s="53"/>
      <c r="D873" s="54" t="s">
        <v>1392</v>
      </c>
      <c r="E873" s="55" t="s">
        <v>914</v>
      </c>
      <c r="F873" s="53"/>
      <c r="G873" s="56">
        <v>12.235</v>
      </c>
      <c r="H873" s="53"/>
      <c r="I873" s="53"/>
      <c r="J873" s="53"/>
      <c r="K873" s="53"/>
      <c r="L873" s="57"/>
    </row>
    <row r="874" spans="1:75" ht="13.5" customHeight="1">
      <c r="A874" s="101" t="s">
        <v>1393</v>
      </c>
      <c r="B874" s="102" t="s">
        <v>1387</v>
      </c>
      <c r="C874" s="102" t="s">
        <v>1394</v>
      </c>
      <c r="D874" s="198" t="s">
        <v>1395</v>
      </c>
      <c r="E874" s="199"/>
      <c r="F874" s="102" t="s">
        <v>126</v>
      </c>
      <c r="G874" s="103">
        <v>12</v>
      </c>
      <c r="H874" s="103">
        <v>0</v>
      </c>
      <c r="I874" s="103">
        <f>G874*AO874</f>
        <v>0</v>
      </c>
      <c r="J874" s="103">
        <f>G874*AP874</f>
        <v>0</v>
      </c>
      <c r="K874" s="103">
        <f>G874*H874</f>
        <v>0</v>
      </c>
      <c r="L874" s="104" t="s">
        <v>137</v>
      </c>
      <c r="Z874" s="27">
        <f>IF(AQ874="5",BJ874,0)</f>
        <v>0</v>
      </c>
      <c r="AB874" s="27">
        <f>IF(AQ874="1",BH874,0)</f>
        <v>0</v>
      </c>
      <c r="AC874" s="27">
        <f>IF(AQ874="1",BI874,0)</f>
        <v>0</v>
      </c>
      <c r="AD874" s="27">
        <f>IF(AQ874="7",BH874,0)</f>
        <v>0</v>
      </c>
      <c r="AE874" s="27">
        <f>IF(AQ874="7",BI874,0)</f>
        <v>0</v>
      </c>
      <c r="AF874" s="27">
        <f>IF(AQ874="2",BH874,0)</f>
        <v>0</v>
      </c>
      <c r="AG874" s="27">
        <f>IF(AQ874="2",BI874,0)</f>
        <v>0</v>
      </c>
      <c r="AH874" s="27">
        <f>IF(AQ874="0",BJ874,0)</f>
        <v>0</v>
      </c>
      <c r="AI874" s="9" t="s">
        <v>1387</v>
      </c>
      <c r="AJ874" s="27">
        <f>IF(AN874=0,K874,0)</f>
        <v>0</v>
      </c>
      <c r="AK874" s="27">
        <f>IF(AN874=12,K874,0)</f>
        <v>0</v>
      </c>
      <c r="AL874" s="27">
        <f>IF(AN874=21,K874,0)</f>
        <v>0</v>
      </c>
      <c r="AN874" s="27">
        <v>21</v>
      </c>
      <c r="AO874" s="27">
        <f>H874*0.077993369</f>
        <v>0</v>
      </c>
      <c r="AP874" s="27">
        <f>H874*(1-0.077993369)</f>
        <v>0</v>
      </c>
      <c r="AQ874" s="29" t="s">
        <v>57</v>
      </c>
      <c r="AV874" s="27">
        <f>AW874+AX874</f>
        <v>0</v>
      </c>
      <c r="AW874" s="27">
        <f>G874*AO874</f>
        <v>0</v>
      </c>
      <c r="AX874" s="27">
        <f>G874*AP874</f>
        <v>0</v>
      </c>
      <c r="AY874" s="29" t="s">
        <v>127</v>
      </c>
      <c r="AZ874" s="29" t="s">
        <v>1390</v>
      </c>
      <c r="BA874" s="9" t="s">
        <v>1391</v>
      </c>
      <c r="BC874" s="27">
        <f>AW874+AX874</f>
        <v>0</v>
      </c>
      <c r="BD874" s="27">
        <f>H874/(100-BE874)*100</f>
        <v>0</v>
      </c>
      <c r="BE874" s="27">
        <v>0</v>
      </c>
      <c r="BF874" s="27">
        <f>874</f>
        <v>874</v>
      </c>
      <c r="BH874" s="27">
        <f>G874*AO874</f>
        <v>0</v>
      </c>
      <c r="BI874" s="27">
        <f>G874*AP874</f>
        <v>0</v>
      </c>
      <c r="BJ874" s="27">
        <f>G874*H874</f>
        <v>0</v>
      </c>
      <c r="BK874" s="27"/>
      <c r="BL874" s="27">
        <v>61</v>
      </c>
      <c r="BW874" s="27">
        <v>21</v>
      </c>
    </row>
    <row r="875" spans="1:12" ht="15">
      <c r="A875" s="30"/>
      <c r="D875" s="32" t="s">
        <v>1396</v>
      </c>
      <c r="E875" s="31" t="s">
        <v>52</v>
      </c>
      <c r="G875" s="33">
        <v>12</v>
      </c>
      <c r="L875" s="34"/>
    </row>
    <row r="876" spans="1:12" ht="13.5" customHeight="1">
      <c r="A876" s="30"/>
      <c r="C876" s="35" t="s">
        <v>102</v>
      </c>
      <c r="D876" s="166" t="s">
        <v>1397</v>
      </c>
      <c r="E876" s="167"/>
      <c r="F876" s="167"/>
      <c r="G876" s="167"/>
      <c r="H876" s="167"/>
      <c r="I876" s="167"/>
      <c r="J876" s="167"/>
      <c r="K876" s="167"/>
      <c r="L876" s="168"/>
    </row>
    <row r="877" spans="1:75" ht="13.5" customHeight="1">
      <c r="A877" s="2" t="s">
        <v>1398</v>
      </c>
      <c r="B877" s="3" t="s">
        <v>1387</v>
      </c>
      <c r="C877" s="3" t="s">
        <v>1399</v>
      </c>
      <c r="D877" s="148" t="s">
        <v>1400</v>
      </c>
      <c r="E877" s="143"/>
      <c r="F877" s="3" t="s">
        <v>126</v>
      </c>
      <c r="G877" s="27">
        <v>12</v>
      </c>
      <c r="H877" s="27">
        <v>0</v>
      </c>
      <c r="I877" s="27">
        <f>G877*AO877</f>
        <v>0</v>
      </c>
      <c r="J877" s="27">
        <f>G877*AP877</f>
        <v>0</v>
      </c>
      <c r="K877" s="27">
        <f>G877*H877</f>
        <v>0</v>
      </c>
      <c r="L877" s="28" t="s">
        <v>137</v>
      </c>
      <c r="Z877" s="27">
        <f>IF(AQ877="5",BJ877,0)</f>
        <v>0</v>
      </c>
      <c r="AB877" s="27">
        <f>IF(AQ877="1",BH877,0)</f>
        <v>0</v>
      </c>
      <c r="AC877" s="27">
        <f>IF(AQ877="1",BI877,0)</f>
        <v>0</v>
      </c>
      <c r="AD877" s="27">
        <f>IF(AQ877="7",BH877,0)</f>
        <v>0</v>
      </c>
      <c r="AE877" s="27">
        <f>IF(AQ877="7",BI877,0)</f>
        <v>0</v>
      </c>
      <c r="AF877" s="27">
        <f>IF(AQ877="2",BH877,0)</f>
        <v>0</v>
      </c>
      <c r="AG877" s="27">
        <f>IF(AQ877="2",BI877,0)</f>
        <v>0</v>
      </c>
      <c r="AH877" s="27">
        <f>IF(AQ877="0",BJ877,0)</f>
        <v>0</v>
      </c>
      <c r="AI877" s="9" t="s">
        <v>1387</v>
      </c>
      <c r="AJ877" s="27">
        <f>IF(AN877=0,K877,0)</f>
        <v>0</v>
      </c>
      <c r="AK877" s="27">
        <f>IF(AN877=12,K877,0)</f>
        <v>0</v>
      </c>
      <c r="AL877" s="27">
        <f>IF(AN877=21,K877,0)</f>
        <v>0</v>
      </c>
      <c r="AN877" s="27">
        <v>21</v>
      </c>
      <c r="AO877" s="27">
        <f>H877*0.442589286</f>
        <v>0</v>
      </c>
      <c r="AP877" s="27">
        <f>H877*(1-0.442589286)</f>
        <v>0</v>
      </c>
      <c r="AQ877" s="29" t="s">
        <v>57</v>
      </c>
      <c r="AV877" s="27">
        <f>AW877+AX877</f>
        <v>0</v>
      </c>
      <c r="AW877" s="27">
        <f>G877*AO877</f>
        <v>0</v>
      </c>
      <c r="AX877" s="27">
        <f>G877*AP877</f>
        <v>0</v>
      </c>
      <c r="AY877" s="29" t="s">
        <v>127</v>
      </c>
      <c r="AZ877" s="29" t="s">
        <v>1390</v>
      </c>
      <c r="BA877" s="9" t="s">
        <v>1391</v>
      </c>
      <c r="BC877" s="27">
        <f>AW877+AX877</f>
        <v>0</v>
      </c>
      <c r="BD877" s="27">
        <f>H877/(100-BE877)*100</f>
        <v>0</v>
      </c>
      <c r="BE877" s="27">
        <v>0</v>
      </c>
      <c r="BF877" s="27">
        <f>877</f>
        <v>877</v>
      </c>
      <c r="BH877" s="27">
        <f>G877*AO877</f>
        <v>0</v>
      </c>
      <c r="BI877" s="27">
        <f>G877*AP877</f>
        <v>0</v>
      </c>
      <c r="BJ877" s="27">
        <f>G877*H877</f>
        <v>0</v>
      </c>
      <c r="BK877" s="27"/>
      <c r="BL877" s="27">
        <v>61</v>
      </c>
      <c r="BW877" s="27">
        <v>21</v>
      </c>
    </row>
    <row r="878" spans="1:12" ht="13.5" customHeight="1">
      <c r="A878" s="30"/>
      <c r="D878" s="166" t="s">
        <v>1401</v>
      </c>
      <c r="E878" s="167"/>
      <c r="F878" s="167"/>
      <c r="G878" s="167"/>
      <c r="H878" s="167"/>
      <c r="I878" s="167"/>
      <c r="J878" s="167"/>
      <c r="K878" s="167"/>
      <c r="L878" s="168"/>
    </row>
    <row r="879" spans="1:12" ht="15">
      <c r="A879" s="30"/>
      <c r="D879" s="32" t="s">
        <v>1396</v>
      </c>
      <c r="E879" s="31" t="s">
        <v>52</v>
      </c>
      <c r="G879" s="33">
        <v>12</v>
      </c>
      <c r="L879" s="34"/>
    </row>
    <row r="880" spans="1:12" ht="13.5" customHeight="1">
      <c r="A880" s="30"/>
      <c r="C880" s="35" t="s">
        <v>102</v>
      </c>
      <c r="D880" s="166" t="s">
        <v>133</v>
      </c>
      <c r="E880" s="167"/>
      <c r="F880" s="167"/>
      <c r="G880" s="167"/>
      <c r="H880" s="167"/>
      <c r="I880" s="167"/>
      <c r="J880" s="167"/>
      <c r="K880" s="167"/>
      <c r="L880" s="168"/>
    </row>
    <row r="881" spans="1:75" ht="13.5" customHeight="1">
      <c r="A881" s="2" t="s">
        <v>1402</v>
      </c>
      <c r="B881" s="3" t="s">
        <v>1387</v>
      </c>
      <c r="C881" s="3" t="s">
        <v>1403</v>
      </c>
      <c r="D881" s="148" t="s">
        <v>1404</v>
      </c>
      <c r="E881" s="143"/>
      <c r="F881" s="3" t="s">
        <v>126</v>
      </c>
      <c r="G881" s="27">
        <v>19.52</v>
      </c>
      <c r="H881" s="27">
        <v>0</v>
      </c>
      <c r="I881" s="27">
        <f>G881*AO881</f>
        <v>0</v>
      </c>
      <c r="J881" s="27">
        <f>G881*AP881</f>
        <v>0</v>
      </c>
      <c r="K881" s="27">
        <f>G881*H881</f>
        <v>0</v>
      </c>
      <c r="L881" s="28" t="s">
        <v>137</v>
      </c>
      <c r="Z881" s="27">
        <f>IF(AQ881="5",BJ881,0)</f>
        <v>0</v>
      </c>
      <c r="AB881" s="27">
        <f>IF(AQ881="1",BH881,0)</f>
        <v>0</v>
      </c>
      <c r="AC881" s="27">
        <f>IF(AQ881="1",BI881,0)</f>
        <v>0</v>
      </c>
      <c r="AD881" s="27">
        <f>IF(AQ881="7",BH881,0)</f>
        <v>0</v>
      </c>
      <c r="AE881" s="27">
        <f>IF(AQ881="7",BI881,0)</f>
        <v>0</v>
      </c>
      <c r="AF881" s="27">
        <f>IF(AQ881="2",BH881,0)</f>
        <v>0</v>
      </c>
      <c r="AG881" s="27">
        <f>IF(AQ881="2",BI881,0)</f>
        <v>0</v>
      </c>
      <c r="AH881" s="27">
        <f>IF(AQ881="0",BJ881,0)</f>
        <v>0</v>
      </c>
      <c r="AI881" s="9" t="s">
        <v>1387</v>
      </c>
      <c r="AJ881" s="27">
        <f>IF(AN881=0,K881,0)</f>
        <v>0</v>
      </c>
      <c r="AK881" s="27">
        <f>IF(AN881=12,K881,0)</f>
        <v>0</v>
      </c>
      <c r="AL881" s="27">
        <f>IF(AN881=21,K881,0)</f>
        <v>0</v>
      </c>
      <c r="AN881" s="27">
        <v>21</v>
      </c>
      <c r="AO881" s="27">
        <f>H881*0.130352298</f>
        <v>0</v>
      </c>
      <c r="AP881" s="27">
        <f>H881*(1-0.130352298)</f>
        <v>0</v>
      </c>
      <c r="AQ881" s="29" t="s">
        <v>57</v>
      </c>
      <c r="AV881" s="27">
        <f>AW881+AX881</f>
        <v>0</v>
      </c>
      <c r="AW881" s="27">
        <f>G881*AO881</f>
        <v>0</v>
      </c>
      <c r="AX881" s="27">
        <f>G881*AP881</f>
        <v>0</v>
      </c>
      <c r="AY881" s="29" t="s">
        <v>127</v>
      </c>
      <c r="AZ881" s="29" t="s">
        <v>1390</v>
      </c>
      <c r="BA881" s="9" t="s">
        <v>1391</v>
      </c>
      <c r="BC881" s="27">
        <f>AW881+AX881</f>
        <v>0</v>
      </c>
      <c r="BD881" s="27">
        <f>H881/(100-BE881)*100</f>
        <v>0</v>
      </c>
      <c r="BE881" s="27">
        <v>0</v>
      </c>
      <c r="BF881" s="27">
        <f>881</f>
        <v>881</v>
      </c>
      <c r="BH881" s="27">
        <f>G881*AO881</f>
        <v>0</v>
      </c>
      <c r="BI881" s="27">
        <f>G881*AP881</f>
        <v>0</v>
      </c>
      <c r="BJ881" s="27">
        <f>G881*H881</f>
        <v>0</v>
      </c>
      <c r="BK881" s="27"/>
      <c r="BL881" s="27">
        <v>61</v>
      </c>
      <c r="BW881" s="27">
        <v>21</v>
      </c>
    </row>
    <row r="882" spans="1:12" ht="13.5" customHeight="1">
      <c r="A882" s="30"/>
      <c r="D882" s="166" t="s">
        <v>1401</v>
      </c>
      <c r="E882" s="167"/>
      <c r="F882" s="167"/>
      <c r="G882" s="167"/>
      <c r="H882" s="167"/>
      <c r="I882" s="167"/>
      <c r="J882" s="167"/>
      <c r="K882" s="167"/>
      <c r="L882" s="168"/>
    </row>
    <row r="883" spans="1:12" ht="15">
      <c r="A883" s="30"/>
      <c r="D883" s="32" t="s">
        <v>1405</v>
      </c>
      <c r="E883" s="31" t="s">
        <v>52</v>
      </c>
      <c r="G883" s="33">
        <v>19.52</v>
      </c>
      <c r="L883" s="34"/>
    </row>
    <row r="884" spans="1:12" ht="13.5" customHeight="1">
      <c r="A884" s="30"/>
      <c r="C884" s="35" t="s">
        <v>102</v>
      </c>
      <c r="D884" s="166" t="s">
        <v>133</v>
      </c>
      <c r="E884" s="167"/>
      <c r="F884" s="167"/>
      <c r="G884" s="167"/>
      <c r="H884" s="167"/>
      <c r="I884" s="167"/>
      <c r="J884" s="167"/>
      <c r="K884" s="167"/>
      <c r="L884" s="168"/>
    </row>
    <row r="885" spans="1:75" ht="13.5" customHeight="1">
      <c r="A885" s="2" t="s">
        <v>1406</v>
      </c>
      <c r="B885" s="3" t="s">
        <v>1387</v>
      </c>
      <c r="C885" s="3" t="s">
        <v>1407</v>
      </c>
      <c r="D885" s="148" t="s">
        <v>1408</v>
      </c>
      <c r="E885" s="143"/>
      <c r="F885" s="3" t="s">
        <v>154</v>
      </c>
      <c r="G885" s="27">
        <v>10</v>
      </c>
      <c r="H885" s="27">
        <v>0</v>
      </c>
      <c r="I885" s="27">
        <f>G885*AO885</f>
        <v>0</v>
      </c>
      <c r="J885" s="27">
        <f>G885*AP885</f>
        <v>0</v>
      </c>
      <c r="K885" s="27">
        <f>G885*H885</f>
        <v>0</v>
      </c>
      <c r="L885" s="28" t="s">
        <v>137</v>
      </c>
      <c r="Z885" s="27">
        <f>IF(AQ885="5",BJ885,0)</f>
        <v>0</v>
      </c>
      <c r="AB885" s="27">
        <f>IF(AQ885="1",BH885,0)</f>
        <v>0</v>
      </c>
      <c r="AC885" s="27">
        <f>IF(AQ885="1",BI885,0)</f>
        <v>0</v>
      </c>
      <c r="AD885" s="27">
        <f>IF(AQ885="7",BH885,0)</f>
        <v>0</v>
      </c>
      <c r="AE885" s="27">
        <f>IF(AQ885="7",BI885,0)</f>
        <v>0</v>
      </c>
      <c r="AF885" s="27">
        <f>IF(AQ885="2",BH885,0)</f>
        <v>0</v>
      </c>
      <c r="AG885" s="27">
        <f>IF(AQ885="2",BI885,0)</f>
        <v>0</v>
      </c>
      <c r="AH885" s="27">
        <f>IF(AQ885="0",BJ885,0)</f>
        <v>0</v>
      </c>
      <c r="AI885" s="9" t="s">
        <v>1387</v>
      </c>
      <c r="AJ885" s="27">
        <f>IF(AN885=0,K885,0)</f>
        <v>0</v>
      </c>
      <c r="AK885" s="27">
        <f>IF(AN885=12,K885,0)</f>
        <v>0</v>
      </c>
      <c r="AL885" s="27">
        <f>IF(AN885=21,K885,0)</f>
        <v>0</v>
      </c>
      <c r="AN885" s="27">
        <v>21</v>
      </c>
      <c r="AO885" s="27">
        <f>H885*0.236266081</f>
        <v>0</v>
      </c>
      <c r="AP885" s="27">
        <f>H885*(1-0.236266081)</f>
        <v>0</v>
      </c>
      <c r="AQ885" s="29" t="s">
        <v>57</v>
      </c>
      <c r="AV885" s="27">
        <f>AW885+AX885</f>
        <v>0</v>
      </c>
      <c r="AW885" s="27">
        <f>G885*AO885</f>
        <v>0</v>
      </c>
      <c r="AX885" s="27">
        <f>G885*AP885</f>
        <v>0</v>
      </c>
      <c r="AY885" s="29" t="s">
        <v>127</v>
      </c>
      <c r="AZ885" s="29" t="s">
        <v>1390</v>
      </c>
      <c r="BA885" s="9" t="s">
        <v>1391</v>
      </c>
      <c r="BC885" s="27">
        <f>AW885+AX885</f>
        <v>0</v>
      </c>
      <c r="BD885" s="27">
        <f>H885/(100-BE885)*100</f>
        <v>0</v>
      </c>
      <c r="BE885" s="27">
        <v>0</v>
      </c>
      <c r="BF885" s="27">
        <f>885</f>
        <v>885</v>
      </c>
      <c r="BH885" s="27">
        <f>G885*AO885</f>
        <v>0</v>
      </c>
      <c r="BI885" s="27">
        <f>G885*AP885</f>
        <v>0</v>
      </c>
      <c r="BJ885" s="27">
        <f>G885*H885</f>
        <v>0</v>
      </c>
      <c r="BK885" s="27"/>
      <c r="BL885" s="27">
        <v>61</v>
      </c>
      <c r="BW885" s="27">
        <v>21</v>
      </c>
    </row>
    <row r="886" spans="1:12" ht="13.5" customHeight="1">
      <c r="A886" s="30"/>
      <c r="D886" s="166" t="s">
        <v>1409</v>
      </c>
      <c r="E886" s="167"/>
      <c r="F886" s="167"/>
      <c r="G886" s="167"/>
      <c r="H886" s="167"/>
      <c r="I886" s="167"/>
      <c r="J886" s="167"/>
      <c r="K886" s="167"/>
      <c r="L886" s="168"/>
    </row>
    <row r="887" spans="1:12" ht="15">
      <c r="A887" s="30"/>
      <c r="D887" s="32" t="s">
        <v>106</v>
      </c>
      <c r="E887" s="31" t="s">
        <v>1410</v>
      </c>
      <c r="G887" s="33">
        <v>10</v>
      </c>
      <c r="L887" s="34"/>
    </row>
    <row r="888" spans="1:12" ht="13.5" customHeight="1">
      <c r="A888" s="30"/>
      <c r="C888" s="35" t="s">
        <v>102</v>
      </c>
      <c r="D888" s="166" t="s">
        <v>1411</v>
      </c>
      <c r="E888" s="167"/>
      <c r="F888" s="167"/>
      <c r="G888" s="167"/>
      <c r="H888" s="167"/>
      <c r="I888" s="167"/>
      <c r="J888" s="167"/>
      <c r="K888" s="167"/>
      <c r="L888" s="168"/>
    </row>
    <row r="889" spans="1:75" ht="13.5" customHeight="1">
      <c r="A889" s="2" t="s">
        <v>1412</v>
      </c>
      <c r="B889" s="3" t="s">
        <v>1387</v>
      </c>
      <c r="C889" s="3" t="s">
        <v>1413</v>
      </c>
      <c r="D889" s="148" t="s">
        <v>1414</v>
      </c>
      <c r="E889" s="143"/>
      <c r="F889" s="3" t="s">
        <v>109</v>
      </c>
      <c r="G889" s="27">
        <v>31.52</v>
      </c>
      <c r="H889" s="27">
        <v>0</v>
      </c>
      <c r="I889" s="27">
        <f>G889*AO889</f>
        <v>0</v>
      </c>
      <c r="J889" s="27">
        <f>G889*AP889</f>
        <v>0</v>
      </c>
      <c r="K889" s="27">
        <f>G889*H889</f>
        <v>0</v>
      </c>
      <c r="L889" s="28" t="s">
        <v>137</v>
      </c>
      <c r="Z889" s="27">
        <f>IF(AQ889="5",BJ889,0)</f>
        <v>0</v>
      </c>
      <c r="AB889" s="27">
        <f>IF(AQ889="1",BH889,0)</f>
        <v>0</v>
      </c>
      <c r="AC889" s="27">
        <f>IF(AQ889="1",BI889,0)</f>
        <v>0</v>
      </c>
      <c r="AD889" s="27">
        <f>IF(AQ889="7",BH889,0)</f>
        <v>0</v>
      </c>
      <c r="AE889" s="27">
        <f>IF(AQ889="7",BI889,0)</f>
        <v>0</v>
      </c>
      <c r="AF889" s="27">
        <f>IF(AQ889="2",BH889,0)</f>
        <v>0</v>
      </c>
      <c r="AG889" s="27">
        <f>IF(AQ889="2",BI889,0)</f>
        <v>0</v>
      </c>
      <c r="AH889" s="27">
        <f>IF(AQ889="0",BJ889,0)</f>
        <v>0</v>
      </c>
      <c r="AI889" s="9" t="s">
        <v>1387</v>
      </c>
      <c r="AJ889" s="27">
        <f>IF(AN889=0,K889,0)</f>
        <v>0</v>
      </c>
      <c r="AK889" s="27">
        <f>IF(AN889=12,K889,0)</f>
        <v>0</v>
      </c>
      <c r="AL889" s="27">
        <f>IF(AN889=21,K889,0)</f>
        <v>0</v>
      </c>
      <c r="AN889" s="27">
        <v>21</v>
      </c>
      <c r="AO889" s="27">
        <f>H889*0.280238923</f>
        <v>0</v>
      </c>
      <c r="AP889" s="27">
        <f>H889*(1-0.280238923)</f>
        <v>0</v>
      </c>
      <c r="AQ889" s="29" t="s">
        <v>57</v>
      </c>
      <c r="AV889" s="27">
        <f>AW889+AX889</f>
        <v>0</v>
      </c>
      <c r="AW889" s="27">
        <f>G889*AO889</f>
        <v>0</v>
      </c>
      <c r="AX889" s="27">
        <f>G889*AP889</f>
        <v>0</v>
      </c>
      <c r="AY889" s="29" t="s">
        <v>127</v>
      </c>
      <c r="AZ889" s="29" t="s">
        <v>1390</v>
      </c>
      <c r="BA889" s="9" t="s">
        <v>1391</v>
      </c>
      <c r="BC889" s="27">
        <f>AW889+AX889</f>
        <v>0</v>
      </c>
      <c r="BD889" s="27">
        <f>H889/(100-BE889)*100</f>
        <v>0</v>
      </c>
      <c r="BE889" s="27">
        <v>0</v>
      </c>
      <c r="BF889" s="27">
        <f>889</f>
        <v>889</v>
      </c>
      <c r="BH889" s="27">
        <f>G889*AO889</f>
        <v>0</v>
      </c>
      <c r="BI889" s="27">
        <f>G889*AP889</f>
        <v>0</v>
      </c>
      <c r="BJ889" s="27">
        <f>G889*H889</f>
        <v>0</v>
      </c>
      <c r="BK889" s="27"/>
      <c r="BL889" s="27">
        <v>61</v>
      </c>
      <c r="BW889" s="27">
        <v>21</v>
      </c>
    </row>
    <row r="890" spans="1:12" ht="13.5" customHeight="1">
      <c r="A890" s="30"/>
      <c r="D890" s="166" t="s">
        <v>111</v>
      </c>
      <c r="E890" s="167"/>
      <c r="F890" s="167"/>
      <c r="G890" s="167"/>
      <c r="H890" s="167"/>
      <c r="I890" s="167"/>
      <c r="J890" s="167"/>
      <c r="K890" s="167"/>
      <c r="L890" s="168"/>
    </row>
    <row r="891" spans="1:12" ht="15">
      <c r="A891" s="30"/>
      <c r="D891" s="32" t="s">
        <v>1415</v>
      </c>
      <c r="E891" s="31" t="s">
        <v>52</v>
      </c>
      <c r="G891" s="33">
        <v>31.52</v>
      </c>
      <c r="L891" s="34"/>
    </row>
    <row r="892" spans="1:12" ht="13.5" customHeight="1">
      <c r="A892" s="30"/>
      <c r="C892" s="35" t="s">
        <v>102</v>
      </c>
      <c r="D892" s="166" t="s">
        <v>143</v>
      </c>
      <c r="E892" s="167"/>
      <c r="F892" s="167"/>
      <c r="G892" s="167"/>
      <c r="H892" s="167"/>
      <c r="I892" s="167"/>
      <c r="J892" s="167"/>
      <c r="K892" s="167"/>
      <c r="L892" s="168"/>
    </row>
    <row r="893" spans="1:75" ht="13.5" customHeight="1">
      <c r="A893" s="2" t="s">
        <v>1416</v>
      </c>
      <c r="B893" s="3" t="s">
        <v>1387</v>
      </c>
      <c r="C893" s="3" t="s">
        <v>135</v>
      </c>
      <c r="D893" s="148" t="s">
        <v>136</v>
      </c>
      <c r="E893" s="143"/>
      <c r="F893" s="3" t="s">
        <v>109</v>
      </c>
      <c r="G893" s="27">
        <v>143.282</v>
      </c>
      <c r="H893" s="27">
        <v>0</v>
      </c>
      <c r="I893" s="27">
        <f>G893*AO893</f>
        <v>0</v>
      </c>
      <c r="J893" s="27">
        <f>G893*AP893</f>
        <v>0</v>
      </c>
      <c r="K893" s="27">
        <f>G893*H893</f>
        <v>0</v>
      </c>
      <c r="L893" s="28" t="s">
        <v>137</v>
      </c>
      <c r="Z893" s="27">
        <f>IF(AQ893="5",BJ893,0)</f>
        <v>0</v>
      </c>
      <c r="AB893" s="27">
        <f>IF(AQ893="1",BH893,0)</f>
        <v>0</v>
      </c>
      <c r="AC893" s="27">
        <f>IF(AQ893="1",BI893,0)</f>
        <v>0</v>
      </c>
      <c r="AD893" s="27">
        <f>IF(AQ893="7",BH893,0)</f>
        <v>0</v>
      </c>
      <c r="AE893" s="27">
        <f>IF(AQ893="7",BI893,0)</f>
        <v>0</v>
      </c>
      <c r="AF893" s="27">
        <f>IF(AQ893="2",BH893,0)</f>
        <v>0</v>
      </c>
      <c r="AG893" s="27">
        <f>IF(AQ893="2",BI893,0)</f>
        <v>0</v>
      </c>
      <c r="AH893" s="27">
        <f>IF(AQ893="0",BJ893,0)</f>
        <v>0</v>
      </c>
      <c r="AI893" s="9" t="s">
        <v>1387</v>
      </c>
      <c r="AJ893" s="27">
        <f>IF(AN893=0,K893,0)</f>
        <v>0</v>
      </c>
      <c r="AK893" s="27">
        <f>IF(AN893=12,K893,0)</f>
        <v>0</v>
      </c>
      <c r="AL893" s="27">
        <f>IF(AN893=21,K893,0)</f>
        <v>0</v>
      </c>
      <c r="AN893" s="27">
        <v>21</v>
      </c>
      <c r="AO893" s="27">
        <f>H893*0.351126246</f>
        <v>0</v>
      </c>
      <c r="AP893" s="27">
        <f>H893*(1-0.351126246)</f>
        <v>0</v>
      </c>
      <c r="AQ893" s="29" t="s">
        <v>57</v>
      </c>
      <c r="AV893" s="27">
        <f>AW893+AX893</f>
        <v>0</v>
      </c>
      <c r="AW893" s="27">
        <f>G893*AO893</f>
        <v>0</v>
      </c>
      <c r="AX893" s="27">
        <f>G893*AP893</f>
        <v>0</v>
      </c>
      <c r="AY893" s="29" t="s">
        <v>127</v>
      </c>
      <c r="AZ893" s="29" t="s">
        <v>1390</v>
      </c>
      <c r="BA893" s="9" t="s">
        <v>1391</v>
      </c>
      <c r="BC893" s="27">
        <f>AW893+AX893</f>
        <v>0</v>
      </c>
      <c r="BD893" s="27">
        <f>H893/(100-BE893)*100</f>
        <v>0</v>
      </c>
      <c r="BE893" s="27">
        <v>0</v>
      </c>
      <c r="BF893" s="27">
        <f>893</f>
        <v>893</v>
      </c>
      <c r="BH893" s="27">
        <f>G893*AO893</f>
        <v>0</v>
      </c>
      <c r="BI893" s="27">
        <f>G893*AP893</f>
        <v>0</v>
      </c>
      <c r="BJ893" s="27">
        <f>G893*H893</f>
        <v>0</v>
      </c>
      <c r="BK893" s="27"/>
      <c r="BL893" s="27">
        <v>61</v>
      </c>
      <c r="BW893" s="27">
        <v>21</v>
      </c>
    </row>
    <row r="894" spans="1:12" ht="13.5" customHeight="1">
      <c r="A894" s="30"/>
      <c r="D894" s="166" t="s">
        <v>111</v>
      </c>
      <c r="E894" s="167"/>
      <c r="F894" s="167"/>
      <c r="G894" s="167"/>
      <c r="H894" s="167"/>
      <c r="I894" s="167"/>
      <c r="J894" s="167"/>
      <c r="K894" s="167"/>
      <c r="L894" s="168"/>
    </row>
    <row r="895" spans="1:12" ht="15">
      <c r="A895" s="30"/>
      <c r="D895" s="32" t="s">
        <v>1417</v>
      </c>
      <c r="E895" s="31" t="s">
        <v>52</v>
      </c>
      <c r="G895" s="33">
        <v>143.282</v>
      </c>
      <c r="L895" s="34"/>
    </row>
    <row r="896" spans="1:12" ht="13.5" customHeight="1">
      <c r="A896" s="30"/>
      <c r="C896" s="35" t="s">
        <v>102</v>
      </c>
      <c r="D896" s="166" t="s">
        <v>143</v>
      </c>
      <c r="E896" s="167"/>
      <c r="F896" s="167"/>
      <c r="G896" s="167"/>
      <c r="H896" s="167"/>
      <c r="I896" s="167"/>
      <c r="J896" s="167"/>
      <c r="K896" s="167"/>
      <c r="L896" s="168"/>
    </row>
    <row r="897" spans="1:47" ht="15">
      <c r="A897" s="23" t="s">
        <v>52</v>
      </c>
      <c r="B897" s="24" t="s">
        <v>1387</v>
      </c>
      <c r="C897" s="24" t="s">
        <v>450</v>
      </c>
      <c r="D897" s="164" t="s">
        <v>1418</v>
      </c>
      <c r="E897" s="165"/>
      <c r="F897" s="25" t="s">
        <v>4</v>
      </c>
      <c r="G897" s="25" t="s">
        <v>4</v>
      </c>
      <c r="H897" s="25" t="s">
        <v>4</v>
      </c>
      <c r="I897" s="1">
        <f>SUM(I898:I904)</f>
        <v>0</v>
      </c>
      <c r="J897" s="1">
        <f>SUM(J898:J904)</f>
        <v>0</v>
      </c>
      <c r="K897" s="1">
        <f>SUM(K898:K904)</f>
        <v>0</v>
      </c>
      <c r="L897" s="26" t="s">
        <v>52</v>
      </c>
      <c r="AI897" s="9" t="s">
        <v>1387</v>
      </c>
      <c r="AS897" s="1">
        <f>SUM(AJ898:AJ904)</f>
        <v>0</v>
      </c>
      <c r="AT897" s="1">
        <f>SUM(AK898:AK904)</f>
        <v>0</v>
      </c>
      <c r="AU897" s="1">
        <f>SUM(AL898:AL904)</f>
        <v>0</v>
      </c>
    </row>
    <row r="898" spans="1:75" ht="13.5" customHeight="1">
      <c r="A898" s="2" t="s">
        <v>1419</v>
      </c>
      <c r="B898" s="3" t="s">
        <v>1387</v>
      </c>
      <c r="C898" s="3" t="s">
        <v>1420</v>
      </c>
      <c r="D898" s="148" t="s">
        <v>1421</v>
      </c>
      <c r="E898" s="143"/>
      <c r="F898" s="3" t="s">
        <v>1422</v>
      </c>
      <c r="G898" s="27">
        <v>0.4299</v>
      </c>
      <c r="H898" s="27">
        <v>0</v>
      </c>
      <c r="I898" s="27">
        <f>G898*AO898</f>
        <v>0</v>
      </c>
      <c r="J898" s="27">
        <f>G898*AP898</f>
        <v>0</v>
      </c>
      <c r="K898" s="27">
        <f>G898*H898</f>
        <v>0</v>
      </c>
      <c r="L898" s="28" t="s">
        <v>137</v>
      </c>
      <c r="Z898" s="27">
        <f>IF(AQ898="5",BJ898,0)</f>
        <v>0</v>
      </c>
      <c r="AB898" s="27">
        <f>IF(AQ898="1",BH898,0)</f>
        <v>0</v>
      </c>
      <c r="AC898" s="27">
        <f>IF(AQ898="1",BI898,0)</f>
        <v>0</v>
      </c>
      <c r="AD898" s="27">
        <f>IF(AQ898="7",BH898,0)</f>
        <v>0</v>
      </c>
      <c r="AE898" s="27">
        <f>IF(AQ898="7",BI898,0)</f>
        <v>0</v>
      </c>
      <c r="AF898" s="27">
        <f>IF(AQ898="2",BH898,0)</f>
        <v>0</v>
      </c>
      <c r="AG898" s="27">
        <f>IF(AQ898="2",BI898,0)</f>
        <v>0</v>
      </c>
      <c r="AH898" s="27">
        <f>IF(AQ898="0",BJ898,0)</f>
        <v>0</v>
      </c>
      <c r="AI898" s="9" t="s">
        <v>1387</v>
      </c>
      <c r="AJ898" s="27">
        <f>IF(AN898=0,K898,0)</f>
        <v>0</v>
      </c>
      <c r="AK898" s="27">
        <f>IF(AN898=12,K898,0)</f>
        <v>0</v>
      </c>
      <c r="AL898" s="27">
        <f>IF(AN898=21,K898,0)</f>
        <v>0</v>
      </c>
      <c r="AN898" s="27">
        <v>21</v>
      </c>
      <c r="AO898" s="27">
        <f>H898*0.464099794</f>
        <v>0</v>
      </c>
      <c r="AP898" s="27">
        <f>H898*(1-0.464099794)</f>
        <v>0</v>
      </c>
      <c r="AQ898" s="29" t="s">
        <v>57</v>
      </c>
      <c r="AV898" s="27">
        <f>AW898+AX898</f>
        <v>0</v>
      </c>
      <c r="AW898" s="27">
        <f>G898*AO898</f>
        <v>0</v>
      </c>
      <c r="AX898" s="27">
        <f>G898*AP898</f>
        <v>0</v>
      </c>
      <c r="AY898" s="29" t="s">
        <v>1423</v>
      </c>
      <c r="AZ898" s="29" t="s">
        <v>1390</v>
      </c>
      <c r="BA898" s="9" t="s">
        <v>1391</v>
      </c>
      <c r="BC898" s="27">
        <f>AW898+AX898</f>
        <v>0</v>
      </c>
      <c r="BD898" s="27">
        <f>H898/(100-BE898)*100</f>
        <v>0</v>
      </c>
      <c r="BE898" s="27">
        <v>0</v>
      </c>
      <c r="BF898" s="27">
        <f>898</f>
        <v>898</v>
      </c>
      <c r="BH898" s="27">
        <f>G898*AO898</f>
        <v>0</v>
      </c>
      <c r="BI898" s="27">
        <f>G898*AP898</f>
        <v>0</v>
      </c>
      <c r="BJ898" s="27">
        <f>G898*H898</f>
        <v>0</v>
      </c>
      <c r="BK898" s="27"/>
      <c r="BL898" s="27">
        <v>63</v>
      </c>
      <c r="BW898" s="27">
        <v>21</v>
      </c>
    </row>
    <row r="899" spans="1:12" ht="13.5" customHeight="1">
      <c r="A899" s="30"/>
      <c r="D899" s="166" t="s">
        <v>1424</v>
      </c>
      <c r="E899" s="167"/>
      <c r="F899" s="167"/>
      <c r="G899" s="167"/>
      <c r="H899" s="167"/>
      <c r="I899" s="167"/>
      <c r="J899" s="167"/>
      <c r="K899" s="167"/>
      <c r="L899" s="168"/>
    </row>
    <row r="900" spans="1:12" ht="15">
      <c r="A900" s="30"/>
      <c r="D900" s="32" t="s">
        <v>1425</v>
      </c>
      <c r="E900" s="31" t="s">
        <v>1426</v>
      </c>
      <c r="G900" s="33">
        <v>0.4299</v>
      </c>
      <c r="L900" s="34"/>
    </row>
    <row r="901" spans="1:75" ht="13.5" customHeight="1">
      <c r="A901" s="2" t="s">
        <v>1427</v>
      </c>
      <c r="B901" s="3" t="s">
        <v>1387</v>
      </c>
      <c r="C901" s="3" t="s">
        <v>1428</v>
      </c>
      <c r="D901" s="148" t="s">
        <v>1429</v>
      </c>
      <c r="E901" s="143"/>
      <c r="F901" s="3" t="s">
        <v>109</v>
      </c>
      <c r="G901" s="27">
        <v>42.99</v>
      </c>
      <c r="H901" s="27">
        <v>0</v>
      </c>
      <c r="I901" s="27">
        <f>G901*AO901</f>
        <v>0</v>
      </c>
      <c r="J901" s="27">
        <f>G901*AP901</f>
        <v>0</v>
      </c>
      <c r="K901" s="27">
        <f>G901*H901</f>
        <v>0</v>
      </c>
      <c r="L901" s="28" t="s">
        <v>137</v>
      </c>
      <c r="Z901" s="27">
        <f>IF(AQ901="5",BJ901,0)</f>
        <v>0</v>
      </c>
      <c r="AB901" s="27">
        <f>IF(AQ901="1",BH901,0)</f>
        <v>0</v>
      </c>
      <c r="AC901" s="27">
        <f>IF(AQ901="1",BI901,0)</f>
        <v>0</v>
      </c>
      <c r="AD901" s="27">
        <f>IF(AQ901="7",BH901,0)</f>
        <v>0</v>
      </c>
      <c r="AE901" s="27">
        <f>IF(AQ901="7",BI901,0)</f>
        <v>0</v>
      </c>
      <c r="AF901" s="27">
        <f>IF(AQ901="2",BH901,0)</f>
        <v>0</v>
      </c>
      <c r="AG901" s="27">
        <f>IF(AQ901="2",BI901,0)</f>
        <v>0</v>
      </c>
      <c r="AH901" s="27">
        <f>IF(AQ901="0",BJ901,0)</f>
        <v>0</v>
      </c>
      <c r="AI901" s="9" t="s">
        <v>1387</v>
      </c>
      <c r="AJ901" s="27">
        <f>IF(AN901=0,K901,0)</f>
        <v>0</v>
      </c>
      <c r="AK901" s="27">
        <f>IF(AN901=12,K901,0)</f>
        <v>0</v>
      </c>
      <c r="AL901" s="27">
        <f>IF(AN901=21,K901,0)</f>
        <v>0</v>
      </c>
      <c r="AN901" s="27">
        <v>21</v>
      </c>
      <c r="AO901" s="27">
        <f>H901*0</f>
        <v>0</v>
      </c>
      <c r="AP901" s="27">
        <f>H901*(1-0)</f>
        <v>0</v>
      </c>
      <c r="AQ901" s="29" t="s">
        <v>57</v>
      </c>
      <c r="AV901" s="27">
        <f>AW901+AX901</f>
        <v>0</v>
      </c>
      <c r="AW901" s="27">
        <f>G901*AO901</f>
        <v>0</v>
      </c>
      <c r="AX901" s="27">
        <f>G901*AP901</f>
        <v>0</v>
      </c>
      <c r="AY901" s="29" t="s">
        <v>1423</v>
      </c>
      <c r="AZ901" s="29" t="s">
        <v>1390</v>
      </c>
      <c r="BA901" s="9" t="s">
        <v>1391</v>
      </c>
      <c r="BC901" s="27">
        <f>AW901+AX901</f>
        <v>0</v>
      </c>
      <c r="BD901" s="27">
        <f>H901/(100-BE901)*100</f>
        <v>0</v>
      </c>
      <c r="BE901" s="27">
        <v>0</v>
      </c>
      <c r="BF901" s="27">
        <f>901</f>
        <v>901</v>
      </c>
      <c r="BH901" s="27">
        <f>G901*AO901</f>
        <v>0</v>
      </c>
      <c r="BI901" s="27">
        <f>G901*AP901</f>
        <v>0</v>
      </c>
      <c r="BJ901" s="27">
        <f>G901*H901</f>
        <v>0</v>
      </c>
      <c r="BK901" s="27"/>
      <c r="BL901" s="27">
        <v>63</v>
      </c>
      <c r="BW901" s="27">
        <v>21</v>
      </c>
    </row>
    <row r="902" spans="1:12" ht="13.5" customHeight="1">
      <c r="A902" s="30"/>
      <c r="D902" s="166" t="s">
        <v>278</v>
      </c>
      <c r="E902" s="167"/>
      <c r="F902" s="167"/>
      <c r="G902" s="167"/>
      <c r="H902" s="167"/>
      <c r="I902" s="167"/>
      <c r="J902" s="167"/>
      <c r="K902" s="167"/>
      <c r="L902" s="168"/>
    </row>
    <row r="903" spans="1:12" ht="15">
      <c r="A903" s="30"/>
      <c r="D903" s="32" t="s">
        <v>1430</v>
      </c>
      <c r="E903" s="31" t="s">
        <v>1431</v>
      </c>
      <c r="G903" s="33">
        <v>42.99</v>
      </c>
      <c r="L903" s="34"/>
    </row>
    <row r="904" spans="1:75" ht="13.5" customHeight="1">
      <c r="A904" s="60" t="s">
        <v>1432</v>
      </c>
      <c r="B904" s="61" t="s">
        <v>1387</v>
      </c>
      <c r="C904" s="61" t="s">
        <v>1433</v>
      </c>
      <c r="D904" s="179" t="s">
        <v>1434</v>
      </c>
      <c r="E904" s="180"/>
      <c r="F904" s="61" t="s">
        <v>109</v>
      </c>
      <c r="G904" s="62">
        <v>49.4385</v>
      </c>
      <c r="H904" s="62">
        <v>0</v>
      </c>
      <c r="I904" s="62">
        <f>G904*AO904</f>
        <v>0</v>
      </c>
      <c r="J904" s="62">
        <f>G904*AP904</f>
        <v>0</v>
      </c>
      <c r="K904" s="62">
        <f>G904*H904</f>
        <v>0</v>
      </c>
      <c r="L904" s="63" t="s">
        <v>137</v>
      </c>
      <c r="Z904" s="27">
        <f>IF(AQ904="5",BJ904,0)</f>
        <v>0</v>
      </c>
      <c r="AB904" s="27">
        <f>IF(AQ904="1",BH904,0)</f>
        <v>0</v>
      </c>
      <c r="AC904" s="27">
        <f>IF(AQ904="1",BI904,0)</f>
        <v>0</v>
      </c>
      <c r="AD904" s="27">
        <f>IF(AQ904="7",BH904,0)</f>
        <v>0</v>
      </c>
      <c r="AE904" s="27">
        <f>IF(AQ904="7",BI904,0)</f>
        <v>0</v>
      </c>
      <c r="AF904" s="27">
        <f>IF(AQ904="2",BH904,0)</f>
        <v>0</v>
      </c>
      <c r="AG904" s="27">
        <f>IF(AQ904="2",BI904,0)</f>
        <v>0</v>
      </c>
      <c r="AH904" s="27">
        <f>IF(AQ904="0",BJ904,0)</f>
        <v>0</v>
      </c>
      <c r="AI904" s="9" t="s">
        <v>1387</v>
      </c>
      <c r="AJ904" s="62">
        <f>IF(AN904=0,K904,0)</f>
        <v>0</v>
      </c>
      <c r="AK904" s="62">
        <f>IF(AN904=12,K904,0)</f>
        <v>0</v>
      </c>
      <c r="AL904" s="62">
        <f>IF(AN904=21,K904,0)</f>
        <v>0</v>
      </c>
      <c r="AN904" s="27">
        <v>21</v>
      </c>
      <c r="AO904" s="27">
        <f>H904*1</f>
        <v>0</v>
      </c>
      <c r="AP904" s="27">
        <f>H904*(1-1)</f>
        <v>0</v>
      </c>
      <c r="AQ904" s="64" t="s">
        <v>57</v>
      </c>
      <c r="AV904" s="27">
        <f>AW904+AX904</f>
        <v>0</v>
      </c>
      <c r="AW904" s="27">
        <f>G904*AO904</f>
        <v>0</v>
      </c>
      <c r="AX904" s="27">
        <f>G904*AP904</f>
        <v>0</v>
      </c>
      <c r="AY904" s="29" t="s">
        <v>1423</v>
      </c>
      <c r="AZ904" s="29" t="s">
        <v>1390</v>
      </c>
      <c r="BA904" s="9" t="s">
        <v>1391</v>
      </c>
      <c r="BC904" s="27">
        <f>AW904+AX904</f>
        <v>0</v>
      </c>
      <c r="BD904" s="27">
        <f>H904/(100-BE904)*100</f>
        <v>0</v>
      </c>
      <c r="BE904" s="27">
        <v>0</v>
      </c>
      <c r="BF904" s="27">
        <f>904</f>
        <v>904</v>
      </c>
      <c r="BH904" s="62">
        <f>G904*AO904</f>
        <v>0</v>
      </c>
      <c r="BI904" s="62">
        <f>G904*AP904</f>
        <v>0</v>
      </c>
      <c r="BJ904" s="62">
        <f>G904*H904</f>
        <v>0</v>
      </c>
      <c r="BK904" s="62"/>
      <c r="BL904" s="27">
        <v>63</v>
      </c>
      <c r="BW904" s="27">
        <v>21</v>
      </c>
    </row>
    <row r="905" spans="1:12" ht="15">
      <c r="A905" s="30"/>
      <c r="D905" s="32" t="s">
        <v>1430</v>
      </c>
      <c r="E905" s="31" t="s">
        <v>52</v>
      </c>
      <c r="G905" s="33">
        <v>42.99</v>
      </c>
      <c r="L905" s="34"/>
    </row>
    <row r="906" spans="1:12" ht="15">
      <c r="A906" s="30"/>
      <c r="D906" s="32" t="s">
        <v>1435</v>
      </c>
      <c r="E906" s="31" t="s">
        <v>52</v>
      </c>
      <c r="G906" s="33">
        <v>6.4485</v>
      </c>
      <c r="L906" s="34"/>
    </row>
    <row r="907" spans="1:12" ht="54" customHeight="1">
      <c r="A907" s="30"/>
      <c r="C907" s="35" t="s">
        <v>102</v>
      </c>
      <c r="D907" s="166" t="s">
        <v>1436</v>
      </c>
      <c r="E907" s="167"/>
      <c r="F907" s="167"/>
      <c r="G907" s="167"/>
      <c r="H907" s="167"/>
      <c r="I907" s="167"/>
      <c r="J907" s="167"/>
      <c r="K907" s="167"/>
      <c r="L907" s="168"/>
    </row>
    <row r="908" spans="1:47" ht="15">
      <c r="A908" s="23" t="s">
        <v>52</v>
      </c>
      <c r="B908" s="24" t="s">
        <v>1387</v>
      </c>
      <c r="C908" s="24" t="s">
        <v>149</v>
      </c>
      <c r="D908" s="164" t="s">
        <v>150</v>
      </c>
      <c r="E908" s="165"/>
      <c r="F908" s="25" t="s">
        <v>4</v>
      </c>
      <c r="G908" s="25" t="s">
        <v>4</v>
      </c>
      <c r="H908" s="25" t="s">
        <v>4</v>
      </c>
      <c r="I908" s="1">
        <f>SUM(I909:I913)</f>
        <v>0</v>
      </c>
      <c r="J908" s="1">
        <f>SUM(J909:J913)</f>
        <v>0</v>
      </c>
      <c r="K908" s="1">
        <f>SUM(K909:K913)</f>
        <v>0</v>
      </c>
      <c r="L908" s="26" t="s">
        <v>52</v>
      </c>
      <c r="AI908" s="9" t="s">
        <v>1387</v>
      </c>
      <c r="AS908" s="1">
        <f>SUM(AJ909:AJ913)</f>
        <v>0</v>
      </c>
      <c r="AT908" s="1">
        <f>SUM(AK909:AK913)</f>
        <v>0</v>
      </c>
      <c r="AU908" s="1">
        <f>SUM(AL909:AL913)</f>
        <v>0</v>
      </c>
    </row>
    <row r="909" spans="1:75" ht="13.5" customHeight="1">
      <c r="A909" s="2" t="s">
        <v>1437</v>
      </c>
      <c r="B909" s="3" t="s">
        <v>1387</v>
      </c>
      <c r="C909" s="3" t="s">
        <v>1438</v>
      </c>
      <c r="D909" s="148" t="s">
        <v>1439</v>
      </c>
      <c r="E909" s="143"/>
      <c r="F909" s="3" t="s">
        <v>154</v>
      </c>
      <c r="G909" s="27">
        <v>1</v>
      </c>
      <c r="H909" s="27">
        <v>0</v>
      </c>
      <c r="I909" s="27">
        <f>G909*AO909</f>
        <v>0</v>
      </c>
      <c r="J909" s="27">
        <f>G909*AP909</f>
        <v>0</v>
      </c>
      <c r="K909" s="27">
        <f>G909*H909</f>
        <v>0</v>
      </c>
      <c r="L909" s="28" t="s">
        <v>137</v>
      </c>
      <c r="Z909" s="27">
        <f>IF(AQ909="5",BJ909,0)</f>
        <v>0</v>
      </c>
      <c r="AB909" s="27">
        <f>IF(AQ909="1",BH909,0)</f>
        <v>0</v>
      </c>
      <c r="AC909" s="27">
        <f>IF(AQ909="1",BI909,0)</f>
        <v>0</v>
      </c>
      <c r="AD909" s="27">
        <f>IF(AQ909="7",BH909,0)</f>
        <v>0</v>
      </c>
      <c r="AE909" s="27">
        <f>IF(AQ909="7",BI909,0)</f>
        <v>0</v>
      </c>
      <c r="AF909" s="27">
        <f>IF(AQ909="2",BH909,0)</f>
        <v>0</v>
      </c>
      <c r="AG909" s="27">
        <f>IF(AQ909="2",BI909,0)</f>
        <v>0</v>
      </c>
      <c r="AH909" s="27">
        <f>IF(AQ909="0",BJ909,0)</f>
        <v>0</v>
      </c>
      <c r="AI909" s="9" t="s">
        <v>1387</v>
      </c>
      <c r="AJ909" s="27">
        <f>IF(AN909=0,K909,0)</f>
        <v>0</v>
      </c>
      <c r="AK909" s="27">
        <f>IF(AN909=12,K909,0)</f>
        <v>0</v>
      </c>
      <c r="AL909" s="27">
        <f>IF(AN909=21,K909,0)</f>
        <v>0</v>
      </c>
      <c r="AN909" s="27">
        <v>21</v>
      </c>
      <c r="AO909" s="27">
        <f>H909*0.325863803</f>
        <v>0</v>
      </c>
      <c r="AP909" s="27">
        <f>H909*(1-0.325863803)</f>
        <v>0</v>
      </c>
      <c r="AQ909" s="29" t="s">
        <v>57</v>
      </c>
      <c r="AV909" s="27">
        <f>AW909+AX909</f>
        <v>0</v>
      </c>
      <c r="AW909" s="27">
        <f>G909*AO909</f>
        <v>0</v>
      </c>
      <c r="AX909" s="27">
        <f>G909*AP909</f>
        <v>0</v>
      </c>
      <c r="AY909" s="29" t="s">
        <v>155</v>
      </c>
      <c r="AZ909" s="29" t="s">
        <v>1390</v>
      </c>
      <c r="BA909" s="9" t="s">
        <v>1391</v>
      </c>
      <c r="BC909" s="27">
        <f>AW909+AX909</f>
        <v>0</v>
      </c>
      <c r="BD909" s="27">
        <f>H909/(100-BE909)*100</f>
        <v>0</v>
      </c>
      <c r="BE909" s="27">
        <v>0</v>
      </c>
      <c r="BF909" s="27">
        <f>909</f>
        <v>909</v>
      </c>
      <c r="BH909" s="27">
        <f>G909*AO909</f>
        <v>0</v>
      </c>
      <c r="BI909" s="27">
        <f>G909*AP909</f>
        <v>0</v>
      </c>
      <c r="BJ909" s="27">
        <f>G909*H909</f>
        <v>0</v>
      </c>
      <c r="BK909" s="27"/>
      <c r="BL909" s="27">
        <v>64</v>
      </c>
      <c r="BW909" s="27">
        <v>21</v>
      </c>
    </row>
    <row r="910" spans="1:12" ht="40.5" customHeight="1">
      <c r="A910" s="30"/>
      <c r="D910" s="166" t="s">
        <v>1440</v>
      </c>
      <c r="E910" s="167"/>
      <c r="F910" s="167"/>
      <c r="G910" s="167"/>
      <c r="H910" s="167"/>
      <c r="I910" s="167"/>
      <c r="J910" s="167"/>
      <c r="K910" s="167"/>
      <c r="L910" s="168"/>
    </row>
    <row r="911" spans="1:12" ht="15">
      <c r="A911" s="30"/>
      <c r="D911" s="32" t="s">
        <v>57</v>
      </c>
      <c r="E911" s="31" t="s">
        <v>1441</v>
      </c>
      <c r="G911" s="33">
        <v>1</v>
      </c>
      <c r="L911" s="34"/>
    </row>
    <row r="912" spans="1:12" ht="13.5" customHeight="1">
      <c r="A912" s="30"/>
      <c r="C912" s="35" t="s">
        <v>102</v>
      </c>
      <c r="D912" s="166" t="s">
        <v>1442</v>
      </c>
      <c r="E912" s="167"/>
      <c r="F912" s="167"/>
      <c r="G912" s="167"/>
      <c r="H912" s="167"/>
      <c r="I912" s="167"/>
      <c r="J912" s="167"/>
      <c r="K912" s="167"/>
      <c r="L912" s="168"/>
    </row>
    <row r="913" spans="1:75" ht="13.5" customHeight="1">
      <c r="A913" s="108" t="s">
        <v>1443</v>
      </c>
      <c r="B913" s="109" t="s">
        <v>1387</v>
      </c>
      <c r="C913" s="109" t="s">
        <v>916</v>
      </c>
      <c r="D913" s="200" t="s">
        <v>917</v>
      </c>
      <c r="E913" s="201"/>
      <c r="F913" s="109" t="s">
        <v>95</v>
      </c>
      <c r="G913" s="110">
        <v>3.33319</v>
      </c>
      <c r="H913" s="110">
        <v>0</v>
      </c>
      <c r="I913" s="110">
        <f>G913*AO913</f>
        <v>0</v>
      </c>
      <c r="J913" s="110">
        <f>G913*AP913</f>
        <v>0</v>
      </c>
      <c r="K913" s="110">
        <f>G913*H913</f>
        <v>0</v>
      </c>
      <c r="L913" s="111" t="s">
        <v>137</v>
      </c>
      <c r="Z913" s="27">
        <f>IF(AQ913="5",BJ913,0)</f>
        <v>0</v>
      </c>
      <c r="AB913" s="27">
        <f>IF(AQ913="1",BH913,0)</f>
        <v>0</v>
      </c>
      <c r="AC913" s="27">
        <f>IF(AQ913="1",BI913,0)</f>
        <v>0</v>
      </c>
      <c r="AD913" s="27">
        <f>IF(AQ913="7",BH913,0)</f>
        <v>0</v>
      </c>
      <c r="AE913" s="27">
        <f>IF(AQ913="7",BI913,0)</f>
        <v>0</v>
      </c>
      <c r="AF913" s="27">
        <f>IF(AQ913="2",BH913,0)</f>
        <v>0</v>
      </c>
      <c r="AG913" s="27">
        <f>IF(AQ913="2",BI913,0)</f>
        <v>0</v>
      </c>
      <c r="AH913" s="27">
        <f>IF(AQ913="0",BJ913,0)</f>
        <v>0</v>
      </c>
      <c r="AI913" s="9" t="s">
        <v>1387</v>
      </c>
      <c r="AJ913" s="27">
        <f>IF(AN913=0,K913,0)</f>
        <v>0</v>
      </c>
      <c r="AK913" s="27">
        <f>IF(AN913=12,K913,0)</f>
        <v>0</v>
      </c>
      <c r="AL913" s="27">
        <f>IF(AN913=21,K913,0)</f>
        <v>0</v>
      </c>
      <c r="AN913" s="27">
        <v>21</v>
      </c>
      <c r="AO913" s="27">
        <f>H913*0</f>
        <v>0</v>
      </c>
      <c r="AP913" s="27">
        <f>H913*(1-0)</f>
        <v>0</v>
      </c>
      <c r="AQ913" s="29" t="s">
        <v>78</v>
      </c>
      <c r="AV913" s="27">
        <f>AW913+AX913</f>
        <v>0</v>
      </c>
      <c r="AW913" s="27">
        <f>G913*AO913</f>
        <v>0</v>
      </c>
      <c r="AX913" s="27">
        <f>G913*AP913</f>
        <v>0</v>
      </c>
      <c r="AY913" s="29" t="s">
        <v>155</v>
      </c>
      <c r="AZ913" s="29" t="s">
        <v>1390</v>
      </c>
      <c r="BA913" s="9" t="s">
        <v>1391</v>
      </c>
      <c r="BC913" s="27">
        <f>AW913+AX913</f>
        <v>0</v>
      </c>
      <c r="BD913" s="27">
        <f>H913/(100-BE913)*100</f>
        <v>0</v>
      </c>
      <c r="BE913" s="27">
        <v>0</v>
      </c>
      <c r="BF913" s="27">
        <f>913</f>
        <v>913</v>
      </c>
      <c r="BH913" s="27">
        <f>G913*AO913</f>
        <v>0</v>
      </c>
      <c r="BI913" s="27">
        <f>G913*AP913</f>
        <v>0</v>
      </c>
      <c r="BJ913" s="27">
        <f>G913*H913</f>
        <v>0</v>
      </c>
      <c r="BK913" s="27"/>
      <c r="BL913" s="27">
        <v>64</v>
      </c>
      <c r="BW913" s="27">
        <v>21</v>
      </c>
    </row>
    <row r="914" spans="1:47" ht="15">
      <c r="A914" s="70" t="s">
        <v>52</v>
      </c>
      <c r="B914" s="71" t="s">
        <v>1387</v>
      </c>
      <c r="C914" s="71" t="s">
        <v>532</v>
      </c>
      <c r="D914" s="183" t="s">
        <v>533</v>
      </c>
      <c r="E914" s="184"/>
      <c r="F914" s="72" t="s">
        <v>4</v>
      </c>
      <c r="G914" s="72" t="s">
        <v>4</v>
      </c>
      <c r="H914" s="72" t="s">
        <v>4</v>
      </c>
      <c r="I914" s="73">
        <f>SUM(I915:I938)</f>
        <v>0</v>
      </c>
      <c r="J914" s="73">
        <f>SUM(J915:J938)</f>
        <v>0</v>
      </c>
      <c r="K914" s="73">
        <f>SUM(K915:K938)</f>
        <v>0</v>
      </c>
      <c r="L914" s="74" t="s">
        <v>52</v>
      </c>
      <c r="AI914" s="9" t="s">
        <v>1387</v>
      </c>
      <c r="AS914" s="1">
        <f>SUM(AJ915:AJ938)</f>
        <v>0</v>
      </c>
      <c r="AT914" s="1">
        <f>SUM(AK915:AK938)</f>
        <v>0</v>
      </c>
      <c r="AU914" s="1">
        <f>SUM(AL915:AL938)</f>
        <v>0</v>
      </c>
    </row>
    <row r="915" spans="1:75" ht="13.5" customHeight="1">
      <c r="A915" s="66" t="s">
        <v>1444</v>
      </c>
      <c r="B915" s="67" t="s">
        <v>1387</v>
      </c>
      <c r="C915" s="67" t="s">
        <v>919</v>
      </c>
      <c r="D915" s="181" t="s">
        <v>920</v>
      </c>
      <c r="E915" s="182"/>
      <c r="F915" s="67" t="s">
        <v>126</v>
      </c>
      <c r="G915" s="68">
        <v>25.46</v>
      </c>
      <c r="H915" s="68">
        <v>0</v>
      </c>
      <c r="I915" s="68">
        <f>G915*AO915</f>
        <v>0</v>
      </c>
      <c r="J915" s="68">
        <f>G915*AP915</f>
        <v>0</v>
      </c>
      <c r="K915" s="68">
        <f>G915*H915</f>
        <v>0</v>
      </c>
      <c r="L915" s="69" t="s">
        <v>137</v>
      </c>
      <c r="Z915" s="27">
        <f>IF(AQ915="5",BJ915,0)</f>
        <v>0</v>
      </c>
      <c r="AB915" s="27">
        <f>IF(AQ915="1",BH915,0)</f>
        <v>0</v>
      </c>
      <c r="AC915" s="27">
        <f>IF(AQ915="1",BI915,0)</f>
        <v>0</v>
      </c>
      <c r="AD915" s="27">
        <f>IF(AQ915="7",BH915,0)</f>
        <v>0</v>
      </c>
      <c r="AE915" s="27">
        <f>IF(AQ915="7",BI915,0)</f>
        <v>0</v>
      </c>
      <c r="AF915" s="27">
        <f>IF(AQ915="2",BH915,0)</f>
        <v>0</v>
      </c>
      <c r="AG915" s="27">
        <f>IF(AQ915="2",BI915,0)</f>
        <v>0</v>
      </c>
      <c r="AH915" s="27">
        <f>IF(AQ915="0",BJ915,0)</f>
        <v>0</v>
      </c>
      <c r="AI915" s="9" t="s">
        <v>1387</v>
      </c>
      <c r="AJ915" s="27">
        <f>IF(AN915=0,K915,0)</f>
        <v>0</v>
      </c>
      <c r="AK915" s="27">
        <f>IF(AN915=12,K915,0)</f>
        <v>0</v>
      </c>
      <c r="AL915" s="27">
        <f>IF(AN915=21,K915,0)</f>
        <v>0</v>
      </c>
      <c r="AN915" s="27">
        <v>21</v>
      </c>
      <c r="AO915" s="27">
        <f>H915*0</f>
        <v>0</v>
      </c>
      <c r="AP915" s="27">
        <f>H915*(1-0)</f>
        <v>0</v>
      </c>
      <c r="AQ915" s="29" t="s">
        <v>84</v>
      </c>
      <c r="AV915" s="27">
        <f>AW915+AX915</f>
        <v>0</v>
      </c>
      <c r="AW915" s="27">
        <f>G915*AO915</f>
        <v>0</v>
      </c>
      <c r="AX915" s="27">
        <f>G915*AP915</f>
        <v>0</v>
      </c>
      <c r="AY915" s="29" t="s">
        <v>537</v>
      </c>
      <c r="AZ915" s="29" t="s">
        <v>1445</v>
      </c>
      <c r="BA915" s="9" t="s">
        <v>1391</v>
      </c>
      <c r="BC915" s="27">
        <f>AW915+AX915</f>
        <v>0</v>
      </c>
      <c r="BD915" s="27">
        <f>H915/(100-BE915)*100</f>
        <v>0</v>
      </c>
      <c r="BE915" s="27">
        <v>0</v>
      </c>
      <c r="BF915" s="27">
        <f>915</f>
        <v>915</v>
      </c>
      <c r="BH915" s="27">
        <f>G915*AO915</f>
        <v>0</v>
      </c>
      <c r="BI915" s="27">
        <f>G915*AP915</f>
        <v>0</v>
      </c>
      <c r="BJ915" s="27">
        <f>G915*H915</f>
        <v>0</v>
      </c>
      <c r="BK915" s="27"/>
      <c r="BL915" s="27">
        <v>713</v>
      </c>
      <c r="BW915" s="27">
        <v>21</v>
      </c>
    </row>
    <row r="916" spans="1:12" ht="13.5" customHeight="1">
      <c r="A916" s="45"/>
      <c r="D916" s="173" t="s">
        <v>922</v>
      </c>
      <c r="E916" s="174"/>
      <c r="F916" s="174"/>
      <c r="G916" s="174"/>
      <c r="H916" s="174"/>
      <c r="I916" s="174"/>
      <c r="J916" s="174"/>
      <c r="K916" s="174"/>
      <c r="L916" s="175"/>
    </row>
    <row r="917" spans="1:12" ht="15">
      <c r="A917" s="46"/>
      <c r="B917" s="47"/>
      <c r="C917" s="47"/>
      <c r="D917" s="48" t="s">
        <v>1446</v>
      </c>
      <c r="E917" s="49" t="s">
        <v>1447</v>
      </c>
      <c r="F917" s="47"/>
      <c r="G917" s="50">
        <v>25.46</v>
      </c>
      <c r="H917" s="47"/>
      <c r="I917" s="47"/>
      <c r="J917" s="47"/>
      <c r="K917" s="47"/>
      <c r="L917" s="51"/>
    </row>
    <row r="918" spans="1:75" ht="13.5" customHeight="1">
      <c r="A918" s="80" t="s">
        <v>1448</v>
      </c>
      <c r="B918" s="81" t="s">
        <v>1387</v>
      </c>
      <c r="C918" s="81" t="s">
        <v>926</v>
      </c>
      <c r="D918" s="187" t="s">
        <v>927</v>
      </c>
      <c r="E918" s="188"/>
      <c r="F918" s="81" t="s">
        <v>126</v>
      </c>
      <c r="G918" s="82">
        <v>28.006</v>
      </c>
      <c r="H918" s="82">
        <v>0</v>
      </c>
      <c r="I918" s="82">
        <f>G918*AO918</f>
        <v>0</v>
      </c>
      <c r="J918" s="82">
        <f>G918*AP918</f>
        <v>0</v>
      </c>
      <c r="K918" s="82">
        <f>G918*H918</f>
        <v>0</v>
      </c>
      <c r="L918" s="83" t="s">
        <v>137</v>
      </c>
      <c r="Z918" s="27">
        <f>IF(AQ918="5",BJ918,0)</f>
        <v>0</v>
      </c>
      <c r="AB918" s="27">
        <f>IF(AQ918="1",BH918,0)</f>
        <v>0</v>
      </c>
      <c r="AC918" s="27">
        <f>IF(AQ918="1",BI918,0)</f>
        <v>0</v>
      </c>
      <c r="AD918" s="27">
        <f>IF(AQ918="7",BH918,0)</f>
        <v>0</v>
      </c>
      <c r="AE918" s="27">
        <f>IF(AQ918="7",BI918,0)</f>
        <v>0</v>
      </c>
      <c r="AF918" s="27">
        <f>IF(AQ918="2",BH918,0)</f>
        <v>0</v>
      </c>
      <c r="AG918" s="27">
        <f>IF(AQ918="2",BI918,0)</f>
        <v>0</v>
      </c>
      <c r="AH918" s="27">
        <f>IF(AQ918="0",BJ918,0)</f>
        <v>0</v>
      </c>
      <c r="AI918" s="9" t="s">
        <v>1387</v>
      </c>
      <c r="AJ918" s="62">
        <f>IF(AN918=0,K918,0)</f>
        <v>0</v>
      </c>
      <c r="AK918" s="62">
        <f>IF(AN918=12,K918,0)</f>
        <v>0</v>
      </c>
      <c r="AL918" s="62">
        <f>IF(AN918=21,K918,0)</f>
        <v>0</v>
      </c>
      <c r="AN918" s="27">
        <v>21</v>
      </c>
      <c r="AO918" s="27">
        <f>H918*1</f>
        <v>0</v>
      </c>
      <c r="AP918" s="27">
        <f>H918*(1-1)</f>
        <v>0</v>
      </c>
      <c r="AQ918" s="64" t="s">
        <v>84</v>
      </c>
      <c r="AV918" s="27">
        <f>AW918+AX918</f>
        <v>0</v>
      </c>
      <c r="AW918" s="27">
        <f>G918*AO918</f>
        <v>0</v>
      </c>
      <c r="AX918" s="27">
        <f>G918*AP918</f>
        <v>0</v>
      </c>
      <c r="AY918" s="29" t="s">
        <v>537</v>
      </c>
      <c r="AZ918" s="29" t="s">
        <v>1445</v>
      </c>
      <c r="BA918" s="9" t="s">
        <v>1391</v>
      </c>
      <c r="BC918" s="27">
        <f>AW918+AX918</f>
        <v>0</v>
      </c>
      <c r="BD918" s="27">
        <f>H918/(100-BE918)*100</f>
        <v>0</v>
      </c>
      <c r="BE918" s="27">
        <v>0</v>
      </c>
      <c r="BF918" s="27">
        <f>918</f>
        <v>918</v>
      </c>
      <c r="BH918" s="62">
        <f>G918*AO918</f>
        <v>0</v>
      </c>
      <c r="BI918" s="62">
        <f>G918*AP918</f>
        <v>0</v>
      </c>
      <c r="BJ918" s="62">
        <f>G918*H918</f>
        <v>0</v>
      </c>
      <c r="BK918" s="62"/>
      <c r="BL918" s="27">
        <v>713</v>
      </c>
      <c r="BW918" s="27">
        <v>21</v>
      </c>
    </row>
    <row r="919" spans="1:12" ht="15">
      <c r="A919" s="52"/>
      <c r="B919" s="53"/>
      <c r="C919" s="53"/>
      <c r="D919" s="54" t="s">
        <v>1446</v>
      </c>
      <c r="E919" s="55" t="s">
        <v>1447</v>
      </c>
      <c r="F919" s="53"/>
      <c r="G919" s="56">
        <v>25.46</v>
      </c>
      <c r="H919" s="53"/>
      <c r="I919" s="53"/>
      <c r="J919" s="53"/>
      <c r="K919" s="53"/>
      <c r="L919" s="57"/>
    </row>
    <row r="920" spans="1:12" ht="15">
      <c r="A920" s="52"/>
      <c r="B920" s="53"/>
      <c r="C920" s="53"/>
      <c r="D920" s="54" t="s">
        <v>1449</v>
      </c>
      <c r="E920" s="55" t="s">
        <v>52</v>
      </c>
      <c r="F920" s="53"/>
      <c r="G920" s="56">
        <v>2.546</v>
      </c>
      <c r="H920" s="53"/>
      <c r="I920" s="53"/>
      <c r="J920" s="53"/>
      <c r="K920" s="53"/>
      <c r="L920" s="57"/>
    </row>
    <row r="921" spans="1:75" ht="13.5" customHeight="1">
      <c r="A921" s="66" t="s">
        <v>1450</v>
      </c>
      <c r="B921" s="67" t="s">
        <v>1387</v>
      </c>
      <c r="C921" s="67" t="s">
        <v>1451</v>
      </c>
      <c r="D921" s="181" t="s">
        <v>1452</v>
      </c>
      <c r="E921" s="182"/>
      <c r="F921" s="67" t="s">
        <v>109</v>
      </c>
      <c r="G921" s="68">
        <v>42.19</v>
      </c>
      <c r="H921" s="68">
        <v>0</v>
      </c>
      <c r="I921" s="68">
        <f>G921*AO921</f>
        <v>0</v>
      </c>
      <c r="J921" s="68">
        <f>G921*AP921</f>
        <v>0</v>
      </c>
      <c r="K921" s="68">
        <f>G921*H921</f>
        <v>0</v>
      </c>
      <c r="L921" s="69" t="s">
        <v>137</v>
      </c>
      <c r="Z921" s="27">
        <f>IF(AQ921="5",BJ921,0)</f>
        <v>0</v>
      </c>
      <c r="AB921" s="27">
        <f>IF(AQ921="1",BH921,0)</f>
        <v>0</v>
      </c>
      <c r="AC921" s="27">
        <f>IF(AQ921="1",BI921,0)</f>
        <v>0</v>
      </c>
      <c r="AD921" s="27">
        <f>IF(AQ921="7",BH921,0)</f>
        <v>0</v>
      </c>
      <c r="AE921" s="27">
        <f>IF(AQ921="7",BI921,0)</f>
        <v>0</v>
      </c>
      <c r="AF921" s="27">
        <f>IF(AQ921="2",BH921,0)</f>
        <v>0</v>
      </c>
      <c r="AG921" s="27">
        <f>IF(AQ921="2",BI921,0)</f>
        <v>0</v>
      </c>
      <c r="AH921" s="27">
        <f>IF(AQ921="0",BJ921,0)</f>
        <v>0</v>
      </c>
      <c r="AI921" s="9" t="s">
        <v>1387</v>
      </c>
      <c r="AJ921" s="27">
        <f>IF(AN921=0,K921,0)</f>
        <v>0</v>
      </c>
      <c r="AK921" s="27">
        <f>IF(AN921=12,K921,0)</f>
        <v>0</v>
      </c>
      <c r="AL921" s="27">
        <f>IF(AN921=21,K921,0)</f>
        <v>0</v>
      </c>
      <c r="AN921" s="27">
        <v>21</v>
      </c>
      <c r="AO921" s="27">
        <f>H921*0</f>
        <v>0</v>
      </c>
      <c r="AP921" s="27">
        <f>H921*(1-0)</f>
        <v>0</v>
      </c>
      <c r="AQ921" s="29" t="s">
        <v>84</v>
      </c>
      <c r="AV921" s="27">
        <f>AW921+AX921</f>
        <v>0</v>
      </c>
      <c r="AW921" s="27">
        <f>G921*AO921</f>
        <v>0</v>
      </c>
      <c r="AX921" s="27">
        <f>G921*AP921</f>
        <v>0</v>
      </c>
      <c r="AY921" s="29" t="s">
        <v>537</v>
      </c>
      <c r="AZ921" s="29" t="s">
        <v>1445</v>
      </c>
      <c r="BA921" s="9" t="s">
        <v>1391</v>
      </c>
      <c r="BC921" s="27">
        <f>AW921+AX921</f>
        <v>0</v>
      </c>
      <c r="BD921" s="27">
        <f>H921/(100-BE921)*100</f>
        <v>0</v>
      </c>
      <c r="BE921" s="27">
        <v>0</v>
      </c>
      <c r="BF921" s="27">
        <f>921</f>
        <v>921</v>
      </c>
      <c r="BH921" s="27">
        <f>G921*AO921</f>
        <v>0</v>
      </c>
      <c r="BI921" s="27">
        <f>G921*AP921</f>
        <v>0</v>
      </c>
      <c r="BJ921" s="27">
        <f>G921*H921</f>
        <v>0</v>
      </c>
      <c r="BK921" s="27"/>
      <c r="BL921" s="27">
        <v>713</v>
      </c>
      <c r="BW921" s="27">
        <v>21</v>
      </c>
    </row>
    <row r="922" spans="1:12" ht="15">
      <c r="A922" s="52"/>
      <c r="B922" s="53"/>
      <c r="C922" s="53"/>
      <c r="D922" s="54" t="s">
        <v>1453</v>
      </c>
      <c r="E922" s="55" t="s">
        <v>1454</v>
      </c>
      <c r="F922" s="53"/>
      <c r="G922" s="56">
        <v>42.19</v>
      </c>
      <c r="H922" s="53"/>
      <c r="I922" s="53"/>
      <c r="J922" s="53"/>
      <c r="K922" s="53"/>
      <c r="L922" s="57"/>
    </row>
    <row r="923" spans="1:75" ht="13.5" customHeight="1">
      <c r="A923" s="66" t="s">
        <v>1455</v>
      </c>
      <c r="B923" s="67" t="s">
        <v>1387</v>
      </c>
      <c r="C923" s="67" t="s">
        <v>1456</v>
      </c>
      <c r="D923" s="181" t="s">
        <v>1457</v>
      </c>
      <c r="E923" s="182"/>
      <c r="F923" s="67" t="s">
        <v>109</v>
      </c>
      <c r="G923" s="68">
        <v>42.99</v>
      </c>
      <c r="H923" s="68">
        <v>0</v>
      </c>
      <c r="I923" s="68">
        <f>G923*AO923</f>
        <v>0</v>
      </c>
      <c r="J923" s="68">
        <f>G923*AP923</f>
        <v>0</v>
      </c>
      <c r="K923" s="68">
        <f>G923*H923</f>
        <v>0</v>
      </c>
      <c r="L923" s="69" t="s">
        <v>137</v>
      </c>
      <c r="Z923" s="27">
        <f>IF(AQ923="5",BJ923,0)</f>
        <v>0</v>
      </c>
      <c r="AB923" s="27">
        <f>IF(AQ923="1",BH923,0)</f>
        <v>0</v>
      </c>
      <c r="AC923" s="27">
        <f>IF(AQ923="1",BI923,0)</f>
        <v>0</v>
      </c>
      <c r="AD923" s="27">
        <f>IF(AQ923="7",BH923,0)</f>
        <v>0</v>
      </c>
      <c r="AE923" s="27">
        <f>IF(AQ923="7",BI923,0)</f>
        <v>0</v>
      </c>
      <c r="AF923" s="27">
        <f>IF(AQ923="2",BH923,0)</f>
        <v>0</v>
      </c>
      <c r="AG923" s="27">
        <f>IF(AQ923="2",BI923,0)</f>
        <v>0</v>
      </c>
      <c r="AH923" s="27">
        <f>IF(AQ923="0",BJ923,0)</f>
        <v>0</v>
      </c>
      <c r="AI923" s="9" t="s">
        <v>1387</v>
      </c>
      <c r="AJ923" s="27">
        <f>IF(AN923=0,K923,0)</f>
        <v>0</v>
      </c>
      <c r="AK923" s="27">
        <f>IF(AN923=12,K923,0)</f>
        <v>0</v>
      </c>
      <c r="AL923" s="27">
        <f>IF(AN923=21,K923,0)</f>
        <v>0</v>
      </c>
      <c r="AN923" s="27">
        <v>21</v>
      </c>
      <c r="AO923" s="27">
        <f>H923*0</f>
        <v>0</v>
      </c>
      <c r="AP923" s="27">
        <f>H923*(1-0)</f>
        <v>0</v>
      </c>
      <c r="AQ923" s="29" t="s">
        <v>84</v>
      </c>
      <c r="AV923" s="27">
        <f>AW923+AX923</f>
        <v>0</v>
      </c>
      <c r="AW923" s="27">
        <f>G923*AO923</f>
        <v>0</v>
      </c>
      <c r="AX923" s="27">
        <f>G923*AP923</f>
        <v>0</v>
      </c>
      <c r="AY923" s="29" t="s">
        <v>537</v>
      </c>
      <c r="AZ923" s="29" t="s">
        <v>1445</v>
      </c>
      <c r="BA923" s="9" t="s">
        <v>1391</v>
      </c>
      <c r="BC923" s="27">
        <f>AW923+AX923</f>
        <v>0</v>
      </c>
      <c r="BD923" s="27">
        <f>H923/(100-BE923)*100</f>
        <v>0</v>
      </c>
      <c r="BE923" s="27">
        <v>0</v>
      </c>
      <c r="BF923" s="27">
        <f>923</f>
        <v>923</v>
      </c>
      <c r="BH923" s="27">
        <f>G923*AO923</f>
        <v>0</v>
      </c>
      <c r="BI923" s="27">
        <f>G923*AP923</f>
        <v>0</v>
      </c>
      <c r="BJ923" s="27">
        <f>G923*H923</f>
        <v>0</v>
      </c>
      <c r="BK923" s="27"/>
      <c r="BL923" s="27">
        <v>713</v>
      </c>
      <c r="BW923" s="27">
        <v>21</v>
      </c>
    </row>
    <row r="924" spans="1:12" ht="13.5" customHeight="1">
      <c r="A924" s="45"/>
      <c r="D924" s="173" t="s">
        <v>278</v>
      </c>
      <c r="E924" s="174"/>
      <c r="F924" s="174"/>
      <c r="G924" s="174"/>
      <c r="H924" s="174"/>
      <c r="I924" s="174"/>
      <c r="J924" s="174"/>
      <c r="K924" s="174"/>
      <c r="L924" s="175"/>
    </row>
    <row r="925" spans="1:12" ht="15">
      <c r="A925" s="46"/>
      <c r="B925" s="47"/>
      <c r="C925" s="47"/>
      <c r="D925" s="48" t="s">
        <v>1430</v>
      </c>
      <c r="E925" s="49" t="s">
        <v>1431</v>
      </c>
      <c r="F925" s="47"/>
      <c r="G925" s="50">
        <v>42.99</v>
      </c>
      <c r="H925" s="47"/>
      <c r="I925" s="47"/>
      <c r="J925" s="47"/>
      <c r="K925" s="47"/>
      <c r="L925" s="51"/>
    </row>
    <row r="926" spans="1:12" ht="27" customHeight="1">
      <c r="A926" s="45"/>
      <c r="C926" s="65" t="s">
        <v>102</v>
      </c>
      <c r="D926" s="173" t="s">
        <v>1458</v>
      </c>
      <c r="E926" s="174"/>
      <c r="F926" s="174"/>
      <c r="G926" s="174"/>
      <c r="H926" s="174"/>
      <c r="I926" s="174"/>
      <c r="J926" s="174"/>
      <c r="K926" s="174"/>
      <c r="L926" s="175"/>
    </row>
    <row r="927" spans="1:75" ht="13.5" customHeight="1">
      <c r="A927" s="89" t="s">
        <v>1459</v>
      </c>
      <c r="B927" s="90" t="s">
        <v>1387</v>
      </c>
      <c r="C927" s="90" t="s">
        <v>1460</v>
      </c>
      <c r="D927" s="191" t="s">
        <v>1461</v>
      </c>
      <c r="E927" s="192"/>
      <c r="F927" s="90" t="s">
        <v>1422</v>
      </c>
      <c r="G927" s="91">
        <v>2.25698</v>
      </c>
      <c r="H927" s="91">
        <v>0</v>
      </c>
      <c r="I927" s="91">
        <f>G927*AO927</f>
        <v>0</v>
      </c>
      <c r="J927" s="91">
        <f>G927*AP927</f>
        <v>0</v>
      </c>
      <c r="K927" s="91">
        <f>G927*H927</f>
        <v>0</v>
      </c>
      <c r="L927" s="92" t="s">
        <v>137</v>
      </c>
      <c r="Z927" s="27">
        <f>IF(AQ927="5",BJ927,0)</f>
        <v>0</v>
      </c>
      <c r="AB927" s="27">
        <f>IF(AQ927="1",BH927,0)</f>
        <v>0</v>
      </c>
      <c r="AC927" s="27">
        <f>IF(AQ927="1",BI927,0)</f>
        <v>0</v>
      </c>
      <c r="AD927" s="27">
        <f>IF(AQ927="7",BH927,0)</f>
        <v>0</v>
      </c>
      <c r="AE927" s="27">
        <f>IF(AQ927="7",BI927,0)</f>
        <v>0</v>
      </c>
      <c r="AF927" s="27">
        <f>IF(AQ927="2",BH927,0)</f>
        <v>0</v>
      </c>
      <c r="AG927" s="27">
        <f>IF(AQ927="2",BI927,0)</f>
        <v>0</v>
      </c>
      <c r="AH927" s="27">
        <f>IF(AQ927="0",BJ927,0)</f>
        <v>0</v>
      </c>
      <c r="AI927" s="9" t="s">
        <v>1387</v>
      </c>
      <c r="AJ927" s="62">
        <f>IF(AN927=0,K927,0)</f>
        <v>0</v>
      </c>
      <c r="AK927" s="62">
        <f>IF(AN927=12,K927,0)</f>
        <v>0</v>
      </c>
      <c r="AL927" s="62">
        <f>IF(AN927=21,K927,0)</f>
        <v>0</v>
      </c>
      <c r="AN927" s="27">
        <v>21</v>
      </c>
      <c r="AO927" s="27">
        <f>H927*1</f>
        <v>0</v>
      </c>
      <c r="AP927" s="27">
        <f>H927*(1-1)</f>
        <v>0</v>
      </c>
      <c r="AQ927" s="64" t="s">
        <v>84</v>
      </c>
      <c r="AV927" s="27">
        <f>AW927+AX927</f>
        <v>0</v>
      </c>
      <c r="AW927" s="27">
        <f>G927*AO927</f>
        <v>0</v>
      </c>
      <c r="AX927" s="27">
        <f>G927*AP927</f>
        <v>0</v>
      </c>
      <c r="AY927" s="29" t="s">
        <v>537</v>
      </c>
      <c r="AZ927" s="29" t="s">
        <v>1445</v>
      </c>
      <c r="BA927" s="9" t="s">
        <v>1391</v>
      </c>
      <c r="BC927" s="27">
        <f>AW927+AX927</f>
        <v>0</v>
      </c>
      <c r="BD927" s="27">
        <f>H927/(100-BE927)*100</f>
        <v>0</v>
      </c>
      <c r="BE927" s="27">
        <v>0</v>
      </c>
      <c r="BF927" s="27">
        <f>927</f>
        <v>927</v>
      </c>
      <c r="BH927" s="62">
        <f>G927*AO927</f>
        <v>0</v>
      </c>
      <c r="BI927" s="62">
        <f>G927*AP927</f>
        <v>0</v>
      </c>
      <c r="BJ927" s="62">
        <f>G927*H927</f>
        <v>0</v>
      </c>
      <c r="BK927" s="62"/>
      <c r="BL927" s="27">
        <v>713</v>
      </c>
      <c r="BW927" s="27">
        <v>21</v>
      </c>
    </row>
    <row r="928" spans="1:12" ht="15">
      <c r="A928" s="52"/>
      <c r="B928" s="53"/>
      <c r="C928" s="53"/>
      <c r="D928" s="54" t="s">
        <v>1462</v>
      </c>
      <c r="E928" s="55" t="s">
        <v>52</v>
      </c>
      <c r="F928" s="53"/>
      <c r="G928" s="56">
        <v>2.1495</v>
      </c>
      <c r="H928" s="53"/>
      <c r="I928" s="53"/>
      <c r="J928" s="53"/>
      <c r="K928" s="53"/>
      <c r="L928" s="57"/>
    </row>
    <row r="929" spans="1:12" ht="15">
      <c r="A929" s="52"/>
      <c r="B929" s="53"/>
      <c r="C929" s="53"/>
      <c r="D929" s="54" t="s">
        <v>1463</v>
      </c>
      <c r="E929" s="55" t="s">
        <v>52</v>
      </c>
      <c r="F929" s="53"/>
      <c r="G929" s="56">
        <v>0.10748</v>
      </c>
      <c r="H929" s="53"/>
      <c r="I929" s="53"/>
      <c r="J929" s="53"/>
      <c r="K929" s="53"/>
      <c r="L929" s="57"/>
    </row>
    <row r="930" spans="1:12" ht="13.5" customHeight="1">
      <c r="A930" s="45"/>
      <c r="C930" s="65" t="s">
        <v>102</v>
      </c>
      <c r="D930" s="173" t="s">
        <v>1464</v>
      </c>
      <c r="E930" s="174"/>
      <c r="F930" s="174"/>
      <c r="G930" s="174"/>
      <c r="H930" s="174"/>
      <c r="I930" s="174"/>
      <c r="J930" s="174"/>
      <c r="K930" s="174"/>
      <c r="L930" s="175"/>
    </row>
    <row r="931" spans="1:75" ht="13.5" customHeight="1">
      <c r="A931" s="41" t="s">
        <v>1465</v>
      </c>
      <c r="B931" s="42" t="s">
        <v>1387</v>
      </c>
      <c r="C931" s="42" t="s">
        <v>1466</v>
      </c>
      <c r="D931" s="171" t="s">
        <v>1467</v>
      </c>
      <c r="E931" s="172"/>
      <c r="F931" s="42" t="s">
        <v>109</v>
      </c>
      <c r="G931" s="43">
        <v>43</v>
      </c>
      <c r="H931" s="43">
        <v>0</v>
      </c>
      <c r="I931" s="43">
        <f>G931*AO931</f>
        <v>0</v>
      </c>
      <c r="J931" s="43">
        <f>G931*AP931</f>
        <v>0</v>
      </c>
      <c r="K931" s="43">
        <f>G931*H931</f>
        <v>0</v>
      </c>
      <c r="L931" s="44" t="s">
        <v>137</v>
      </c>
      <c r="Z931" s="27">
        <f>IF(AQ931="5",BJ931,0)</f>
        <v>0</v>
      </c>
      <c r="AB931" s="27">
        <f>IF(AQ931="1",BH931,0)</f>
        <v>0</v>
      </c>
      <c r="AC931" s="27">
        <f>IF(AQ931="1",BI931,0)</f>
        <v>0</v>
      </c>
      <c r="AD931" s="27">
        <f>IF(AQ931="7",BH931,0)</f>
        <v>0</v>
      </c>
      <c r="AE931" s="27">
        <f>IF(AQ931="7",BI931,0)</f>
        <v>0</v>
      </c>
      <c r="AF931" s="27">
        <f>IF(AQ931="2",BH931,0)</f>
        <v>0</v>
      </c>
      <c r="AG931" s="27">
        <f>IF(AQ931="2",BI931,0)</f>
        <v>0</v>
      </c>
      <c r="AH931" s="27">
        <f>IF(AQ931="0",BJ931,0)</f>
        <v>0</v>
      </c>
      <c r="AI931" s="9" t="s">
        <v>1387</v>
      </c>
      <c r="AJ931" s="27">
        <f>IF(AN931=0,K931,0)</f>
        <v>0</v>
      </c>
      <c r="AK931" s="27">
        <f>IF(AN931=12,K931,0)</f>
        <v>0</v>
      </c>
      <c r="AL931" s="27">
        <f>IF(AN931=21,K931,0)</f>
        <v>0</v>
      </c>
      <c r="AN931" s="27">
        <v>21</v>
      </c>
      <c r="AO931" s="27">
        <f>H931*0</f>
        <v>0</v>
      </c>
      <c r="AP931" s="27">
        <f>H931*(1-0)</f>
        <v>0</v>
      </c>
      <c r="AQ931" s="29" t="s">
        <v>84</v>
      </c>
      <c r="AV931" s="27">
        <f>AW931+AX931</f>
        <v>0</v>
      </c>
      <c r="AW931" s="27">
        <f>G931*AO931</f>
        <v>0</v>
      </c>
      <c r="AX931" s="27">
        <f>G931*AP931</f>
        <v>0</v>
      </c>
      <c r="AY931" s="29" t="s">
        <v>537</v>
      </c>
      <c r="AZ931" s="29" t="s">
        <v>1445</v>
      </c>
      <c r="BA931" s="9" t="s">
        <v>1391</v>
      </c>
      <c r="BC931" s="27">
        <f>AW931+AX931</f>
        <v>0</v>
      </c>
      <c r="BD931" s="27">
        <f>H931/(100-BE931)*100</f>
        <v>0</v>
      </c>
      <c r="BE931" s="27">
        <v>0</v>
      </c>
      <c r="BF931" s="27">
        <f>931</f>
        <v>931</v>
      </c>
      <c r="BH931" s="27">
        <f>G931*AO931</f>
        <v>0</v>
      </c>
      <c r="BI931" s="27">
        <f>G931*AP931</f>
        <v>0</v>
      </c>
      <c r="BJ931" s="27">
        <f>G931*H931</f>
        <v>0</v>
      </c>
      <c r="BK931" s="27"/>
      <c r="BL931" s="27">
        <v>713</v>
      </c>
      <c r="BW931" s="27">
        <v>21</v>
      </c>
    </row>
    <row r="932" spans="1:12" ht="13.5" customHeight="1">
      <c r="A932" s="45"/>
      <c r="D932" s="173" t="s">
        <v>278</v>
      </c>
      <c r="E932" s="174"/>
      <c r="F932" s="174"/>
      <c r="G932" s="174"/>
      <c r="H932" s="174"/>
      <c r="I932" s="174"/>
      <c r="J932" s="174"/>
      <c r="K932" s="174"/>
      <c r="L932" s="175"/>
    </row>
    <row r="933" spans="1:12" ht="15">
      <c r="A933" s="46"/>
      <c r="B933" s="47"/>
      <c r="C933" s="47"/>
      <c r="D933" s="48" t="s">
        <v>317</v>
      </c>
      <c r="E933" s="49" t="s">
        <v>1468</v>
      </c>
      <c r="F933" s="47"/>
      <c r="G933" s="50">
        <v>43</v>
      </c>
      <c r="H933" s="47"/>
      <c r="I933" s="47"/>
      <c r="J933" s="47"/>
      <c r="K933" s="47"/>
      <c r="L933" s="51"/>
    </row>
    <row r="934" spans="1:75" ht="13.5" customHeight="1">
      <c r="A934" s="80" t="s">
        <v>1469</v>
      </c>
      <c r="B934" s="81" t="s">
        <v>1387</v>
      </c>
      <c r="C934" s="81" t="s">
        <v>1470</v>
      </c>
      <c r="D934" s="187" t="s">
        <v>1471</v>
      </c>
      <c r="E934" s="188"/>
      <c r="F934" s="81" t="s">
        <v>109</v>
      </c>
      <c r="G934" s="82">
        <v>45.15</v>
      </c>
      <c r="H934" s="82">
        <v>0</v>
      </c>
      <c r="I934" s="82">
        <f>G934*AO934</f>
        <v>0</v>
      </c>
      <c r="J934" s="82">
        <f>G934*AP934</f>
        <v>0</v>
      </c>
      <c r="K934" s="82">
        <f>G934*H934</f>
        <v>0</v>
      </c>
      <c r="L934" s="83" t="s">
        <v>137</v>
      </c>
      <c r="Z934" s="27">
        <f>IF(AQ934="5",BJ934,0)</f>
        <v>0</v>
      </c>
      <c r="AB934" s="27">
        <f>IF(AQ934="1",BH934,0)</f>
        <v>0</v>
      </c>
      <c r="AC934" s="27">
        <f>IF(AQ934="1",BI934,0)</f>
        <v>0</v>
      </c>
      <c r="AD934" s="27">
        <f>IF(AQ934="7",BH934,0)</f>
        <v>0</v>
      </c>
      <c r="AE934" s="27">
        <f>IF(AQ934="7",BI934,0)</f>
        <v>0</v>
      </c>
      <c r="AF934" s="27">
        <f>IF(AQ934="2",BH934,0)</f>
        <v>0</v>
      </c>
      <c r="AG934" s="27">
        <f>IF(AQ934="2",BI934,0)</f>
        <v>0</v>
      </c>
      <c r="AH934" s="27">
        <f>IF(AQ934="0",BJ934,0)</f>
        <v>0</v>
      </c>
      <c r="AI934" s="9" t="s">
        <v>1387</v>
      </c>
      <c r="AJ934" s="62">
        <f>IF(AN934=0,K934,0)</f>
        <v>0</v>
      </c>
      <c r="AK934" s="62">
        <f>IF(AN934=12,K934,0)</f>
        <v>0</v>
      </c>
      <c r="AL934" s="62">
        <f>IF(AN934=21,K934,0)</f>
        <v>0</v>
      </c>
      <c r="AN934" s="27">
        <v>21</v>
      </c>
      <c r="AO934" s="27">
        <f>H934*1</f>
        <v>0</v>
      </c>
      <c r="AP934" s="27">
        <f>H934*(1-1)</f>
        <v>0</v>
      </c>
      <c r="AQ934" s="64" t="s">
        <v>84</v>
      </c>
      <c r="AV934" s="27">
        <f>AW934+AX934</f>
        <v>0</v>
      </c>
      <c r="AW934" s="27">
        <f>G934*AO934</f>
        <v>0</v>
      </c>
      <c r="AX934" s="27">
        <f>G934*AP934</f>
        <v>0</v>
      </c>
      <c r="AY934" s="29" t="s">
        <v>537</v>
      </c>
      <c r="AZ934" s="29" t="s">
        <v>1445</v>
      </c>
      <c r="BA934" s="9" t="s">
        <v>1391</v>
      </c>
      <c r="BC934" s="27">
        <f>AW934+AX934</f>
        <v>0</v>
      </c>
      <c r="BD934" s="27">
        <f>H934/(100-BE934)*100</f>
        <v>0</v>
      </c>
      <c r="BE934" s="27">
        <v>0</v>
      </c>
      <c r="BF934" s="27">
        <f>934</f>
        <v>934</v>
      </c>
      <c r="BH934" s="62">
        <f>G934*AO934</f>
        <v>0</v>
      </c>
      <c r="BI934" s="62">
        <f>G934*AP934</f>
        <v>0</v>
      </c>
      <c r="BJ934" s="62">
        <f>G934*H934</f>
        <v>0</v>
      </c>
      <c r="BK934" s="62"/>
      <c r="BL934" s="27">
        <v>713</v>
      </c>
      <c r="BW934" s="27">
        <v>21</v>
      </c>
    </row>
    <row r="935" spans="1:12" ht="15">
      <c r="A935" s="52"/>
      <c r="B935" s="53"/>
      <c r="C935" s="53"/>
      <c r="D935" s="54" t="s">
        <v>317</v>
      </c>
      <c r="E935" s="55" t="s">
        <v>52</v>
      </c>
      <c r="F935" s="53"/>
      <c r="G935" s="56">
        <v>43</v>
      </c>
      <c r="H935" s="53"/>
      <c r="I935" s="53"/>
      <c r="J935" s="53"/>
      <c r="K935" s="53"/>
      <c r="L935" s="57"/>
    </row>
    <row r="936" spans="1:12" ht="15">
      <c r="A936" s="52"/>
      <c r="B936" s="53"/>
      <c r="C936" s="53"/>
      <c r="D936" s="54" t="s">
        <v>1472</v>
      </c>
      <c r="E936" s="55" t="s">
        <v>52</v>
      </c>
      <c r="F936" s="53"/>
      <c r="G936" s="56">
        <v>2.15</v>
      </c>
      <c r="H936" s="53"/>
      <c r="I936" s="53"/>
      <c r="J936" s="53"/>
      <c r="K936" s="53"/>
      <c r="L936" s="57"/>
    </row>
    <row r="937" spans="1:12" ht="40.5" customHeight="1">
      <c r="A937" s="45"/>
      <c r="C937" s="65" t="s">
        <v>102</v>
      </c>
      <c r="D937" s="173" t="s">
        <v>1473</v>
      </c>
      <c r="E937" s="174"/>
      <c r="F937" s="174"/>
      <c r="G937" s="174"/>
      <c r="H937" s="174"/>
      <c r="I937" s="174"/>
      <c r="J937" s="174"/>
      <c r="K937" s="174"/>
      <c r="L937" s="175"/>
    </row>
    <row r="938" spans="1:75" ht="13.5" customHeight="1">
      <c r="A938" s="41" t="s">
        <v>1474</v>
      </c>
      <c r="B938" s="42" t="s">
        <v>1387</v>
      </c>
      <c r="C938" s="42" t="s">
        <v>1231</v>
      </c>
      <c r="D938" s="171" t="s">
        <v>1232</v>
      </c>
      <c r="E938" s="172"/>
      <c r="F938" s="42" t="s">
        <v>951</v>
      </c>
      <c r="G938" s="43">
        <v>434.91</v>
      </c>
      <c r="H938" s="43">
        <v>0</v>
      </c>
      <c r="I938" s="43">
        <f>G938*AO938</f>
        <v>0</v>
      </c>
      <c r="J938" s="43">
        <f>G938*AP938</f>
        <v>0</v>
      </c>
      <c r="K938" s="43">
        <f>G938*H938</f>
        <v>0</v>
      </c>
      <c r="L938" s="44" t="s">
        <v>137</v>
      </c>
      <c r="Z938" s="27">
        <f>IF(AQ938="5",BJ938,0)</f>
        <v>0</v>
      </c>
      <c r="AB938" s="27">
        <f>IF(AQ938="1",BH938,0)</f>
        <v>0</v>
      </c>
      <c r="AC938" s="27">
        <f>IF(AQ938="1",BI938,0)</f>
        <v>0</v>
      </c>
      <c r="AD938" s="27">
        <f>IF(AQ938="7",BH938,0)</f>
        <v>0</v>
      </c>
      <c r="AE938" s="27">
        <f>IF(AQ938="7",BI938,0)</f>
        <v>0</v>
      </c>
      <c r="AF938" s="27">
        <f>IF(AQ938="2",BH938,0)</f>
        <v>0</v>
      </c>
      <c r="AG938" s="27">
        <f>IF(AQ938="2",BI938,0)</f>
        <v>0</v>
      </c>
      <c r="AH938" s="27">
        <f>IF(AQ938="0",BJ938,0)</f>
        <v>0</v>
      </c>
      <c r="AI938" s="9" t="s">
        <v>1387</v>
      </c>
      <c r="AJ938" s="27">
        <f>IF(AN938=0,K938,0)</f>
        <v>0</v>
      </c>
      <c r="AK938" s="27">
        <f>IF(AN938=12,K938,0)</f>
        <v>0</v>
      </c>
      <c r="AL938" s="27">
        <f>IF(AN938=21,K938,0)</f>
        <v>0</v>
      </c>
      <c r="AN938" s="27">
        <v>21</v>
      </c>
      <c r="AO938" s="27">
        <f>H938*0</f>
        <v>0</v>
      </c>
      <c r="AP938" s="27">
        <f>H938*(1-0)</f>
        <v>0</v>
      </c>
      <c r="AQ938" s="29" t="s">
        <v>78</v>
      </c>
      <c r="AV938" s="27">
        <f>AW938+AX938</f>
        <v>0</v>
      </c>
      <c r="AW938" s="27">
        <f>G938*AO938</f>
        <v>0</v>
      </c>
      <c r="AX938" s="27">
        <f>G938*AP938</f>
        <v>0</v>
      </c>
      <c r="AY938" s="29" t="s">
        <v>537</v>
      </c>
      <c r="AZ938" s="29" t="s">
        <v>1445</v>
      </c>
      <c r="BA938" s="9" t="s">
        <v>1391</v>
      </c>
      <c r="BC938" s="27">
        <f>AW938+AX938</f>
        <v>0</v>
      </c>
      <c r="BD938" s="27">
        <f>H938/(100-BE938)*100</f>
        <v>0</v>
      </c>
      <c r="BE938" s="27">
        <v>0</v>
      </c>
      <c r="BF938" s="27">
        <f>938</f>
        <v>938</v>
      </c>
      <c r="BH938" s="27">
        <f>G938*AO938</f>
        <v>0</v>
      </c>
      <c r="BI938" s="27">
        <f>G938*AP938</f>
        <v>0</v>
      </c>
      <c r="BJ938" s="27">
        <f>G938*H938</f>
        <v>0</v>
      </c>
      <c r="BK938" s="27"/>
      <c r="BL938" s="27">
        <v>713</v>
      </c>
      <c r="BW938" s="27">
        <v>21</v>
      </c>
    </row>
    <row r="939" spans="1:12" ht="15">
      <c r="A939" s="52"/>
      <c r="B939" s="53"/>
      <c r="C939" s="53"/>
      <c r="D939" s="54" t="s">
        <v>1475</v>
      </c>
      <c r="E939" s="55" t="s">
        <v>52</v>
      </c>
      <c r="F939" s="53"/>
      <c r="G939" s="56">
        <v>434.91</v>
      </c>
      <c r="H939" s="53"/>
      <c r="I939" s="53"/>
      <c r="J939" s="53"/>
      <c r="K939" s="53"/>
      <c r="L939" s="57"/>
    </row>
    <row r="940" spans="1:47" ht="15">
      <c r="A940" s="93" t="s">
        <v>52</v>
      </c>
      <c r="B940" s="94" t="s">
        <v>1387</v>
      </c>
      <c r="C940" s="94" t="s">
        <v>935</v>
      </c>
      <c r="D940" s="193" t="s">
        <v>936</v>
      </c>
      <c r="E940" s="194"/>
      <c r="F940" s="95" t="s">
        <v>4</v>
      </c>
      <c r="G940" s="95" t="s">
        <v>4</v>
      </c>
      <c r="H940" s="95" t="s">
        <v>4</v>
      </c>
      <c r="I940" s="96">
        <f>SUM(I941:I964)</f>
        <v>0</v>
      </c>
      <c r="J940" s="96">
        <f>SUM(J941:J964)</f>
        <v>0</v>
      </c>
      <c r="K940" s="96">
        <f>SUM(K941:K964)</f>
        <v>0</v>
      </c>
      <c r="L940" s="97" t="s">
        <v>52</v>
      </c>
      <c r="AI940" s="9" t="s">
        <v>1387</v>
      </c>
      <c r="AS940" s="1">
        <f>SUM(AJ941:AJ964)</f>
        <v>0</v>
      </c>
      <c r="AT940" s="1">
        <f>SUM(AK941:AK964)</f>
        <v>0</v>
      </c>
      <c r="AU940" s="1">
        <f>SUM(AL941:AL964)</f>
        <v>0</v>
      </c>
    </row>
    <row r="941" spans="1:75" ht="13.5" customHeight="1">
      <c r="A941" s="2" t="s">
        <v>1476</v>
      </c>
      <c r="B941" s="3" t="s">
        <v>1387</v>
      </c>
      <c r="C941" s="3" t="s">
        <v>1477</v>
      </c>
      <c r="D941" s="148" t="s">
        <v>1478</v>
      </c>
      <c r="E941" s="143"/>
      <c r="F941" s="3" t="s">
        <v>126</v>
      </c>
      <c r="G941" s="27">
        <v>3.8</v>
      </c>
      <c r="H941" s="27">
        <v>0</v>
      </c>
      <c r="I941" s="27">
        <f>G941*AO941</f>
        <v>0</v>
      </c>
      <c r="J941" s="27">
        <f>G941*AP941</f>
        <v>0</v>
      </c>
      <c r="K941" s="27">
        <f>G941*H941</f>
        <v>0</v>
      </c>
      <c r="L941" s="28" t="s">
        <v>137</v>
      </c>
      <c r="Z941" s="27">
        <f>IF(AQ941="5",BJ941,0)</f>
        <v>0</v>
      </c>
      <c r="AB941" s="27">
        <f>IF(AQ941="1",BH941,0)</f>
        <v>0</v>
      </c>
      <c r="AC941" s="27">
        <f>IF(AQ941="1",BI941,0)</f>
        <v>0</v>
      </c>
      <c r="AD941" s="27">
        <f>IF(AQ941="7",BH941,0)</f>
        <v>0</v>
      </c>
      <c r="AE941" s="27">
        <f>IF(AQ941="7",BI941,0)</f>
        <v>0</v>
      </c>
      <c r="AF941" s="27">
        <f>IF(AQ941="2",BH941,0)</f>
        <v>0</v>
      </c>
      <c r="AG941" s="27">
        <f>IF(AQ941="2",BI941,0)</f>
        <v>0</v>
      </c>
      <c r="AH941" s="27">
        <f>IF(AQ941="0",BJ941,0)</f>
        <v>0</v>
      </c>
      <c r="AI941" s="9" t="s">
        <v>1387</v>
      </c>
      <c r="AJ941" s="27">
        <f>IF(AN941=0,K941,0)</f>
        <v>0</v>
      </c>
      <c r="AK941" s="27">
        <f>IF(AN941=12,K941,0)</f>
        <v>0</v>
      </c>
      <c r="AL941" s="27">
        <f>IF(AN941=21,K941,0)</f>
        <v>0</v>
      </c>
      <c r="AN941" s="27">
        <v>21</v>
      </c>
      <c r="AO941" s="27">
        <f>H941*0</f>
        <v>0</v>
      </c>
      <c r="AP941" s="27">
        <f>H941*(1-0)</f>
        <v>0</v>
      </c>
      <c r="AQ941" s="29" t="s">
        <v>84</v>
      </c>
      <c r="AV941" s="27">
        <f>AW941+AX941</f>
        <v>0</v>
      </c>
      <c r="AW941" s="27">
        <f>G941*AO941</f>
        <v>0</v>
      </c>
      <c r="AX941" s="27">
        <f>G941*AP941</f>
        <v>0</v>
      </c>
      <c r="AY941" s="29" t="s">
        <v>941</v>
      </c>
      <c r="AZ941" s="29" t="s">
        <v>1479</v>
      </c>
      <c r="BA941" s="9" t="s">
        <v>1391</v>
      </c>
      <c r="BC941" s="27">
        <f>AW941+AX941</f>
        <v>0</v>
      </c>
      <c r="BD941" s="27">
        <f>H941/(100-BE941)*100</f>
        <v>0</v>
      </c>
      <c r="BE941" s="27">
        <v>0</v>
      </c>
      <c r="BF941" s="27">
        <f>941</f>
        <v>941</v>
      </c>
      <c r="BH941" s="27">
        <f>G941*AO941</f>
        <v>0</v>
      </c>
      <c r="BI941" s="27">
        <f>G941*AP941</f>
        <v>0</v>
      </c>
      <c r="BJ941" s="27">
        <f>G941*H941</f>
        <v>0</v>
      </c>
      <c r="BK941" s="27"/>
      <c r="BL941" s="27">
        <v>728</v>
      </c>
      <c r="BW941" s="27">
        <v>21</v>
      </c>
    </row>
    <row r="942" spans="1:12" ht="15">
      <c r="A942" s="30"/>
      <c r="D942" s="32" t="s">
        <v>1480</v>
      </c>
      <c r="E942" s="31" t="s">
        <v>1481</v>
      </c>
      <c r="G942" s="33">
        <v>3.8</v>
      </c>
      <c r="L942" s="34"/>
    </row>
    <row r="943" spans="1:75" ht="13.5" customHeight="1">
      <c r="A943" s="60" t="s">
        <v>1482</v>
      </c>
      <c r="B943" s="61" t="s">
        <v>1387</v>
      </c>
      <c r="C943" s="61" t="s">
        <v>1483</v>
      </c>
      <c r="D943" s="179" t="s">
        <v>1484</v>
      </c>
      <c r="E943" s="180"/>
      <c r="F943" s="61" t="s">
        <v>154</v>
      </c>
      <c r="G943" s="62">
        <v>5</v>
      </c>
      <c r="H943" s="62">
        <v>0</v>
      </c>
      <c r="I943" s="62">
        <f>G943*AO943</f>
        <v>0</v>
      </c>
      <c r="J943" s="62">
        <f>G943*AP943</f>
        <v>0</v>
      </c>
      <c r="K943" s="62">
        <f>G943*H943</f>
        <v>0</v>
      </c>
      <c r="L943" s="63" t="s">
        <v>137</v>
      </c>
      <c r="Z943" s="27">
        <f>IF(AQ943="5",BJ943,0)</f>
        <v>0</v>
      </c>
      <c r="AB943" s="27">
        <f>IF(AQ943="1",BH943,0)</f>
        <v>0</v>
      </c>
      <c r="AC943" s="27">
        <f>IF(AQ943="1",BI943,0)</f>
        <v>0</v>
      </c>
      <c r="AD943" s="27">
        <f>IF(AQ943="7",BH943,0)</f>
        <v>0</v>
      </c>
      <c r="AE943" s="27">
        <f>IF(AQ943="7",BI943,0)</f>
        <v>0</v>
      </c>
      <c r="AF943" s="27">
        <f>IF(AQ943="2",BH943,0)</f>
        <v>0</v>
      </c>
      <c r="AG943" s="27">
        <f>IF(AQ943="2",BI943,0)</f>
        <v>0</v>
      </c>
      <c r="AH943" s="27">
        <f>IF(AQ943="0",BJ943,0)</f>
        <v>0</v>
      </c>
      <c r="AI943" s="9" t="s">
        <v>1387</v>
      </c>
      <c r="AJ943" s="62">
        <f>IF(AN943=0,K943,0)</f>
        <v>0</v>
      </c>
      <c r="AK943" s="62">
        <f>IF(AN943=12,K943,0)</f>
        <v>0</v>
      </c>
      <c r="AL943" s="62">
        <f>IF(AN943=21,K943,0)</f>
        <v>0</v>
      </c>
      <c r="AN943" s="27">
        <v>21</v>
      </c>
      <c r="AO943" s="27">
        <f>H943*1</f>
        <v>0</v>
      </c>
      <c r="AP943" s="27">
        <f>H943*(1-1)</f>
        <v>0</v>
      </c>
      <c r="AQ943" s="64" t="s">
        <v>84</v>
      </c>
      <c r="AV943" s="27">
        <f>AW943+AX943</f>
        <v>0</v>
      </c>
      <c r="AW943" s="27">
        <f>G943*AO943</f>
        <v>0</v>
      </c>
      <c r="AX943" s="27">
        <f>G943*AP943</f>
        <v>0</v>
      </c>
      <c r="AY943" s="29" t="s">
        <v>941</v>
      </c>
      <c r="AZ943" s="29" t="s">
        <v>1479</v>
      </c>
      <c r="BA943" s="9" t="s">
        <v>1391</v>
      </c>
      <c r="BC943" s="27">
        <f>AW943+AX943</f>
        <v>0</v>
      </c>
      <c r="BD943" s="27">
        <f>H943/(100-BE943)*100</f>
        <v>0</v>
      </c>
      <c r="BE943" s="27">
        <v>0</v>
      </c>
      <c r="BF943" s="27">
        <f>943</f>
        <v>943</v>
      </c>
      <c r="BH943" s="62">
        <f>G943*AO943</f>
        <v>0</v>
      </c>
      <c r="BI943" s="62">
        <f>G943*AP943</f>
        <v>0</v>
      </c>
      <c r="BJ943" s="62">
        <f>G943*H943</f>
        <v>0</v>
      </c>
      <c r="BK943" s="62"/>
      <c r="BL943" s="27">
        <v>728</v>
      </c>
      <c r="BW943" s="27">
        <v>21</v>
      </c>
    </row>
    <row r="944" spans="1:12" ht="15">
      <c r="A944" s="30"/>
      <c r="D944" s="32" t="s">
        <v>78</v>
      </c>
      <c r="E944" s="31" t="s">
        <v>52</v>
      </c>
      <c r="G944" s="33">
        <v>5</v>
      </c>
      <c r="L944" s="34"/>
    </row>
    <row r="945" spans="1:12" ht="67.5" customHeight="1">
      <c r="A945" s="30"/>
      <c r="C945" s="35" t="s">
        <v>102</v>
      </c>
      <c r="D945" s="166" t="s">
        <v>1485</v>
      </c>
      <c r="E945" s="167"/>
      <c r="F945" s="167"/>
      <c r="G945" s="167"/>
      <c r="H945" s="167"/>
      <c r="I945" s="167"/>
      <c r="J945" s="167"/>
      <c r="K945" s="167"/>
      <c r="L945" s="168"/>
    </row>
    <row r="946" spans="1:75" ht="13.5" customHeight="1">
      <c r="A946" s="60" t="s">
        <v>1486</v>
      </c>
      <c r="B946" s="61" t="s">
        <v>1387</v>
      </c>
      <c r="C946" s="61" t="s">
        <v>1487</v>
      </c>
      <c r="D946" s="179" t="s">
        <v>1488</v>
      </c>
      <c r="E946" s="180"/>
      <c r="F946" s="61" t="s">
        <v>154</v>
      </c>
      <c r="G946" s="62">
        <v>3</v>
      </c>
      <c r="H946" s="62">
        <v>0</v>
      </c>
      <c r="I946" s="62">
        <f>G946*AO946</f>
        <v>0</v>
      </c>
      <c r="J946" s="62">
        <f>G946*AP946</f>
        <v>0</v>
      </c>
      <c r="K946" s="62">
        <f>G946*H946</f>
        <v>0</v>
      </c>
      <c r="L946" s="63" t="s">
        <v>137</v>
      </c>
      <c r="Z946" s="27">
        <f>IF(AQ946="5",BJ946,0)</f>
        <v>0</v>
      </c>
      <c r="AB946" s="27">
        <f>IF(AQ946="1",BH946,0)</f>
        <v>0</v>
      </c>
      <c r="AC946" s="27">
        <f>IF(AQ946="1",BI946,0)</f>
        <v>0</v>
      </c>
      <c r="AD946" s="27">
        <f>IF(AQ946="7",BH946,0)</f>
        <v>0</v>
      </c>
      <c r="AE946" s="27">
        <f>IF(AQ946="7",BI946,0)</f>
        <v>0</v>
      </c>
      <c r="AF946" s="27">
        <f>IF(AQ946="2",BH946,0)</f>
        <v>0</v>
      </c>
      <c r="AG946" s="27">
        <f>IF(AQ946="2",BI946,0)</f>
        <v>0</v>
      </c>
      <c r="AH946" s="27">
        <f>IF(AQ946="0",BJ946,0)</f>
        <v>0</v>
      </c>
      <c r="AI946" s="9" t="s">
        <v>1387</v>
      </c>
      <c r="AJ946" s="62">
        <f>IF(AN946=0,K946,0)</f>
        <v>0</v>
      </c>
      <c r="AK946" s="62">
        <f>IF(AN946=12,K946,0)</f>
        <v>0</v>
      </c>
      <c r="AL946" s="62">
        <f>IF(AN946=21,K946,0)</f>
        <v>0</v>
      </c>
      <c r="AN946" s="27">
        <v>21</v>
      </c>
      <c r="AO946" s="27">
        <f>H946*1</f>
        <v>0</v>
      </c>
      <c r="AP946" s="27">
        <f>H946*(1-1)</f>
        <v>0</v>
      </c>
      <c r="AQ946" s="64" t="s">
        <v>84</v>
      </c>
      <c r="AV946" s="27">
        <f>AW946+AX946</f>
        <v>0</v>
      </c>
      <c r="AW946" s="27">
        <f>G946*AO946</f>
        <v>0</v>
      </c>
      <c r="AX946" s="27">
        <f>G946*AP946</f>
        <v>0</v>
      </c>
      <c r="AY946" s="29" t="s">
        <v>941</v>
      </c>
      <c r="AZ946" s="29" t="s">
        <v>1479</v>
      </c>
      <c r="BA946" s="9" t="s">
        <v>1391</v>
      </c>
      <c r="BC946" s="27">
        <f>AW946+AX946</f>
        <v>0</v>
      </c>
      <c r="BD946" s="27">
        <f>H946/(100-BE946)*100</f>
        <v>0</v>
      </c>
      <c r="BE946" s="27">
        <v>0</v>
      </c>
      <c r="BF946" s="27">
        <f>946</f>
        <v>946</v>
      </c>
      <c r="BH946" s="62">
        <f>G946*AO946</f>
        <v>0</v>
      </c>
      <c r="BI946" s="62">
        <f>G946*AP946</f>
        <v>0</v>
      </c>
      <c r="BJ946" s="62">
        <f>G946*H946</f>
        <v>0</v>
      </c>
      <c r="BK946" s="62"/>
      <c r="BL946" s="27">
        <v>728</v>
      </c>
      <c r="BW946" s="27">
        <v>21</v>
      </c>
    </row>
    <row r="947" spans="1:12" ht="15">
      <c r="A947" s="30"/>
      <c r="D947" s="32" t="s">
        <v>72</v>
      </c>
      <c r="E947" s="31" t="s">
        <v>52</v>
      </c>
      <c r="G947" s="33">
        <v>3</v>
      </c>
      <c r="L947" s="34"/>
    </row>
    <row r="948" spans="1:12" ht="13.5" customHeight="1">
      <c r="A948" s="30"/>
      <c r="C948" s="35" t="s">
        <v>102</v>
      </c>
      <c r="D948" s="166" t="s">
        <v>1489</v>
      </c>
      <c r="E948" s="167"/>
      <c r="F948" s="167"/>
      <c r="G948" s="167"/>
      <c r="H948" s="167"/>
      <c r="I948" s="167"/>
      <c r="J948" s="167"/>
      <c r="K948" s="167"/>
      <c r="L948" s="168"/>
    </row>
    <row r="949" spans="1:75" ht="13.5" customHeight="1">
      <c r="A949" s="60" t="s">
        <v>1490</v>
      </c>
      <c r="B949" s="61" t="s">
        <v>1387</v>
      </c>
      <c r="C949" s="61" t="s">
        <v>1491</v>
      </c>
      <c r="D949" s="179" t="s">
        <v>1492</v>
      </c>
      <c r="E949" s="180"/>
      <c r="F949" s="61" t="s">
        <v>154</v>
      </c>
      <c r="G949" s="62">
        <v>1</v>
      </c>
      <c r="H949" s="62">
        <v>0</v>
      </c>
      <c r="I949" s="62">
        <f>G949*AO949</f>
        <v>0</v>
      </c>
      <c r="J949" s="62">
        <f>G949*AP949</f>
        <v>0</v>
      </c>
      <c r="K949" s="62">
        <f>G949*H949</f>
        <v>0</v>
      </c>
      <c r="L949" s="63" t="s">
        <v>137</v>
      </c>
      <c r="Z949" s="27">
        <f>IF(AQ949="5",BJ949,0)</f>
        <v>0</v>
      </c>
      <c r="AB949" s="27">
        <f>IF(AQ949="1",BH949,0)</f>
        <v>0</v>
      </c>
      <c r="AC949" s="27">
        <f>IF(AQ949="1",BI949,0)</f>
        <v>0</v>
      </c>
      <c r="AD949" s="27">
        <f>IF(AQ949="7",BH949,0)</f>
        <v>0</v>
      </c>
      <c r="AE949" s="27">
        <f>IF(AQ949="7",BI949,0)</f>
        <v>0</v>
      </c>
      <c r="AF949" s="27">
        <f>IF(AQ949="2",BH949,0)</f>
        <v>0</v>
      </c>
      <c r="AG949" s="27">
        <f>IF(AQ949="2",BI949,0)</f>
        <v>0</v>
      </c>
      <c r="AH949" s="27">
        <f>IF(AQ949="0",BJ949,0)</f>
        <v>0</v>
      </c>
      <c r="AI949" s="9" t="s">
        <v>1387</v>
      </c>
      <c r="AJ949" s="62">
        <f>IF(AN949=0,K949,0)</f>
        <v>0</v>
      </c>
      <c r="AK949" s="62">
        <f>IF(AN949=12,K949,0)</f>
        <v>0</v>
      </c>
      <c r="AL949" s="62">
        <f>IF(AN949=21,K949,0)</f>
        <v>0</v>
      </c>
      <c r="AN949" s="27">
        <v>21</v>
      </c>
      <c r="AO949" s="27">
        <f>H949*1</f>
        <v>0</v>
      </c>
      <c r="AP949" s="27">
        <f>H949*(1-1)</f>
        <v>0</v>
      </c>
      <c r="AQ949" s="64" t="s">
        <v>84</v>
      </c>
      <c r="AV949" s="27">
        <f>AW949+AX949</f>
        <v>0</v>
      </c>
      <c r="AW949" s="27">
        <f>G949*AO949</f>
        <v>0</v>
      </c>
      <c r="AX949" s="27">
        <f>G949*AP949</f>
        <v>0</v>
      </c>
      <c r="AY949" s="29" t="s">
        <v>941</v>
      </c>
      <c r="AZ949" s="29" t="s">
        <v>1479</v>
      </c>
      <c r="BA949" s="9" t="s">
        <v>1391</v>
      </c>
      <c r="BC949" s="27">
        <f>AW949+AX949</f>
        <v>0</v>
      </c>
      <c r="BD949" s="27">
        <f>H949/(100-BE949)*100</f>
        <v>0</v>
      </c>
      <c r="BE949" s="27">
        <v>0</v>
      </c>
      <c r="BF949" s="27">
        <f>949</f>
        <v>949</v>
      </c>
      <c r="BH949" s="62">
        <f>G949*AO949</f>
        <v>0</v>
      </c>
      <c r="BI949" s="62">
        <f>G949*AP949</f>
        <v>0</v>
      </c>
      <c r="BJ949" s="62">
        <f>G949*H949</f>
        <v>0</v>
      </c>
      <c r="BK949" s="62"/>
      <c r="BL949" s="27">
        <v>728</v>
      </c>
      <c r="BW949" s="27">
        <v>21</v>
      </c>
    </row>
    <row r="950" spans="1:12" ht="15">
      <c r="A950" s="30"/>
      <c r="D950" s="32" t="s">
        <v>57</v>
      </c>
      <c r="E950" s="31" t="s">
        <v>1493</v>
      </c>
      <c r="G950" s="33">
        <v>1</v>
      </c>
      <c r="L950" s="34"/>
    </row>
    <row r="951" spans="1:12" ht="54" customHeight="1">
      <c r="A951" s="30"/>
      <c r="C951" s="35" t="s">
        <v>102</v>
      </c>
      <c r="D951" s="166" t="s">
        <v>1494</v>
      </c>
      <c r="E951" s="167"/>
      <c r="F951" s="167"/>
      <c r="G951" s="167"/>
      <c r="H951" s="167"/>
      <c r="I951" s="167"/>
      <c r="J951" s="167"/>
      <c r="K951" s="167"/>
      <c r="L951" s="168"/>
    </row>
    <row r="952" spans="1:75" ht="13.5" customHeight="1">
      <c r="A952" s="2" t="s">
        <v>1495</v>
      </c>
      <c r="B952" s="3" t="s">
        <v>1387</v>
      </c>
      <c r="C952" s="3" t="s">
        <v>1496</v>
      </c>
      <c r="D952" s="148" t="s">
        <v>1497</v>
      </c>
      <c r="E952" s="143"/>
      <c r="F952" s="3" t="s">
        <v>154</v>
      </c>
      <c r="G952" s="27">
        <v>2</v>
      </c>
      <c r="H952" s="27">
        <v>0</v>
      </c>
      <c r="I952" s="27">
        <f>G952*AO952</f>
        <v>0</v>
      </c>
      <c r="J952" s="27">
        <f>G952*AP952</f>
        <v>0</v>
      </c>
      <c r="K952" s="27">
        <f>G952*H952</f>
        <v>0</v>
      </c>
      <c r="L952" s="28" t="s">
        <v>137</v>
      </c>
      <c r="Z952" s="27">
        <f>IF(AQ952="5",BJ952,0)</f>
        <v>0</v>
      </c>
      <c r="AB952" s="27">
        <f>IF(AQ952="1",BH952,0)</f>
        <v>0</v>
      </c>
      <c r="AC952" s="27">
        <f>IF(AQ952="1",BI952,0)</f>
        <v>0</v>
      </c>
      <c r="AD952" s="27">
        <f>IF(AQ952="7",BH952,0)</f>
        <v>0</v>
      </c>
      <c r="AE952" s="27">
        <f>IF(AQ952="7",BI952,0)</f>
        <v>0</v>
      </c>
      <c r="AF952" s="27">
        <f>IF(AQ952="2",BH952,0)</f>
        <v>0</v>
      </c>
      <c r="AG952" s="27">
        <f>IF(AQ952="2",BI952,0)</f>
        <v>0</v>
      </c>
      <c r="AH952" s="27">
        <f>IF(AQ952="0",BJ952,0)</f>
        <v>0</v>
      </c>
      <c r="AI952" s="9" t="s">
        <v>1387</v>
      </c>
      <c r="AJ952" s="27">
        <f>IF(AN952=0,K952,0)</f>
        <v>0</v>
      </c>
      <c r="AK952" s="27">
        <f>IF(AN952=12,K952,0)</f>
        <v>0</v>
      </c>
      <c r="AL952" s="27">
        <f>IF(AN952=21,K952,0)</f>
        <v>0</v>
      </c>
      <c r="AN952" s="27">
        <v>21</v>
      </c>
      <c r="AO952" s="27">
        <f>H952*0</f>
        <v>0</v>
      </c>
      <c r="AP952" s="27">
        <f>H952*(1-0)</f>
        <v>0</v>
      </c>
      <c r="AQ952" s="29" t="s">
        <v>84</v>
      </c>
      <c r="AV952" s="27">
        <f>AW952+AX952</f>
        <v>0</v>
      </c>
      <c r="AW952" s="27">
        <f>G952*AO952</f>
        <v>0</v>
      </c>
      <c r="AX952" s="27">
        <f>G952*AP952</f>
        <v>0</v>
      </c>
      <c r="AY952" s="29" t="s">
        <v>941</v>
      </c>
      <c r="AZ952" s="29" t="s">
        <v>1479</v>
      </c>
      <c r="BA952" s="9" t="s">
        <v>1391</v>
      </c>
      <c r="BC952" s="27">
        <f>AW952+AX952</f>
        <v>0</v>
      </c>
      <c r="BD952" s="27">
        <f>H952/(100-BE952)*100</f>
        <v>0</v>
      </c>
      <c r="BE952" s="27">
        <v>0</v>
      </c>
      <c r="BF952" s="27">
        <f>952</f>
        <v>952</v>
      </c>
      <c r="BH952" s="27">
        <f>G952*AO952</f>
        <v>0</v>
      </c>
      <c r="BI952" s="27">
        <f>G952*AP952</f>
        <v>0</v>
      </c>
      <c r="BJ952" s="27">
        <f>G952*H952</f>
        <v>0</v>
      </c>
      <c r="BK952" s="27"/>
      <c r="BL952" s="27">
        <v>728</v>
      </c>
      <c r="BW952" s="27">
        <v>21</v>
      </c>
    </row>
    <row r="953" spans="1:12" ht="15">
      <c r="A953" s="30"/>
      <c r="D953" s="32" t="s">
        <v>60</v>
      </c>
      <c r="E953" s="31" t="s">
        <v>52</v>
      </c>
      <c r="G953" s="33">
        <v>2</v>
      </c>
      <c r="L953" s="34"/>
    </row>
    <row r="954" spans="1:75" ht="13.5" customHeight="1">
      <c r="A954" s="60" t="s">
        <v>1498</v>
      </c>
      <c r="B954" s="61" t="s">
        <v>1387</v>
      </c>
      <c r="C954" s="61" t="s">
        <v>1499</v>
      </c>
      <c r="D954" s="179" t="s">
        <v>1500</v>
      </c>
      <c r="E954" s="180"/>
      <c r="F954" s="61" t="s">
        <v>154</v>
      </c>
      <c r="G954" s="62">
        <v>2</v>
      </c>
      <c r="H954" s="62">
        <v>0</v>
      </c>
      <c r="I954" s="62">
        <f>G954*AO954</f>
        <v>0</v>
      </c>
      <c r="J954" s="62">
        <f>G954*AP954</f>
        <v>0</v>
      </c>
      <c r="K954" s="62">
        <f>G954*H954</f>
        <v>0</v>
      </c>
      <c r="L954" s="63" t="s">
        <v>137</v>
      </c>
      <c r="Z954" s="27">
        <f>IF(AQ954="5",BJ954,0)</f>
        <v>0</v>
      </c>
      <c r="AB954" s="27">
        <f>IF(AQ954="1",BH954,0)</f>
        <v>0</v>
      </c>
      <c r="AC954" s="27">
        <f>IF(AQ954="1",BI954,0)</f>
        <v>0</v>
      </c>
      <c r="AD954" s="27">
        <f>IF(AQ954="7",BH954,0)</f>
        <v>0</v>
      </c>
      <c r="AE954" s="27">
        <f>IF(AQ954="7",BI954,0)</f>
        <v>0</v>
      </c>
      <c r="AF954" s="27">
        <f>IF(AQ954="2",BH954,0)</f>
        <v>0</v>
      </c>
      <c r="AG954" s="27">
        <f>IF(AQ954="2",BI954,0)</f>
        <v>0</v>
      </c>
      <c r="AH954" s="27">
        <f>IF(AQ954="0",BJ954,0)</f>
        <v>0</v>
      </c>
      <c r="AI954" s="9" t="s">
        <v>1387</v>
      </c>
      <c r="AJ954" s="62">
        <f>IF(AN954=0,K954,0)</f>
        <v>0</v>
      </c>
      <c r="AK954" s="62">
        <f>IF(AN954=12,K954,0)</f>
        <v>0</v>
      </c>
      <c r="AL954" s="62">
        <f>IF(AN954=21,K954,0)</f>
        <v>0</v>
      </c>
      <c r="AN954" s="27">
        <v>21</v>
      </c>
      <c r="AO954" s="27">
        <f>H954*1</f>
        <v>0</v>
      </c>
      <c r="AP954" s="27">
        <f>H954*(1-1)</f>
        <v>0</v>
      </c>
      <c r="AQ954" s="64" t="s">
        <v>84</v>
      </c>
      <c r="AV954" s="27">
        <f>AW954+AX954</f>
        <v>0</v>
      </c>
      <c r="AW954" s="27">
        <f>G954*AO954</f>
        <v>0</v>
      </c>
      <c r="AX954" s="27">
        <f>G954*AP954</f>
        <v>0</v>
      </c>
      <c r="AY954" s="29" t="s">
        <v>941</v>
      </c>
      <c r="AZ954" s="29" t="s">
        <v>1479</v>
      </c>
      <c r="BA954" s="9" t="s">
        <v>1391</v>
      </c>
      <c r="BC954" s="27">
        <f>AW954+AX954</f>
        <v>0</v>
      </c>
      <c r="BD954" s="27">
        <f>H954/(100-BE954)*100</f>
        <v>0</v>
      </c>
      <c r="BE954" s="27">
        <v>0</v>
      </c>
      <c r="BF954" s="27">
        <f>954</f>
        <v>954</v>
      </c>
      <c r="BH954" s="62">
        <f>G954*AO954</f>
        <v>0</v>
      </c>
      <c r="BI954" s="62">
        <f>G954*AP954</f>
        <v>0</v>
      </c>
      <c r="BJ954" s="62">
        <f>G954*H954</f>
        <v>0</v>
      </c>
      <c r="BK954" s="62"/>
      <c r="BL954" s="27">
        <v>728</v>
      </c>
      <c r="BW954" s="27">
        <v>21</v>
      </c>
    </row>
    <row r="955" spans="1:12" ht="15">
      <c r="A955" s="30"/>
      <c r="D955" s="32" t="s">
        <v>60</v>
      </c>
      <c r="E955" s="31" t="s">
        <v>52</v>
      </c>
      <c r="G955" s="33">
        <v>2</v>
      </c>
      <c r="L955" s="34"/>
    </row>
    <row r="956" spans="1:12" ht="27" customHeight="1">
      <c r="A956" s="30"/>
      <c r="C956" s="35" t="s">
        <v>102</v>
      </c>
      <c r="D956" s="166" t="s">
        <v>1501</v>
      </c>
      <c r="E956" s="167"/>
      <c r="F956" s="167"/>
      <c r="G956" s="167"/>
      <c r="H956" s="167"/>
      <c r="I956" s="167"/>
      <c r="J956" s="167"/>
      <c r="K956" s="167"/>
      <c r="L956" s="168"/>
    </row>
    <row r="957" spans="1:75" ht="13.5" customHeight="1">
      <c r="A957" s="2" t="s">
        <v>1502</v>
      </c>
      <c r="B957" s="3" t="s">
        <v>1387</v>
      </c>
      <c r="C957" s="3" t="s">
        <v>1503</v>
      </c>
      <c r="D957" s="148" t="s">
        <v>1504</v>
      </c>
      <c r="E957" s="143"/>
      <c r="F957" s="3" t="s">
        <v>154</v>
      </c>
      <c r="G957" s="27">
        <v>1</v>
      </c>
      <c r="H957" s="27">
        <v>0</v>
      </c>
      <c r="I957" s="27">
        <f>G957*AO957</f>
        <v>0</v>
      </c>
      <c r="J957" s="27">
        <f>G957*AP957</f>
        <v>0</v>
      </c>
      <c r="K957" s="27">
        <f>G957*H957</f>
        <v>0</v>
      </c>
      <c r="L957" s="28" t="s">
        <v>137</v>
      </c>
      <c r="Z957" s="27">
        <f>IF(AQ957="5",BJ957,0)</f>
        <v>0</v>
      </c>
      <c r="AB957" s="27">
        <f>IF(AQ957="1",BH957,0)</f>
        <v>0</v>
      </c>
      <c r="AC957" s="27">
        <f>IF(AQ957="1",BI957,0)</f>
        <v>0</v>
      </c>
      <c r="AD957" s="27">
        <f>IF(AQ957="7",BH957,0)</f>
        <v>0</v>
      </c>
      <c r="AE957" s="27">
        <f>IF(AQ957="7",BI957,0)</f>
        <v>0</v>
      </c>
      <c r="AF957" s="27">
        <f>IF(AQ957="2",BH957,0)</f>
        <v>0</v>
      </c>
      <c r="AG957" s="27">
        <f>IF(AQ957="2",BI957,0)</f>
        <v>0</v>
      </c>
      <c r="AH957" s="27">
        <f>IF(AQ957="0",BJ957,0)</f>
        <v>0</v>
      </c>
      <c r="AI957" s="9" t="s">
        <v>1387</v>
      </c>
      <c r="AJ957" s="27">
        <f>IF(AN957=0,K957,0)</f>
        <v>0</v>
      </c>
      <c r="AK957" s="27">
        <f>IF(AN957=12,K957,0)</f>
        <v>0</v>
      </c>
      <c r="AL957" s="27">
        <f>IF(AN957=21,K957,0)</f>
        <v>0</v>
      </c>
      <c r="AN957" s="27">
        <v>21</v>
      </c>
      <c r="AO957" s="27">
        <f>H957*0</f>
        <v>0</v>
      </c>
      <c r="AP957" s="27">
        <f>H957*(1-0)</f>
        <v>0</v>
      </c>
      <c r="AQ957" s="29" t="s">
        <v>84</v>
      </c>
      <c r="AV957" s="27">
        <f>AW957+AX957</f>
        <v>0</v>
      </c>
      <c r="AW957" s="27">
        <f>G957*AO957</f>
        <v>0</v>
      </c>
      <c r="AX957" s="27">
        <f>G957*AP957</f>
        <v>0</v>
      </c>
      <c r="AY957" s="29" t="s">
        <v>941</v>
      </c>
      <c r="AZ957" s="29" t="s">
        <v>1479</v>
      </c>
      <c r="BA957" s="9" t="s">
        <v>1391</v>
      </c>
      <c r="BC957" s="27">
        <f>AW957+AX957</f>
        <v>0</v>
      </c>
      <c r="BD957" s="27">
        <f>H957/(100-BE957)*100</f>
        <v>0</v>
      </c>
      <c r="BE957" s="27">
        <v>0</v>
      </c>
      <c r="BF957" s="27">
        <f>957</f>
        <v>957</v>
      </c>
      <c r="BH957" s="27">
        <f>G957*AO957</f>
        <v>0</v>
      </c>
      <c r="BI957" s="27">
        <f>G957*AP957</f>
        <v>0</v>
      </c>
      <c r="BJ957" s="27">
        <f>G957*H957</f>
        <v>0</v>
      </c>
      <c r="BK957" s="27"/>
      <c r="BL957" s="27">
        <v>728</v>
      </c>
      <c r="BW957" s="27">
        <v>21</v>
      </c>
    </row>
    <row r="958" spans="1:12" ht="15">
      <c r="A958" s="30"/>
      <c r="D958" s="32" t="s">
        <v>57</v>
      </c>
      <c r="E958" s="31" t="s">
        <v>52</v>
      </c>
      <c r="G958" s="33">
        <v>1</v>
      </c>
      <c r="L958" s="34"/>
    </row>
    <row r="959" spans="1:75" ht="13.5" customHeight="1">
      <c r="A959" s="60" t="s">
        <v>1505</v>
      </c>
      <c r="B959" s="61" t="s">
        <v>1387</v>
      </c>
      <c r="C959" s="61" t="s">
        <v>1506</v>
      </c>
      <c r="D959" s="179" t="s">
        <v>1507</v>
      </c>
      <c r="E959" s="180"/>
      <c r="F959" s="61" t="s">
        <v>154</v>
      </c>
      <c r="G959" s="62">
        <v>1</v>
      </c>
      <c r="H959" s="62">
        <v>0</v>
      </c>
      <c r="I959" s="62">
        <f>G959*AO959</f>
        <v>0</v>
      </c>
      <c r="J959" s="62">
        <f>G959*AP959</f>
        <v>0</v>
      </c>
      <c r="K959" s="62">
        <f>G959*H959</f>
        <v>0</v>
      </c>
      <c r="L959" s="63" t="s">
        <v>137</v>
      </c>
      <c r="Z959" s="27">
        <f>IF(AQ959="5",BJ959,0)</f>
        <v>0</v>
      </c>
      <c r="AB959" s="27">
        <f>IF(AQ959="1",BH959,0)</f>
        <v>0</v>
      </c>
      <c r="AC959" s="27">
        <f>IF(AQ959="1",BI959,0)</f>
        <v>0</v>
      </c>
      <c r="AD959" s="27">
        <f>IF(AQ959="7",BH959,0)</f>
        <v>0</v>
      </c>
      <c r="AE959" s="27">
        <f>IF(AQ959="7",BI959,0)</f>
        <v>0</v>
      </c>
      <c r="AF959" s="27">
        <f>IF(AQ959="2",BH959,0)</f>
        <v>0</v>
      </c>
      <c r="AG959" s="27">
        <f>IF(AQ959="2",BI959,0)</f>
        <v>0</v>
      </c>
      <c r="AH959" s="27">
        <f>IF(AQ959="0",BJ959,0)</f>
        <v>0</v>
      </c>
      <c r="AI959" s="9" t="s">
        <v>1387</v>
      </c>
      <c r="AJ959" s="62">
        <f>IF(AN959=0,K959,0)</f>
        <v>0</v>
      </c>
      <c r="AK959" s="62">
        <f>IF(AN959=12,K959,0)</f>
        <v>0</v>
      </c>
      <c r="AL959" s="62">
        <f>IF(AN959=21,K959,0)</f>
        <v>0</v>
      </c>
      <c r="AN959" s="27">
        <v>21</v>
      </c>
      <c r="AO959" s="27">
        <f>H959*1</f>
        <v>0</v>
      </c>
      <c r="AP959" s="27">
        <f>H959*(1-1)</f>
        <v>0</v>
      </c>
      <c r="AQ959" s="64" t="s">
        <v>84</v>
      </c>
      <c r="AV959" s="27">
        <f>AW959+AX959</f>
        <v>0</v>
      </c>
      <c r="AW959" s="27">
        <f>G959*AO959</f>
        <v>0</v>
      </c>
      <c r="AX959" s="27">
        <f>G959*AP959</f>
        <v>0</v>
      </c>
      <c r="AY959" s="29" t="s">
        <v>941</v>
      </c>
      <c r="AZ959" s="29" t="s">
        <v>1479</v>
      </c>
      <c r="BA959" s="9" t="s">
        <v>1391</v>
      </c>
      <c r="BC959" s="27">
        <f>AW959+AX959</f>
        <v>0</v>
      </c>
      <c r="BD959" s="27">
        <f>H959/(100-BE959)*100</f>
        <v>0</v>
      </c>
      <c r="BE959" s="27">
        <v>0</v>
      </c>
      <c r="BF959" s="27">
        <f>959</f>
        <v>959</v>
      </c>
      <c r="BH959" s="62">
        <f>G959*AO959</f>
        <v>0</v>
      </c>
      <c r="BI959" s="62">
        <f>G959*AP959</f>
        <v>0</v>
      </c>
      <c r="BJ959" s="62">
        <f>G959*H959</f>
        <v>0</v>
      </c>
      <c r="BK959" s="62"/>
      <c r="BL959" s="27">
        <v>728</v>
      </c>
      <c r="BW959" s="27">
        <v>21</v>
      </c>
    </row>
    <row r="960" spans="1:12" ht="15">
      <c r="A960" s="30"/>
      <c r="D960" s="32" t="s">
        <v>57</v>
      </c>
      <c r="E960" s="31" t="s">
        <v>52</v>
      </c>
      <c r="G960" s="33">
        <v>1</v>
      </c>
      <c r="L960" s="34"/>
    </row>
    <row r="961" spans="1:12" ht="27" customHeight="1">
      <c r="A961" s="30"/>
      <c r="C961" s="35" t="s">
        <v>102</v>
      </c>
      <c r="D961" s="166" t="s">
        <v>1508</v>
      </c>
      <c r="E961" s="167"/>
      <c r="F961" s="167"/>
      <c r="G961" s="167"/>
      <c r="H961" s="167"/>
      <c r="I961" s="167"/>
      <c r="J961" s="167"/>
      <c r="K961" s="167"/>
      <c r="L961" s="168"/>
    </row>
    <row r="962" spans="1:75" ht="13.5" customHeight="1">
      <c r="A962" s="2" t="s">
        <v>1509</v>
      </c>
      <c r="B962" s="3" t="s">
        <v>1387</v>
      </c>
      <c r="C962" s="3" t="s">
        <v>1510</v>
      </c>
      <c r="D962" s="148" t="s">
        <v>1511</v>
      </c>
      <c r="E962" s="143"/>
      <c r="F962" s="3" t="s">
        <v>154</v>
      </c>
      <c r="G962" s="27">
        <v>1</v>
      </c>
      <c r="H962" s="27">
        <v>0</v>
      </c>
      <c r="I962" s="27">
        <f>G962*AO962</f>
        <v>0</v>
      </c>
      <c r="J962" s="27">
        <f>G962*AP962</f>
        <v>0</v>
      </c>
      <c r="K962" s="27">
        <f>G962*H962</f>
        <v>0</v>
      </c>
      <c r="L962" s="28" t="s">
        <v>137</v>
      </c>
      <c r="Z962" s="27">
        <f>IF(AQ962="5",BJ962,0)</f>
        <v>0</v>
      </c>
      <c r="AB962" s="27">
        <f>IF(AQ962="1",BH962,0)</f>
        <v>0</v>
      </c>
      <c r="AC962" s="27">
        <f>IF(AQ962="1",BI962,0)</f>
        <v>0</v>
      </c>
      <c r="AD962" s="27">
        <f>IF(AQ962="7",BH962,0)</f>
        <v>0</v>
      </c>
      <c r="AE962" s="27">
        <f>IF(AQ962="7",BI962,0)</f>
        <v>0</v>
      </c>
      <c r="AF962" s="27">
        <f>IF(AQ962="2",BH962,0)</f>
        <v>0</v>
      </c>
      <c r="AG962" s="27">
        <f>IF(AQ962="2",BI962,0)</f>
        <v>0</v>
      </c>
      <c r="AH962" s="27">
        <f>IF(AQ962="0",BJ962,0)</f>
        <v>0</v>
      </c>
      <c r="AI962" s="9" t="s">
        <v>1387</v>
      </c>
      <c r="AJ962" s="27">
        <f>IF(AN962=0,K962,0)</f>
        <v>0</v>
      </c>
      <c r="AK962" s="27">
        <f>IF(AN962=12,K962,0)</f>
        <v>0</v>
      </c>
      <c r="AL962" s="27">
        <f>IF(AN962=21,K962,0)</f>
        <v>0</v>
      </c>
      <c r="AN962" s="27">
        <v>21</v>
      </c>
      <c r="AO962" s="27">
        <f>H962*0</f>
        <v>0</v>
      </c>
      <c r="AP962" s="27">
        <f>H962*(1-0)</f>
        <v>0</v>
      </c>
      <c r="AQ962" s="29" t="s">
        <v>84</v>
      </c>
      <c r="AV962" s="27">
        <f>AW962+AX962</f>
        <v>0</v>
      </c>
      <c r="AW962" s="27">
        <f>G962*AO962</f>
        <v>0</v>
      </c>
      <c r="AX962" s="27">
        <f>G962*AP962</f>
        <v>0</v>
      </c>
      <c r="AY962" s="29" t="s">
        <v>941</v>
      </c>
      <c r="AZ962" s="29" t="s">
        <v>1479</v>
      </c>
      <c r="BA962" s="9" t="s">
        <v>1391</v>
      </c>
      <c r="BC962" s="27">
        <f>AW962+AX962</f>
        <v>0</v>
      </c>
      <c r="BD962" s="27">
        <f>H962/(100-BE962)*100</f>
        <v>0</v>
      </c>
      <c r="BE962" s="27">
        <v>0</v>
      </c>
      <c r="BF962" s="27">
        <f>962</f>
        <v>962</v>
      </c>
      <c r="BH962" s="27">
        <f>G962*AO962</f>
        <v>0</v>
      </c>
      <c r="BI962" s="27">
        <f>G962*AP962</f>
        <v>0</v>
      </c>
      <c r="BJ962" s="27">
        <f>G962*H962</f>
        <v>0</v>
      </c>
      <c r="BK962" s="27"/>
      <c r="BL962" s="27">
        <v>728</v>
      </c>
      <c r="BW962" s="27">
        <v>21</v>
      </c>
    </row>
    <row r="963" spans="1:12" ht="15">
      <c r="A963" s="30"/>
      <c r="D963" s="32" t="s">
        <v>57</v>
      </c>
      <c r="E963" s="31" t="s">
        <v>52</v>
      </c>
      <c r="G963" s="33">
        <v>1</v>
      </c>
      <c r="L963" s="34"/>
    </row>
    <row r="964" spans="1:75" ht="13.5" customHeight="1">
      <c r="A964" s="60" t="s">
        <v>1512</v>
      </c>
      <c r="B964" s="61" t="s">
        <v>1387</v>
      </c>
      <c r="C964" s="61" t="s">
        <v>1513</v>
      </c>
      <c r="D964" s="179" t="s">
        <v>1514</v>
      </c>
      <c r="E964" s="180"/>
      <c r="F964" s="61" t="s">
        <v>154</v>
      </c>
      <c r="G964" s="62">
        <v>5</v>
      </c>
      <c r="H964" s="62">
        <v>0</v>
      </c>
      <c r="I964" s="62">
        <f>G964*AO964</f>
        <v>0</v>
      </c>
      <c r="J964" s="62">
        <f>G964*AP964</f>
        <v>0</v>
      </c>
      <c r="K964" s="62">
        <f>G964*H964</f>
        <v>0</v>
      </c>
      <c r="L964" s="63" t="s">
        <v>137</v>
      </c>
      <c r="Z964" s="27">
        <f>IF(AQ964="5",BJ964,0)</f>
        <v>0</v>
      </c>
      <c r="AB964" s="27">
        <f>IF(AQ964="1",BH964,0)</f>
        <v>0</v>
      </c>
      <c r="AC964" s="27">
        <f>IF(AQ964="1",BI964,0)</f>
        <v>0</v>
      </c>
      <c r="AD964" s="27">
        <f>IF(AQ964="7",BH964,0)</f>
        <v>0</v>
      </c>
      <c r="AE964" s="27">
        <f>IF(AQ964="7",BI964,0)</f>
        <v>0</v>
      </c>
      <c r="AF964" s="27">
        <f>IF(AQ964="2",BH964,0)</f>
        <v>0</v>
      </c>
      <c r="AG964" s="27">
        <f>IF(AQ964="2",BI964,0)</f>
        <v>0</v>
      </c>
      <c r="AH964" s="27">
        <f>IF(AQ964="0",BJ964,0)</f>
        <v>0</v>
      </c>
      <c r="AI964" s="9" t="s">
        <v>1387</v>
      </c>
      <c r="AJ964" s="62">
        <f>IF(AN964=0,K964,0)</f>
        <v>0</v>
      </c>
      <c r="AK964" s="62">
        <f>IF(AN964=12,K964,0)</f>
        <v>0</v>
      </c>
      <c r="AL964" s="62">
        <f>IF(AN964=21,K964,0)</f>
        <v>0</v>
      </c>
      <c r="AN964" s="27">
        <v>21</v>
      </c>
      <c r="AO964" s="27">
        <f>H964*1</f>
        <v>0</v>
      </c>
      <c r="AP964" s="27">
        <f>H964*(1-1)</f>
        <v>0</v>
      </c>
      <c r="AQ964" s="64" t="s">
        <v>84</v>
      </c>
      <c r="AV964" s="27">
        <f>AW964+AX964</f>
        <v>0</v>
      </c>
      <c r="AW964" s="27">
        <f>G964*AO964</f>
        <v>0</v>
      </c>
      <c r="AX964" s="27">
        <f>G964*AP964</f>
        <v>0</v>
      </c>
      <c r="AY964" s="29" t="s">
        <v>941</v>
      </c>
      <c r="AZ964" s="29" t="s">
        <v>1479</v>
      </c>
      <c r="BA964" s="9" t="s">
        <v>1391</v>
      </c>
      <c r="BC964" s="27">
        <f>AW964+AX964</f>
        <v>0</v>
      </c>
      <c r="BD964" s="27">
        <f>H964/(100-BE964)*100</f>
        <v>0</v>
      </c>
      <c r="BE964" s="27">
        <v>0</v>
      </c>
      <c r="BF964" s="27">
        <f>964</f>
        <v>964</v>
      </c>
      <c r="BH964" s="62">
        <f>G964*AO964</f>
        <v>0</v>
      </c>
      <c r="BI964" s="62">
        <f>G964*AP964</f>
        <v>0</v>
      </c>
      <c r="BJ964" s="62">
        <f>G964*H964</f>
        <v>0</v>
      </c>
      <c r="BK964" s="62"/>
      <c r="BL964" s="27">
        <v>728</v>
      </c>
      <c r="BW964" s="27">
        <v>21</v>
      </c>
    </row>
    <row r="965" spans="1:12" ht="15">
      <c r="A965" s="30"/>
      <c r="D965" s="32" t="s">
        <v>78</v>
      </c>
      <c r="E965" s="31" t="s">
        <v>52</v>
      </c>
      <c r="G965" s="33">
        <v>5</v>
      </c>
      <c r="L965" s="34"/>
    </row>
    <row r="966" spans="1:12" ht="27" customHeight="1">
      <c r="A966" s="30"/>
      <c r="C966" s="35" t="s">
        <v>102</v>
      </c>
      <c r="D966" s="166" t="s">
        <v>1515</v>
      </c>
      <c r="E966" s="167"/>
      <c r="F966" s="167"/>
      <c r="G966" s="167"/>
      <c r="H966" s="167"/>
      <c r="I966" s="167"/>
      <c r="J966" s="167"/>
      <c r="K966" s="167"/>
      <c r="L966" s="168"/>
    </row>
    <row r="967" spans="1:47" ht="15">
      <c r="A967" s="23" t="s">
        <v>52</v>
      </c>
      <c r="B967" s="24" t="s">
        <v>1387</v>
      </c>
      <c r="C967" s="24" t="s">
        <v>1516</v>
      </c>
      <c r="D967" s="164" t="s">
        <v>1517</v>
      </c>
      <c r="E967" s="165"/>
      <c r="F967" s="25" t="s">
        <v>4</v>
      </c>
      <c r="G967" s="25" t="s">
        <v>4</v>
      </c>
      <c r="H967" s="25" t="s">
        <v>4</v>
      </c>
      <c r="I967" s="1">
        <f>SUM(I968:I997)</f>
        <v>0</v>
      </c>
      <c r="J967" s="1">
        <f>SUM(J968:J997)</f>
        <v>0</v>
      </c>
      <c r="K967" s="1">
        <f>SUM(K968:K997)</f>
        <v>0</v>
      </c>
      <c r="L967" s="26" t="s">
        <v>52</v>
      </c>
      <c r="AI967" s="9" t="s">
        <v>1387</v>
      </c>
      <c r="AS967" s="1">
        <f>SUM(AJ968:AJ997)</f>
        <v>0</v>
      </c>
      <c r="AT967" s="1">
        <f>SUM(AK968:AK997)</f>
        <v>0</v>
      </c>
      <c r="AU967" s="1">
        <f>SUM(AL968:AL997)</f>
        <v>0</v>
      </c>
    </row>
    <row r="968" spans="1:75" ht="13.5" customHeight="1">
      <c r="A968" s="2" t="s">
        <v>1518</v>
      </c>
      <c r="B968" s="3" t="s">
        <v>1387</v>
      </c>
      <c r="C968" s="3" t="s">
        <v>1519</v>
      </c>
      <c r="D968" s="148" t="s">
        <v>1520</v>
      </c>
      <c r="E968" s="143"/>
      <c r="F968" s="3" t="s">
        <v>109</v>
      </c>
      <c r="G968" s="27">
        <v>42.19</v>
      </c>
      <c r="H968" s="27">
        <v>0</v>
      </c>
      <c r="I968" s="27">
        <f>G968*AO968</f>
        <v>0</v>
      </c>
      <c r="J968" s="27">
        <f>G968*AP968</f>
        <v>0</v>
      </c>
      <c r="K968" s="27">
        <f>G968*H968</f>
        <v>0</v>
      </c>
      <c r="L968" s="28" t="s">
        <v>137</v>
      </c>
      <c r="Z968" s="27">
        <f>IF(AQ968="5",BJ968,0)</f>
        <v>0</v>
      </c>
      <c r="AB968" s="27">
        <f>IF(AQ968="1",BH968,0)</f>
        <v>0</v>
      </c>
      <c r="AC968" s="27">
        <f>IF(AQ968="1",BI968,0)</f>
        <v>0</v>
      </c>
      <c r="AD968" s="27">
        <f>IF(AQ968="7",BH968,0)</f>
        <v>0</v>
      </c>
      <c r="AE968" s="27">
        <f>IF(AQ968="7",BI968,0)</f>
        <v>0</v>
      </c>
      <c r="AF968" s="27">
        <f>IF(AQ968="2",BH968,0)</f>
        <v>0</v>
      </c>
      <c r="AG968" s="27">
        <f>IF(AQ968="2",BI968,0)</f>
        <v>0</v>
      </c>
      <c r="AH968" s="27">
        <f>IF(AQ968="0",BJ968,0)</f>
        <v>0</v>
      </c>
      <c r="AI968" s="9" t="s">
        <v>1387</v>
      </c>
      <c r="AJ968" s="27">
        <f>IF(AN968=0,K968,0)</f>
        <v>0</v>
      </c>
      <c r="AK968" s="27">
        <f>IF(AN968=12,K968,0)</f>
        <v>0</v>
      </c>
      <c r="AL968" s="27">
        <f>IF(AN968=21,K968,0)</f>
        <v>0</v>
      </c>
      <c r="AN968" s="27">
        <v>21</v>
      </c>
      <c r="AO968" s="27">
        <f>H968*0</f>
        <v>0</v>
      </c>
      <c r="AP968" s="27">
        <f>H968*(1-0)</f>
        <v>0</v>
      </c>
      <c r="AQ968" s="29" t="s">
        <v>84</v>
      </c>
      <c r="AV968" s="27">
        <f>AW968+AX968</f>
        <v>0</v>
      </c>
      <c r="AW968" s="27">
        <f>G968*AO968</f>
        <v>0</v>
      </c>
      <c r="AX968" s="27">
        <f>G968*AP968</f>
        <v>0</v>
      </c>
      <c r="AY968" s="29" t="s">
        <v>1521</v>
      </c>
      <c r="AZ968" s="29" t="s">
        <v>1522</v>
      </c>
      <c r="BA968" s="9" t="s">
        <v>1391</v>
      </c>
      <c r="BC968" s="27">
        <f>AW968+AX968</f>
        <v>0</v>
      </c>
      <c r="BD968" s="27">
        <f>H968/(100-BE968)*100</f>
        <v>0</v>
      </c>
      <c r="BE968" s="27">
        <v>0</v>
      </c>
      <c r="BF968" s="27">
        <f>968</f>
        <v>968</v>
      </c>
      <c r="BH968" s="27">
        <f>G968*AO968</f>
        <v>0</v>
      </c>
      <c r="BI968" s="27">
        <f>G968*AP968</f>
        <v>0</v>
      </c>
      <c r="BJ968" s="27">
        <f>G968*H968</f>
        <v>0</v>
      </c>
      <c r="BK968" s="27"/>
      <c r="BL968" s="27">
        <v>762</v>
      </c>
      <c r="BW968" s="27">
        <v>21</v>
      </c>
    </row>
    <row r="969" spans="1:12" ht="13.5" customHeight="1">
      <c r="A969" s="30"/>
      <c r="D969" s="166" t="s">
        <v>1523</v>
      </c>
      <c r="E969" s="167"/>
      <c r="F969" s="167"/>
      <c r="G969" s="167"/>
      <c r="H969" s="167"/>
      <c r="I969" s="167"/>
      <c r="J969" s="167"/>
      <c r="K969" s="167"/>
      <c r="L969" s="168"/>
    </row>
    <row r="970" spans="1:12" ht="15">
      <c r="A970" s="30"/>
      <c r="D970" s="32" t="s">
        <v>1453</v>
      </c>
      <c r="E970" s="31" t="s">
        <v>1454</v>
      </c>
      <c r="G970" s="33">
        <v>42.19</v>
      </c>
      <c r="L970" s="34"/>
    </row>
    <row r="971" spans="1:12" ht="13.5" customHeight="1">
      <c r="A971" s="30"/>
      <c r="C971" s="35" t="s">
        <v>102</v>
      </c>
      <c r="D971" s="166" t="s">
        <v>1524</v>
      </c>
      <c r="E971" s="167"/>
      <c r="F971" s="167"/>
      <c r="G971" s="167"/>
      <c r="H971" s="167"/>
      <c r="I971" s="167"/>
      <c r="J971" s="167"/>
      <c r="K971" s="167"/>
      <c r="L971" s="168"/>
    </row>
    <row r="972" spans="1:75" ht="13.5" customHeight="1">
      <c r="A972" s="2" t="s">
        <v>1525</v>
      </c>
      <c r="B972" s="3" t="s">
        <v>1387</v>
      </c>
      <c r="C972" s="3" t="s">
        <v>1526</v>
      </c>
      <c r="D972" s="148" t="s">
        <v>1527</v>
      </c>
      <c r="E972" s="143"/>
      <c r="F972" s="3" t="s">
        <v>109</v>
      </c>
      <c r="G972" s="27">
        <v>85.98</v>
      </c>
      <c r="H972" s="27">
        <v>0</v>
      </c>
      <c r="I972" s="27">
        <f>G972*AO972</f>
        <v>0</v>
      </c>
      <c r="J972" s="27">
        <f>G972*AP972</f>
        <v>0</v>
      </c>
      <c r="K972" s="27">
        <f>G972*H972</f>
        <v>0</v>
      </c>
      <c r="L972" s="28" t="s">
        <v>137</v>
      </c>
      <c r="Z972" s="27">
        <f>IF(AQ972="5",BJ972,0)</f>
        <v>0</v>
      </c>
      <c r="AB972" s="27">
        <f>IF(AQ972="1",BH972,0)</f>
        <v>0</v>
      </c>
      <c r="AC972" s="27">
        <f>IF(AQ972="1",BI972,0)</f>
        <v>0</v>
      </c>
      <c r="AD972" s="27">
        <f>IF(AQ972="7",BH972,0)</f>
        <v>0</v>
      </c>
      <c r="AE972" s="27">
        <f>IF(AQ972="7",BI972,0)</f>
        <v>0</v>
      </c>
      <c r="AF972" s="27">
        <f>IF(AQ972="2",BH972,0)</f>
        <v>0</v>
      </c>
      <c r="AG972" s="27">
        <f>IF(AQ972="2",BI972,0)</f>
        <v>0</v>
      </c>
      <c r="AH972" s="27">
        <f>IF(AQ972="0",BJ972,0)</f>
        <v>0</v>
      </c>
      <c r="AI972" s="9" t="s">
        <v>1387</v>
      </c>
      <c r="AJ972" s="27">
        <f>IF(AN972=0,K972,0)</f>
        <v>0</v>
      </c>
      <c r="AK972" s="27">
        <f>IF(AN972=12,K972,0)</f>
        <v>0</v>
      </c>
      <c r="AL972" s="27">
        <f>IF(AN972=21,K972,0)</f>
        <v>0</v>
      </c>
      <c r="AN972" s="27">
        <v>21</v>
      </c>
      <c r="AO972" s="27">
        <f>H972*0.018162162</f>
        <v>0</v>
      </c>
      <c r="AP972" s="27">
        <f>H972*(1-0.018162162)</f>
        <v>0</v>
      </c>
      <c r="AQ972" s="29" t="s">
        <v>84</v>
      </c>
      <c r="AV972" s="27">
        <f>AW972+AX972</f>
        <v>0</v>
      </c>
      <c r="AW972" s="27">
        <f>G972*AO972</f>
        <v>0</v>
      </c>
      <c r="AX972" s="27">
        <f>G972*AP972</f>
        <v>0</v>
      </c>
      <c r="AY972" s="29" t="s">
        <v>1521</v>
      </c>
      <c r="AZ972" s="29" t="s">
        <v>1522</v>
      </c>
      <c r="BA972" s="9" t="s">
        <v>1391</v>
      </c>
      <c r="BC972" s="27">
        <f>AW972+AX972</f>
        <v>0</v>
      </c>
      <c r="BD972" s="27">
        <f>H972/(100-BE972)*100</f>
        <v>0</v>
      </c>
      <c r="BE972" s="27">
        <v>0</v>
      </c>
      <c r="BF972" s="27">
        <f>972</f>
        <v>972</v>
      </c>
      <c r="BH972" s="27">
        <f>G972*AO972</f>
        <v>0</v>
      </c>
      <c r="BI972" s="27">
        <f>G972*AP972</f>
        <v>0</v>
      </c>
      <c r="BJ972" s="27">
        <f>G972*H972</f>
        <v>0</v>
      </c>
      <c r="BK972" s="27"/>
      <c r="BL972" s="27">
        <v>762</v>
      </c>
      <c r="BW972" s="27">
        <v>21</v>
      </c>
    </row>
    <row r="973" spans="1:12" ht="15">
      <c r="A973" s="30"/>
      <c r="D973" s="32" t="s">
        <v>1528</v>
      </c>
      <c r="E973" s="31" t="s">
        <v>1529</v>
      </c>
      <c r="G973" s="33">
        <v>85.98</v>
      </c>
      <c r="L973" s="34"/>
    </row>
    <row r="974" spans="1:12" ht="27" customHeight="1">
      <c r="A974" s="30"/>
      <c r="C974" s="35" t="s">
        <v>102</v>
      </c>
      <c r="D974" s="166" t="s">
        <v>1530</v>
      </c>
      <c r="E974" s="167"/>
      <c r="F974" s="167"/>
      <c r="G974" s="167"/>
      <c r="H974" s="167"/>
      <c r="I974" s="167"/>
      <c r="J974" s="167"/>
      <c r="K974" s="167"/>
      <c r="L974" s="168"/>
    </row>
    <row r="975" spans="1:75" ht="13.5" customHeight="1">
      <c r="A975" s="60" t="s">
        <v>1531</v>
      </c>
      <c r="B975" s="61" t="s">
        <v>1387</v>
      </c>
      <c r="C975" s="61" t="s">
        <v>1532</v>
      </c>
      <c r="D975" s="179" t="s">
        <v>1533</v>
      </c>
      <c r="E975" s="180"/>
      <c r="F975" s="61" t="s">
        <v>109</v>
      </c>
      <c r="G975" s="62">
        <v>92.8584</v>
      </c>
      <c r="H975" s="62">
        <v>0</v>
      </c>
      <c r="I975" s="62">
        <f>G975*AO975</f>
        <v>0</v>
      </c>
      <c r="J975" s="62">
        <f>G975*AP975</f>
        <v>0</v>
      </c>
      <c r="K975" s="62">
        <f>G975*H975</f>
        <v>0</v>
      </c>
      <c r="L975" s="63" t="s">
        <v>137</v>
      </c>
      <c r="Z975" s="27">
        <f>IF(AQ975="5",BJ975,0)</f>
        <v>0</v>
      </c>
      <c r="AB975" s="27">
        <f>IF(AQ975="1",BH975,0)</f>
        <v>0</v>
      </c>
      <c r="AC975" s="27">
        <f>IF(AQ975="1",BI975,0)</f>
        <v>0</v>
      </c>
      <c r="AD975" s="27">
        <f>IF(AQ975="7",BH975,0)</f>
        <v>0</v>
      </c>
      <c r="AE975" s="27">
        <f>IF(AQ975="7",BI975,0)</f>
        <v>0</v>
      </c>
      <c r="AF975" s="27">
        <f>IF(AQ975="2",BH975,0)</f>
        <v>0</v>
      </c>
      <c r="AG975" s="27">
        <f>IF(AQ975="2",BI975,0)</f>
        <v>0</v>
      </c>
      <c r="AH975" s="27">
        <f>IF(AQ975="0",BJ975,0)</f>
        <v>0</v>
      </c>
      <c r="AI975" s="9" t="s">
        <v>1387</v>
      </c>
      <c r="AJ975" s="62">
        <f>IF(AN975=0,K975,0)</f>
        <v>0</v>
      </c>
      <c r="AK975" s="62">
        <f>IF(AN975=12,K975,0)</f>
        <v>0</v>
      </c>
      <c r="AL975" s="62">
        <f>IF(AN975=21,K975,0)</f>
        <v>0</v>
      </c>
      <c r="AN975" s="27">
        <v>21</v>
      </c>
      <c r="AO975" s="27">
        <f>H975*1</f>
        <v>0</v>
      </c>
      <c r="AP975" s="27">
        <f>H975*(1-1)</f>
        <v>0</v>
      </c>
      <c r="AQ975" s="64" t="s">
        <v>84</v>
      </c>
      <c r="AV975" s="27">
        <f>AW975+AX975</f>
        <v>0</v>
      </c>
      <c r="AW975" s="27">
        <f>G975*AO975</f>
        <v>0</v>
      </c>
      <c r="AX975" s="27">
        <f>G975*AP975</f>
        <v>0</v>
      </c>
      <c r="AY975" s="29" t="s">
        <v>1521</v>
      </c>
      <c r="AZ975" s="29" t="s">
        <v>1522</v>
      </c>
      <c r="BA975" s="9" t="s">
        <v>1391</v>
      </c>
      <c r="BC975" s="27">
        <f>AW975+AX975</f>
        <v>0</v>
      </c>
      <c r="BD975" s="27">
        <f>H975/(100-BE975)*100</f>
        <v>0</v>
      </c>
      <c r="BE975" s="27">
        <v>0</v>
      </c>
      <c r="BF975" s="27">
        <f>975</f>
        <v>975</v>
      </c>
      <c r="BH975" s="62">
        <f>G975*AO975</f>
        <v>0</v>
      </c>
      <c r="BI975" s="62">
        <f>G975*AP975</f>
        <v>0</v>
      </c>
      <c r="BJ975" s="62">
        <f>G975*H975</f>
        <v>0</v>
      </c>
      <c r="BK975" s="62"/>
      <c r="BL975" s="27">
        <v>762</v>
      </c>
      <c r="BW975" s="27">
        <v>21</v>
      </c>
    </row>
    <row r="976" spans="1:12" ht="15">
      <c r="A976" s="30"/>
      <c r="D976" s="32" t="s">
        <v>1528</v>
      </c>
      <c r="E976" s="31" t="s">
        <v>52</v>
      </c>
      <c r="G976" s="33">
        <v>85.98</v>
      </c>
      <c r="L976" s="34"/>
    </row>
    <row r="977" spans="1:12" ht="15">
      <c r="A977" s="30"/>
      <c r="D977" s="32" t="s">
        <v>1534</v>
      </c>
      <c r="E977" s="31" t="s">
        <v>52</v>
      </c>
      <c r="G977" s="33">
        <v>6.8784</v>
      </c>
      <c r="L977" s="34"/>
    </row>
    <row r="978" spans="1:12" ht="13.5" customHeight="1">
      <c r="A978" s="30"/>
      <c r="C978" s="35" t="s">
        <v>102</v>
      </c>
      <c r="D978" s="166" t="s">
        <v>1535</v>
      </c>
      <c r="E978" s="167"/>
      <c r="F978" s="167"/>
      <c r="G978" s="167"/>
      <c r="H978" s="167"/>
      <c r="I978" s="167"/>
      <c r="J978" s="167"/>
      <c r="K978" s="167"/>
      <c r="L978" s="168"/>
    </row>
    <row r="979" spans="1:75" ht="13.5" customHeight="1">
      <c r="A979" s="2" t="s">
        <v>1536</v>
      </c>
      <c r="B979" s="3" t="s">
        <v>1387</v>
      </c>
      <c r="C979" s="3" t="s">
        <v>1537</v>
      </c>
      <c r="D979" s="148" t="s">
        <v>1538</v>
      </c>
      <c r="E979" s="143"/>
      <c r="F979" s="3" t="s">
        <v>109</v>
      </c>
      <c r="G979" s="27">
        <v>42.99</v>
      </c>
      <c r="H979" s="27">
        <v>0</v>
      </c>
      <c r="I979" s="27">
        <f>G979*AO979</f>
        <v>0</v>
      </c>
      <c r="J979" s="27">
        <f>G979*AP979</f>
        <v>0</v>
      </c>
      <c r="K979" s="27">
        <f>G979*H979</f>
        <v>0</v>
      </c>
      <c r="L979" s="28" t="s">
        <v>137</v>
      </c>
      <c r="Z979" s="27">
        <f>IF(AQ979="5",BJ979,0)</f>
        <v>0</v>
      </c>
      <c r="AB979" s="27">
        <f>IF(AQ979="1",BH979,0)</f>
        <v>0</v>
      </c>
      <c r="AC979" s="27">
        <f>IF(AQ979="1",BI979,0)</f>
        <v>0</v>
      </c>
      <c r="AD979" s="27">
        <f>IF(AQ979="7",BH979,0)</f>
        <v>0</v>
      </c>
      <c r="AE979" s="27">
        <f>IF(AQ979="7",BI979,0)</f>
        <v>0</v>
      </c>
      <c r="AF979" s="27">
        <f>IF(AQ979="2",BH979,0)</f>
        <v>0</v>
      </c>
      <c r="AG979" s="27">
        <f>IF(AQ979="2",BI979,0)</f>
        <v>0</v>
      </c>
      <c r="AH979" s="27">
        <f>IF(AQ979="0",BJ979,0)</f>
        <v>0</v>
      </c>
      <c r="AI979" s="9" t="s">
        <v>1387</v>
      </c>
      <c r="AJ979" s="27">
        <f>IF(AN979=0,K979,0)</f>
        <v>0</v>
      </c>
      <c r="AK979" s="27">
        <f>IF(AN979=12,K979,0)</f>
        <v>0</v>
      </c>
      <c r="AL979" s="27">
        <f>IF(AN979=21,K979,0)</f>
        <v>0</v>
      </c>
      <c r="AN979" s="27">
        <v>21</v>
      </c>
      <c r="AO979" s="27">
        <f>H979*0.228925895</f>
        <v>0</v>
      </c>
      <c r="AP979" s="27">
        <f>H979*(1-0.228925895)</f>
        <v>0</v>
      </c>
      <c r="AQ979" s="29" t="s">
        <v>84</v>
      </c>
      <c r="AV979" s="27">
        <f>AW979+AX979</f>
        <v>0</v>
      </c>
      <c r="AW979" s="27">
        <f>G979*AO979</f>
        <v>0</v>
      </c>
      <c r="AX979" s="27">
        <f>G979*AP979</f>
        <v>0</v>
      </c>
      <c r="AY979" s="29" t="s">
        <v>1521</v>
      </c>
      <c r="AZ979" s="29" t="s">
        <v>1522</v>
      </c>
      <c r="BA979" s="9" t="s">
        <v>1391</v>
      </c>
      <c r="BC979" s="27">
        <f>AW979+AX979</f>
        <v>0</v>
      </c>
      <c r="BD979" s="27">
        <f>H979/(100-BE979)*100</f>
        <v>0</v>
      </c>
      <c r="BE979" s="27">
        <v>0</v>
      </c>
      <c r="BF979" s="27">
        <f>979</f>
        <v>979</v>
      </c>
      <c r="BH979" s="27">
        <f>G979*AO979</f>
        <v>0</v>
      </c>
      <c r="BI979" s="27">
        <f>G979*AP979</f>
        <v>0</v>
      </c>
      <c r="BJ979" s="27">
        <f>G979*H979</f>
        <v>0</v>
      </c>
      <c r="BK979" s="27"/>
      <c r="BL979" s="27">
        <v>762</v>
      </c>
      <c r="BW979" s="27">
        <v>21</v>
      </c>
    </row>
    <row r="980" spans="1:12" ht="13.5" customHeight="1">
      <c r="A980" s="30"/>
      <c r="D980" s="166" t="s">
        <v>1539</v>
      </c>
      <c r="E980" s="167"/>
      <c r="F980" s="167"/>
      <c r="G980" s="167"/>
      <c r="H980" s="167"/>
      <c r="I980" s="167"/>
      <c r="J980" s="167"/>
      <c r="K980" s="167"/>
      <c r="L980" s="168"/>
    </row>
    <row r="981" spans="1:12" ht="15">
      <c r="A981" s="30"/>
      <c r="D981" s="32" t="s">
        <v>1430</v>
      </c>
      <c r="E981" s="31" t="s">
        <v>1529</v>
      </c>
      <c r="G981" s="33">
        <v>42.99</v>
      </c>
      <c r="L981" s="34"/>
    </row>
    <row r="982" spans="1:75" ht="13.5" customHeight="1">
      <c r="A982" s="2" t="s">
        <v>1540</v>
      </c>
      <c r="B982" s="3" t="s">
        <v>1387</v>
      </c>
      <c r="C982" s="3" t="s">
        <v>1541</v>
      </c>
      <c r="D982" s="148" t="s">
        <v>1542</v>
      </c>
      <c r="E982" s="143"/>
      <c r="F982" s="3" t="s">
        <v>126</v>
      </c>
      <c r="G982" s="27">
        <v>21.6</v>
      </c>
      <c r="H982" s="27">
        <v>0</v>
      </c>
      <c r="I982" s="27">
        <f>G982*AO982</f>
        <v>0</v>
      </c>
      <c r="J982" s="27">
        <f>G982*AP982</f>
        <v>0</v>
      </c>
      <c r="K982" s="27">
        <f>G982*H982</f>
        <v>0</v>
      </c>
      <c r="L982" s="28" t="s">
        <v>137</v>
      </c>
      <c r="Z982" s="27">
        <f>IF(AQ982="5",BJ982,0)</f>
        <v>0</v>
      </c>
      <c r="AB982" s="27">
        <f>IF(AQ982="1",BH982,0)</f>
        <v>0</v>
      </c>
      <c r="AC982" s="27">
        <f>IF(AQ982="1",BI982,0)</f>
        <v>0</v>
      </c>
      <c r="AD982" s="27">
        <f>IF(AQ982="7",BH982,0)</f>
        <v>0</v>
      </c>
      <c r="AE982" s="27">
        <f>IF(AQ982="7",BI982,0)</f>
        <v>0</v>
      </c>
      <c r="AF982" s="27">
        <f>IF(AQ982="2",BH982,0)</f>
        <v>0</v>
      </c>
      <c r="AG982" s="27">
        <f>IF(AQ982="2",BI982,0)</f>
        <v>0</v>
      </c>
      <c r="AH982" s="27">
        <f>IF(AQ982="0",BJ982,0)</f>
        <v>0</v>
      </c>
      <c r="AI982" s="9" t="s">
        <v>1387</v>
      </c>
      <c r="AJ982" s="27">
        <f>IF(AN982=0,K982,0)</f>
        <v>0</v>
      </c>
      <c r="AK982" s="27">
        <f>IF(AN982=12,K982,0)</f>
        <v>0</v>
      </c>
      <c r="AL982" s="27">
        <f>IF(AN982=21,K982,0)</f>
        <v>0</v>
      </c>
      <c r="AN982" s="27">
        <v>21</v>
      </c>
      <c r="AO982" s="27">
        <f>H982*0.230600962</f>
        <v>0</v>
      </c>
      <c r="AP982" s="27">
        <f>H982*(1-0.230600962)</f>
        <v>0</v>
      </c>
      <c r="AQ982" s="29" t="s">
        <v>84</v>
      </c>
      <c r="AV982" s="27">
        <f>AW982+AX982</f>
        <v>0</v>
      </c>
      <c r="AW982" s="27">
        <f>G982*AO982</f>
        <v>0</v>
      </c>
      <c r="AX982" s="27">
        <f>G982*AP982</f>
        <v>0</v>
      </c>
      <c r="AY982" s="29" t="s">
        <v>1521</v>
      </c>
      <c r="AZ982" s="29" t="s">
        <v>1522</v>
      </c>
      <c r="BA982" s="9" t="s">
        <v>1391</v>
      </c>
      <c r="BC982" s="27">
        <f>AW982+AX982</f>
        <v>0</v>
      </c>
      <c r="BD982" s="27">
        <f>H982/(100-BE982)*100</f>
        <v>0</v>
      </c>
      <c r="BE982" s="27">
        <v>0</v>
      </c>
      <c r="BF982" s="27">
        <f>982</f>
        <v>982</v>
      </c>
      <c r="BH982" s="27">
        <f>G982*AO982</f>
        <v>0</v>
      </c>
      <c r="BI982" s="27">
        <f>G982*AP982</f>
        <v>0</v>
      </c>
      <c r="BJ982" s="27">
        <f>G982*H982</f>
        <v>0</v>
      </c>
      <c r="BK982" s="27"/>
      <c r="BL982" s="27">
        <v>762</v>
      </c>
      <c r="BW982" s="27">
        <v>21</v>
      </c>
    </row>
    <row r="983" spans="1:12" ht="13.5" customHeight="1">
      <c r="A983" s="30"/>
      <c r="D983" s="166" t="s">
        <v>1543</v>
      </c>
      <c r="E983" s="167"/>
      <c r="F983" s="167"/>
      <c r="G983" s="167"/>
      <c r="H983" s="167"/>
      <c r="I983" s="167"/>
      <c r="J983" s="167"/>
      <c r="K983" s="167"/>
      <c r="L983" s="168"/>
    </row>
    <row r="984" spans="1:12" ht="15">
      <c r="A984" s="30"/>
      <c r="D984" s="32" t="s">
        <v>1544</v>
      </c>
      <c r="E984" s="31" t="s">
        <v>1545</v>
      </c>
      <c r="G984" s="33">
        <v>21.6</v>
      </c>
      <c r="L984" s="34"/>
    </row>
    <row r="985" spans="1:12" ht="27" customHeight="1">
      <c r="A985" s="30"/>
      <c r="C985" s="35" t="s">
        <v>102</v>
      </c>
      <c r="D985" s="166" t="s">
        <v>1546</v>
      </c>
      <c r="E985" s="167"/>
      <c r="F985" s="167"/>
      <c r="G985" s="167"/>
      <c r="H985" s="167"/>
      <c r="I985" s="167"/>
      <c r="J985" s="167"/>
      <c r="K985" s="167"/>
      <c r="L985" s="168"/>
    </row>
    <row r="986" spans="1:75" ht="13.5" customHeight="1">
      <c r="A986" s="2" t="s">
        <v>1547</v>
      </c>
      <c r="B986" s="3" t="s">
        <v>1387</v>
      </c>
      <c r="C986" s="3" t="s">
        <v>1548</v>
      </c>
      <c r="D986" s="148" t="s">
        <v>1549</v>
      </c>
      <c r="E986" s="143"/>
      <c r="F986" s="3" t="s">
        <v>109</v>
      </c>
      <c r="G986" s="27">
        <v>13.288</v>
      </c>
      <c r="H986" s="27">
        <v>0</v>
      </c>
      <c r="I986" s="27">
        <f>G986*AO986</f>
        <v>0</v>
      </c>
      <c r="J986" s="27">
        <f>G986*AP986</f>
        <v>0</v>
      </c>
      <c r="K986" s="27">
        <f>G986*H986</f>
        <v>0</v>
      </c>
      <c r="L986" s="28" t="s">
        <v>137</v>
      </c>
      <c r="Z986" s="27">
        <f>IF(AQ986="5",BJ986,0)</f>
        <v>0</v>
      </c>
      <c r="AB986" s="27">
        <f>IF(AQ986="1",BH986,0)</f>
        <v>0</v>
      </c>
      <c r="AC986" s="27">
        <f>IF(AQ986="1",BI986,0)</f>
        <v>0</v>
      </c>
      <c r="AD986" s="27">
        <f>IF(AQ986="7",BH986,0)</f>
        <v>0</v>
      </c>
      <c r="AE986" s="27">
        <f>IF(AQ986="7",BI986,0)</f>
        <v>0</v>
      </c>
      <c r="AF986" s="27">
        <f>IF(AQ986="2",BH986,0)</f>
        <v>0</v>
      </c>
      <c r="AG986" s="27">
        <f>IF(AQ986="2",BI986,0)</f>
        <v>0</v>
      </c>
      <c r="AH986" s="27">
        <f>IF(AQ986="0",BJ986,0)</f>
        <v>0</v>
      </c>
      <c r="AI986" s="9" t="s">
        <v>1387</v>
      </c>
      <c r="AJ986" s="27">
        <f>IF(AN986=0,K986,0)</f>
        <v>0</v>
      </c>
      <c r="AK986" s="27">
        <f>IF(AN986=12,K986,0)</f>
        <v>0</v>
      </c>
      <c r="AL986" s="27">
        <f>IF(AN986=21,K986,0)</f>
        <v>0</v>
      </c>
      <c r="AN986" s="27">
        <v>21</v>
      </c>
      <c r="AO986" s="27">
        <f>H986*0</f>
        <v>0</v>
      </c>
      <c r="AP986" s="27">
        <f>H986*(1-0)</f>
        <v>0</v>
      </c>
      <c r="AQ986" s="29" t="s">
        <v>84</v>
      </c>
      <c r="AV986" s="27">
        <f>AW986+AX986</f>
        <v>0</v>
      </c>
      <c r="AW986" s="27">
        <f>G986*AO986</f>
        <v>0</v>
      </c>
      <c r="AX986" s="27">
        <f>G986*AP986</f>
        <v>0</v>
      </c>
      <c r="AY986" s="29" t="s">
        <v>1521</v>
      </c>
      <c r="AZ986" s="29" t="s">
        <v>1522</v>
      </c>
      <c r="BA986" s="9" t="s">
        <v>1391</v>
      </c>
      <c r="BC986" s="27">
        <f>AW986+AX986</f>
        <v>0</v>
      </c>
      <c r="BD986" s="27">
        <f>H986/(100-BE986)*100</f>
        <v>0</v>
      </c>
      <c r="BE986" s="27">
        <v>0</v>
      </c>
      <c r="BF986" s="27">
        <f>986</f>
        <v>986</v>
      </c>
      <c r="BH986" s="27">
        <f>G986*AO986</f>
        <v>0</v>
      </c>
      <c r="BI986" s="27">
        <f>G986*AP986</f>
        <v>0</v>
      </c>
      <c r="BJ986" s="27">
        <f>G986*H986</f>
        <v>0</v>
      </c>
      <c r="BK986" s="27"/>
      <c r="BL986" s="27">
        <v>762</v>
      </c>
      <c r="BW986" s="27">
        <v>21</v>
      </c>
    </row>
    <row r="987" spans="1:12" ht="15">
      <c r="A987" s="30"/>
      <c r="D987" s="32" t="s">
        <v>1550</v>
      </c>
      <c r="E987" s="31" t="s">
        <v>1551</v>
      </c>
      <c r="G987" s="33">
        <v>13.288</v>
      </c>
      <c r="L987" s="34"/>
    </row>
    <row r="988" spans="1:12" ht="27" customHeight="1">
      <c r="A988" s="30"/>
      <c r="C988" s="35" t="s">
        <v>102</v>
      </c>
      <c r="D988" s="166" t="s">
        <v>1552</v>
      </c>
      <c r="E988" s="167"/>
      <c r="F988" s="167"/>
      <c r="G988" s="167"/>
      <c r="H988" s="167"/>
      <c r="I988" s="167"/>
      <c r="J988" s="167"/>
      <c r="K988" s="167"/>
      <c r="L988" s="168"/>
    </row>
    <row r="989" spans="1:75" ht="13.5" customHeight="1">
      <c r="A989" s="60" t="s">
        <v>1553</v>
      </c>
      <c r="B989" s="61" t="s">
        <v>1387</v>
      </c>
      <c r="C989" s="61" t="s">
        <v>1532</v>
      </c>
      <c r="D989" s="179" t="s">
        <v>1554</v>
      </c>
      <c r="E989" s="180"/>
      <c r="F989" s="61" t="s">
        <v>109</v>
      </c>
      <c r="G989" s="62">
        <v>14.35104</v>
      </c>
      <c r="H989" s="62">
        <v>0</v>
      </c>
      <c r="I989" s="62">
        <f>G989*AO989</f>
        <v>0</v>
      </c>
      <c r="J989" s="62">
        <f>G989*AP989</f>
        <v>0</v>
      </c>
      <c r="K989" s="62">
        <f>G989*H989</f>
        <v>0</v>
      </c>
      <c r="L989" s="63" t="s">
        <v>137</v>
      </c>
      <c r="Z989" s="27">
        <f>IF(AQ989="5",BJ989,0)</f>
        <v>0</v>
      </c>
      <c r="AB989" s="27">
        <f>IF(AQ989="1",BH989,0)</f>
        <v>0</v>
      </c>
      <c r="AC989" s="27">
        <f>IF(AQ989="1",BI989,0)</f>
        <v>0</v>
      </c>
      <c r="AD989" s="27">
        <f>IF(AQ989="7",BH989,0)</f>
        <v>0</v>
      </c>
      <c r="AE989" s="27">
        <f>IF(AQ989="7",BI989,0)</f>
        <v>0</v>
      </c>
      <c r="AF989" s="27">
        <f>IF(AQ989="2",BH989,0)</f>
        <v>0</v>
      </c>
      <c r="AG989" s="27">
        <f>IF(AQ989="2",BI989,0)</f>
        <v>0</v>
      </c>
      <c r="AH989" s="27">
        <f>IF(AQ989="0",BJ989,0)</f>
        <v>0</v>
      </c>
      <c r="AI989" s="9" t="s">
        <v>1387</v>
      </c>
      <c r="AJ989" s="62">
        <f>IF(AN989=0,K989,0)</f>
        <v>0</v>
      </c>
      <c r="AK989" s="62">
        <f>IF(AN989=12,K989,0)</f>
        <v>0</v>
      </c>
      <c r="AL989" s="62">
        <f>IF(AN989=21,K989,0)</f>
        <v>0</v>
      </c>
      <c r="AN989" s="27">
        <v>21</v>
      </c>
      <c r="AO989" s="27">
        <f>H989*1</f>
        <v>0</v>
      </c>
      <c r="AP989" s="27">
        <f>H989*(1-1)</f>
        <v>0</v>
      </c>
      <c r="AQ989" s="64" t="s">
        <v>84</v>
      </c>
      <c r="AV989" s="27">
        <f>AW989+AX989</f>
        <v>0</v>
      </c>
      <c r="AW989" s="27">
        <f>G989*AO989</f>
        <v>0</v>
      </c>
      <c r="AX989" s="27">
        <f>G989*AP989</f>
        <v>0</v>
      </c>
      <c r="AY989" s="29" t="s">
        <v>1521</v>
      </c>
      <c r="AZ989" s="29" t="s">
        <v>1522</v>
      </c>
      <c r="BA989" s="9" t="s">
        <v>1391</v>
      </c>
      <c r="BC989" s="27">
        <f>AW989+AX989</f>
        <v>0</v>
      </c>
      <c r="BD989" s="27">
        <f>H989/(100-BE989)*100</f>
        <v>0</v>
      </c>
      <c r="BE989" s="27">
        <v>0</v>
      </c>
      <c r="BF989" s="27">
        <f>989</f>
        <v>989</v>
      </c>
      <c r="BH989" s="62">
        <f>G989*AO989</f>
        <v>0</v>
      </c>
      <c r="BI989" s="62">
        <f>G989*AP989</f>
        <v>0</v>
      </c>
      <c r="BJ989" s="62">
        <f>G989*H989</f>
        <v>0</v>
      </c>
      <c r="BK989" s="62"/>
      <c r="BL989" s="27">
        <v>762</v>
      </c>
      <c r="BW989" s="27">
        <v>21</v>
      </c>
    </row>
    <row r="990" spans="1:12" ht="15">
      <c r="A990" s="30"/>
      <c r="D990" s="32" t="s">
        <v>1550</v>
      </c>
      <c r="E990" s="31" t="s">
        <v>1551</v>
      </c>
      <c r="G990" s="33">
        <v>13.288</v>
      </c>
      <c r="L990" s="34"/>
    </row>
    <row r="991" spans="1:12" ht="15">
      <c r="A991" s="30"/>
      <c r="D991" s="32" t="s">
        <v>1555</v>
      </c>
      <c r="E991" s="31" t="s">
        <v>52</v>
      </c>
      <c r="G991" s="33">
        <v>1.06304</v>
      </c>
      <c r="L991" s="34"/>
    </row>
    <row r="992" spans="1:12" ht="13.5" customHeight="1">
      <c r="A992" s="30"/>
      <c r="C992" s="35" t="s">
        <v>102</v>
      </c>
      <c r="D992" s="166" t="s">
        <v>1535</v>
      </c>
      <c r="E992" s="167"/>
      <c r="F992" s="167"/>
      <c r="G992" s="167"/>
      <c r="H992" s="167"/>
      <c r="I992" s="167"/>
      <c r="J992" s="167"/>
      <c r="K992" s="167"/>
      <c r="L992" s="168"/>
    </row>
    <row r="993" spans="1:75" ht="13.5" customHeight="1">
      <c r="A993" s="2" t="s">
        <v>1556</v>
      </c>
      <c r="B993" s="3" t="s">
        <v>1387</v>
      </c>
      <c r="C993" s="3" t="s">
        <v>1557</v>
      </c>
      <c r="D993" s="148" t="s">
        <v>1558</v>
      </c>
      <c r="E993" s="143"/>
      <c r="F993" s="3" t="s">
        <v>1422</v>
      </c>
      <c r="G993" s="27">
        <v>0.3024</v>
      </c>
      <c r="H993" s="27">
        <v>0</v>
      </c>
      <c r="I993" s="27">
        <f>G993*AO993</f>
        <v>0</v>
      </c>
      <c r="J993" s="27">
        <f>G993*AP993</f>
        <v>0</v>
      </c>
      <c r="K993" s="27">
        <f>G993*H993</f>
        <v>0</v>
      </c>
      <c r="L993" s="28" t="s">
        <v>137</v>
      </c>
      <c r="Z993" s="27">
        <f>IF(AQ993="5",BJ993,0)</f>
        <v>0</v>
      </c>
      <c r="AB993" s="27">
        <f>IF(AQ993="1",BH993,0)</f>
        <v>0</v>
      </c>
      <c r="AC993" s="27">
        <f>IF(AQ993="1",BI993,0)</f>
        <v>0</v>
      </c>
      <c r="AD993" s="27">
        <f>IF(AQ993="7",BH993,0)</f>
        <v>0</v>
      </c>
      <c r="AE993" s="27">
        <f>IF(AQ993="7",BI993,0)</f>
        <v>0</v>
      </c>
      <c r="AF993" s="27">
        <f>IF(AQ993="2",BH993,0)</f>
        <v>0</v>
      </c>
      <c r="AG993" s="27">
        <f>IF(AQ993="2",BI993,0)</f>
        <v>0</v>
      </c>
      <c r="AH993" s="27">
        <f>IF(AQ993="0",BJ993,0)</f>
        <v>0</v>
      </c>
      <c r="AI993" s="9" t="s">
        <v>1387</v>
      </c>
      <c r="AJ993" s="27">
        <f>IF(AN993=0,K993,0)</f>
        <v>0</v>
      </c>
      <c r="AK993" s="27">
        <f>IF(AN993=12,K993,0)</f>
        <v>0</v>
      </c>
      <c r="AL993" s="27">
        <f>IF(AN993=21,K993,0)</f>
        <v>0</v>
      </c>
      <c r="AN993" s="27">
        <v>21</v>
      </c>
      <c r="AO993" s="27">
        <f>H993*1.000014147</f>
        <v>0</v>
      </c>
      <c r="AP993" s="27">
        <f>H993*(1-1.000014147)</f>
        <v>0</v>
      </c>
      <c r="AQ993" s="29" t="s">
        <v>84</v>
      </c>
      <c r="AV993" s="27">
        <f>AW993+AX993</f>
        <v>0</v>
      </c>
      <c r="AW993" s="27">
        <f>G993*AO993</f>
        <v>0</v>
      </c>
      <c r="AX993" s="27">
        <f>G993*AP993</f>
        <v>0</v>
      </c>
      <c r="AY993" s="29" t="s">
        <v>1521</v>
      </c>
      <c r="AZ993" s="29" t="s">
        <v>1522</v>
      </c>
      <c r="BA993" s="9" t="s">
        <v>1391</v>
      </c>
      <c r="BC993" s="27">
        <f>AW993+AX993</f>
        <v>0</v>
      </c>
      <c r="BD993" s="27">
        <f>H993/(100-BE993)*100</f>
        <v>0</v>
      </c>
      <c r="BE993" s="27">
        <v>0</v>
      </c>
      <c r="BF993" s="27">
        <f>993</f>
        <v>993</v>
      </c>
      <c r="BH993" s="27">
        <f>G993*AO993</f>
        <v>0</v>
      </c>
      <c r="BI993" s="27">
        <f>G993*AP993</f>
        <v>0</v>
      </c>
      <c r="BJ993" s="27">
        <f>G993*H993</f>
        <v>0</v>
      </c>
      <c r="BK993" s="27"/>
      <c r="BL993" s="27">
        <v>762</v>
      </c>
      <c r="BW993" s="27">
        <v>21</v>
      </c>
    </row>
    <row r="994" spans="1:12" ht="15">
      <c r="A994" s="30"/>
      <c r="D994" s="32" t="s">
        <v>1559</v>
      </c>
      <c r="E994" s="31" t="s">
        <v>1545</v>
      </c>
      <c r="G994" s="33">
        <v>0.1296</v>
      </c>
      <c r="L994" s="34"/>
    </row>
    <row r="995" spans="1:12" ht="15">
      <c r="A995" s="30"/>
      <c r="D995" s="32" t="s">
        <v>1560</v>
      </c>
      <c r="E995" s="31" t="s">
        <v>52</v>
      </c>
      <c r="G995" s="33">
        <v>0.1728</v>
      </c>
      <c r="L995" s="34"/>
    </row>
    <row r="996" spans="1:12" ht="13.5" customHeight="1">
      <c r="A996" s="30"/>
      <c r="C996" s="35" t="s">
        <v>102</v>
      </c>
      <c r="D996" s="166" t="s">
        <v>1561</v>
      </c>
      <c r="E996" s="167"/>
      <c r="F996" s="167"/>
      <c r="G996" s="167"/>
      <c r="H996" s="167"/>
      <c r="I996" s="167"/>
      <c r="J996" s="167"/>
      <c r="K996" s="167"/>
      <c r="L996" s="168"/>
    </row>
    <row r="997" spans="1:75" ht="13.5" customHeight="1">
      <c r="A997" s="2" t="s">
        <v>1562</v>
      </c>
      <c r="B997" s="3" t="s">
        <v>1387</v>
      </c>
      <c r="C997" s="3" t="s">
        <v>1563</v>
      </c>
      <c r="D997" s="148" t="s">
        <v>1564</v>
      </c>
      <c r="E997" s="143"/>
      <c r="F997" s="3" t="s">
        <v>951</v>
      </c>
      <c r="G997" s="27">
        <v>716.05</v>
      </c>
      <c r="H997" s="27">
        <v>0</v>
      </c>
      <c r="I997" s="27">
        <f>G997*AO997</f>
        <v>0</v>
      </c>
      <c r="J997" s="27">
        <f>G997*AP997</f>
        <v>0</v>
      </c>
      <c r="K997" s="27">
        <f>G997*H997</f>
        <v>0</v>
      </c>
      <c r="L997" s="28" t="s">
        <v>137</v>
      </c>
      <c r="Z997" s="27">
        <f>IF(AQ997="5",BJ997,0)</f>
        <v>0</v>
      </c>
      <c r="AB997" s="27">
        <f>IF(AQ997="1",BH997,0)</f>
        <v>0</v>
      </c>
      <c r="AC997" s="27">
        <f>IF(AQ997="1",BI997,0)</f>
        <v>0</v>
      </c>
      <c r="AD997" s="27">
        <f>IF(AQ997="7",BH997,0)</f>
        <v>0</v>
      </c>
      <c r="AE997" s="27">
        <f>IF(AQ997="7",BI997,0)</f>
        <v>0</v>
      </c>
      <c r="AF997" s="27">
        <f>IF(AQ997="2",BH997,0)</f>
        <v>0</v>
      </c>
      <c r="AG997" s="27">
        <f>IF(AQ997="2",BI997,0)</f>
        <v>0</v>
      </c>
      <c r="AH997" s="27">
        <f>IF(AQ997="0",BJ997,0)</f>
        <v>0</v>
      </c>
      <c r="AI997" s="9" t="s">
        <v>1387</v>
      </c>
      <c r="AJ997" s="27">
        <f>IF(AN997=0,K997,0)</f>
        <v>0</v>
      </c>
      <c r="AK997" s="27">
        <f>IF(AN997=12,K997,0)</f>
        <v>0</v>
      </c>
      <c r="AL997" s="27">
        <f>IF(AN997=21,K997,0)</f>
        <v>0</v>
      </c>
      <c r="AN997" s="27">
        <v>21</v>
      </c>
      <c r="AO997" s="27">
        <f>H997*0</f>
        <v>0</v>
      </c>
      <c r="AP997" s="27">
        <f>H997*(1-0)</f>
        <v>0</v>
      </c>
      <c r="AQ997" s="29" t="s">
        <v>78</v>
      </c>
      <c r="AV997" s="27">
        <f>AW997+AX997</f>
        <v>0</v>
      </c>
      <c r="AW997" s="27">
        <f>G997*AO997</f>
        <v>0</v>
      </c>
      <c r="AX997" s="27">
        <f>G997*AP997</f>
        <v>0</v>
      </c>
      <c r="AY997" s="29" t="s">
        <v>1521</v>
      </c>
      <c r="AZ997" s="29" t="s">
        <v>1522</v>
      </c>
      <c r="BA997" s="9" t="s">
        <v>1391</v>
      </c>
      <c r="BC997" s="27">
        <f>AW997+AX997</f>
        <v>0</v>
      </c>
      <c r="BD997" s="27">
        <f>H997/(100-BE997)*100</f>
        <v>0</v>
      </c>
      <c r="BE997" s="27">
        <v>0</v>
      </c>
      <c r="BF997" s="27">
        <f>997</f>
        <v>997</v>
      </c>
      <c r="BH997" s="27">
        <f>G997*AO997</f>
        <v>0</v>
      </c>
      <c r="BI997" s="27">
        <f>G997*AP997</f>
        <v>0</v>
      </c>
      <c r="BJ997" s="27">
        <f>G997*H997</f>
        <v>0</v>
      </c>
      <c r="BK997" s="27"/>
      <c r="BL997" s="27">
        <v>762</v>
      </c>
      <c r="BW997" s="27">
        <v>21</v>
      </c>
    </row>
    <row r="998" spans="1:12" ht="15">
      <c r="A998" s="98"/>
      <c r="D998" s="105" t="s">
        <v>1565</v>
      </c>
      <c r="E998" s="100" t="s">
        <v>52</v>
      </c>
      <c r="G998" s="106">
        <v>716.05</v>
      </c>
      <c r="L998" s="107"/>
    </row>
    <row r="999" spans="1:47" ht="15">
      <c r="A999" s="70" t="s">
        <v>52</v>
      </c>
      <c r="B999" s="71" t="s">
        <v>1387</v>
      </c>
      <c r="C999" s="71" t="s">
        <v>946</v>
      </c>
      <c r="D999" s="183" t="s">
        <v>947</v>
      </c>
      <c r="E999" s="184"/>
      <c r="F999" s="72" t="s">
        <v>4</v>
      </c>
      <c r="G999" s="72" t="s">
        <v>4</v>
      </c>
      <c r="H999" s="72" t="s">
        <v>4</v>
      </c>
      <c r="I999" s="73">
        <f>SUM(I1000:I1007)</f>
        <v>0</v>
      </c>
      <c r="J999" s="73">
        <f>SUM(J1000:J1007)</f>
        <v>0</v>
      </c>
      <c r="K999" s="73">
        <f>SUM(K1000:K1007)</f>
        <v>0</v>
      </c>
      <c r="L999" s="74" t="s">
        <v>52</v>
      </c>
      <c r="AI999" s="9" t="s">
        <v>1387</v>
      </c>
      <c r="AS999" s="1">
        <f>SUM(AJ1000:AJ1007)</f>
        <v>0</v>
      </c>
      <c r="AT999" s="1">
        <f>SUM(AK1000:AK1007)</f>
        <v>0</v>
      </c>
      <c r="AU999" s="1">
        <f>SUM(AL1000:AL1007)</f>
        <v>0</v>
      </c>
    </row>
    <row r="1000" spans="1:75" ht="13.5" customHeight="1">
      <c r="A1000" s="66" t="s">
        <v>1566</v>
      </c>
      <c r="B1000" s="67" t="s">
        <v>1387</v>
      </c>
      <c r="C1000" s="67" t="s">
        <v>961</v>
      </c>
      <c r="D1000" s="181" t="s">
        <v>962</v>
      </c>
      <c r="E1000" s="182"/>
      <c r="F1000" s="67" t="s">
        <v>154</v>
      </c>
      <c r="G1000" s="68">
        <v>1</v>
      </c>
      <c r="H1000" s="68">
        <v>0</v>
      </c>
      <c r="I1000" s="68">
        <f>G1000*AO1000</f>
        <v>0</v>
      </c>
      <c r="J1000" s="68">
        <f>G1000*AP1000</f>
        <v>0</v>
      </c>
      <c r="K1000" s="68">
        <f>G1000*H1000</f>
        <v>0</v>
      </c>
      <c r="L1000" s="69" t="s">
        <v>137</v>
      </c>
      <c r="Z1000" s="27">
        <f>IF(AQ1000="5",BJ1000,0)</f>
        <v>0</v>
      </c>
      <c r="AB1000" s="27">
        <f>IF(AQ1000="1",BH1000,0)</f>
        <v>0</v>
      </c>
      <c r="AC1000" s="27">
        <f>IF(AQ1000="1",BI1000,0)</f>
        <v>0</v>
      </c>
      <c r="AD1000" s="27">
        <f>IF(AQ1000="7",BH1000,0)</f>
        <v>0</v>
      </c>
      <c r="AE1000" s="27">
        <f>IF(AQ1000="7",BI1000,0)</f>
        <v>0</v>
      </c>
      <c r="AF1000" s="27">
        <f>IF(AQ1000="2",BH1000,0)</f>
        <v>0</v>
      </c>
      <c r="AG1000" s="27">
        <f>IF(AQ1000="2",BI1000,0)</f>
        <v>0</v>
      </c>
      <c r="AH1000" s="27">
        <f>IF(AQ1000="0",BJ1000,0)</f>
        <v>0</v>
      </c>
      <c r="AI1000" s="9" t="s">
        <v>1387</v>
      </c>
      <c r="AJ1000" s="27">
        <f>IF(AN1000=0,K1000,0)</f>
        <v>0</v>
      </c>
      <c r="AK1000" s="27">
        <f>IF(AN1000=12,K1000,0)</f>
        <v>0</v>
      </c>
      <c r="AL1000" s="27">
        <f>IF(AN1000=21,K1000,0)</f>
        <v>0</v>
      </c>
      <c r="AN1000" s="27">
        <v>21</v>
      </c>
      <c r="AO1000" s="27">
        <f>H1000*0</f>
        <v>0</v>
      </c>
      <c r="AP1000" s="27">
        <f>H1000*(1-0)</f>
        <v>0</v>
      </c>
      <c r="AQ1000" s="29" t="s">
        <v>84</v>
      </c>
      <c r="AV1000" s="27">
        <f>AW1000+AX1000</f>
        <v>0</v>
      </c>
      <c r="AW1000" s="27">
        <f>G1000*AO1000</f>
        <v>0</v>
      </c>
      <c r="AX1000" s="27">
        <f>G1000*AP1000</f>
        <v>0</v>
      </c>
      <c r="AY1000" s="29" t="s">
        <v>952</v>
      </c>
      <c r="AZ1000" s="29" t="s">
        <v>1522</v>
      </c>
      <c r="BA1000" s="9" t="s">
        <v>1391</v>
      </c>
      <c r="BC1000" s="27">
        <f>AW1000+AX1000</f>
        <v>0</v>
      </c>
      <c r="BD1000" s="27">
        <f>H1000/(100-BE1000)*100</f>
        <v>0</v>
      </c>
      <c r="BE1000" s="27">
        <v>0</v>
      </c>
      <c r="BF1000" s="27">
        <f>1000</f>
        <v>1000</v>
      </c>
      <c r="BH1000" s="27">
        <f>G1000*AO1000</f>
        <v>0</v>
      </c>
      <c r="BI1000" s="27">
        <f>G1000*AP1000</f>
        <v>0</v>
      </c>
      <c r="BJ1000" s="27">
        <f>G1000*H1000</f>
        <v>0</v>
      </c>
      <c r="BK1000" s="27"/>
      <c r="BL1000" s="27">
        <v>766</v>
      </c>
      <c r="BW1000" s="27">
        <v>21</v>
      </c>
    </row>
    <row r="1001" spans="1:12" ht="15">
      <c r="A1001" s="52"/>
      <c r="B1001" s="53"/>
      <c r="C1001" s="53"/>
      <c r="D1001" s="54" t="s">
        <v>57</v>
      </c>
      <c r="E1001" s="55" t="s">
        <v>963</v>
      </c>
      <c r="F1001" s="53"/>
      <c r="G1001" s="56">
        <v>1</v>
      </c>
      <c r="H1001" s="53"/>
      <c r="I1001" s="53"/>
      <c r="J1001" s="53"/>
      <c r="K1001" s="53"/>
      <c r="L1001" s="57"/>
    </row>
    <row r="1002" spans="1:75" ht="13.5" customHeight="1">
      <c r="A1002" s="80" t="s">
        <v>1567</v>
      </c>
      <c r="B1002" s="81" t="s">
        <v>1387</v>
      </c>
      <c r="C1002" s="81" t="s">
        <v>965</v>
      </c>
      <c r="D1002" s="187" t="s">
        <v>966</v>
      </c>
      <c r="E1002" s="188"/>
      <c r="F1002" s="81" t="s">
        <v>154</v>
      </c>
      <c r="G1002" s="82">
        <v>1</v>
      </c>
      <c r="H1002" s="82">
        <v>0</v>
      </c>
      <c r="I1002" s="82">
        <f>G1002*AO1002</f>
        <v>0</v>
      </c>
      <c r="J1002" s="82">
        <f>G1002*AP1002</f>
        <v>0</v>
      </c>
      <c r="K1002" s="82">
        <f>G1002*H1002</f>
        <v>0</v>
      </c>
      <c r="L1002" s="83" t="s">
        <v>137</v>
      </c>
      <c r="Z1002" s="27">
        <f>IF(AQ1002="5",BJ1002,0)</f>
        <v>0</v>
      </c>
      <c r="AB1002" s="27">
        <f>IF(AQ1002="1",BH1002,0)</f>
        <v>0</v>
      </c>
      <c r="AC1002" s="27">
        <f>IF(AQ1002="1",BI1002,0)</f>
        <v>0</v>
      </c>
      <c r="AD1002" s="27">
        <f>IF(AQ1002="7",BH1002,0)</f>
        <v>0</v>
      </c>
      <c r="AE1002" s="27">
        <f>IF(AQ1002="7",BI1002,0)</f>
        <v>0</v>
      </c>
      <c r="AF1002" s="27">
        <f>IF(AQ1002="2",BH1002,0)</f>
        <v>0</v>
      </c>
      <c r="AG1002" s="27">
        <f>IF(AQ1002="2",BI1002,0)</f>
        <v>0</v>
      </c>
      <c r="AH1002" s="27">
        <f>IF(AQ1002="0",BJ1002,0)</f>
        <v>0</v>
      </c>
      <c r="AI1002" s="9" t="s">
        <v>1387</v>
      </c>
      <c r="AJ1002" s="62">
        <f>IF(AN1002=0,K1002,0)</f>
        <v>0</v>
      </c>
      <c r="AK1002" s="62">
        <f>IF(AN1002=12,K1002,0)</f>
        <v>0</v>
      </c>
      <c r="AL1002" s="62">
        <f>IF(AN1002=21,K1002,0)</f>
        <v>0</v>
      </c>
      <c r="AN1002" s="27">
        <v>21</v>
      </c>
      <c r="AO1002" s="27">
        <f>H1002*1</f>
        <v>0</v>
      </c>
      <c r="AP1002" s="27">
        <f>H1002*(1-1)</f>
        <v>0</v>
      </c>
      <c r="AQ1002" s="64" t="s">
        <v>84</v>
      </c>
      <c r="AV1002" s="27">
        <f>AW1002+AX1002</f>
        <v>0</v>
      </c>
      <c r="AW1002" s="27">
        <f>G1002*AO1002</f>
        <v>0</v>
      </c>
      <c r="AX1002" s="27">
        <f>G1002*AP1002</f>
        <v>0</v>
      </c>
      <c r="AY1002" s="29" t="s">
        <v>952</v>
      </c>
      <c r="AZ1002" s="29" t="s">
        <v>1522</v>
      </c>
      <c r="BA1002" s="9" t="s">
        <v>1391</v>
      </c>
      <c r="BC1002" s="27">
        <f>AW1002+AX1002</f>
        <v>0</v>
      </c>
      <c r="BD1002" s="27">
        <f>H1002/(100-BE1002)*100</f>
        <v>0</v>
      </c>
      <c r="BE1002" s="27">
        <v>0</v>
      </c>
      <c r="BF1002" s="27">
        <f>1002</f>
        <v>1002</v>
      </c>
      <c r="BH1002" s="62">
        <f>G1002*AO1002</f>
        <v>0</v>
      </c>
      <c r="BI1002" s="62">
        <f>G1002*AP1002</f>
        <v>0</v>
      </c>
      <c r="BJ1002" s="62">
        <f>G1002*H1002</f>
        <v>0</v>
      </c>
      <c r="BK1002" s="62"/>
      <c r="BL1002" s="27">
        <v>766</v>
      </c>
      <c r="BW1002" s="27">
        <v>21</v>
      </c>
    </row>
    <row r="1003" spans="1:12" ht="15">
      <c r="A1003" s="52"/>
      <c r="B1003" s="53"/>
      <c r="C1003" s="53"/>
      <c r="D1003" s="54" t="s">
        <v>57</v>
      </c>
      <c r="E1003" s="55" t="s">
        <v>52</v>
      </c>
      <c r="F1003" s="53"/>
      <c r="G1003" s="56">
        <v>1</v>
      </c>
      <c r="H1003" s="53"/>
      <c r="I1003" s="53"/>
      <c r="J1003" s="53"/>
      <c r="K1003" s="53"/>
      <c r="L1003" s="57"/>
    </row>
    <row r="1004" spans="1:75" ht="13.5" customHeight="1">
      <c r="A1004" s="80" t="s">
        <v>1568</v>
      </c>
      <c r="B1004" s="81" t="s">
        <v>1387</v>
      </c>
      <c r="C1004" s="81" t="s">
        <v>956</v>
      </c>
      <c r="D1004" s="187" t="s">
        <v>957</v>
      </c>
      <c r="E1004" s="188"/>
      <c r="F1004" s="81" t="s">
        <v>154</v>
      </c>
      <c r="G1004" s="82">
        <v>1</v>
      </c>
      <c r="H1004" s="82">
        <v>0</v>
      </c>
      <c r="I1004" s="82">
        <f>G1004*AO1004</f>
        <v>0</v>
      </c>
      <c r="J1004" s="82">
        <f>G1004*AP1004</f>
        <v>0</v>
      </c>
      <c r="K1004" s="82">
        <f>G1004*H1004</f>
        <v>0</v>
      </c>
      <c r="L1004" s="83" t="s">
        <v>137</v>
      </c>
      <c r="Z1004" s="27">
        <f>IF(AQ1004="5",BJ1004,0)</f>
        <v>0</v>
      </c>
      <c r="AB1004" s="27">
        <f>IF(AQ1004="1",BH1004,0)</f>
        <v>0</v>
      </c>
      <c r="AC1004" s="27">
        <f>IF(AQ1004="1",BI1004,0)</f>
        <v>0</v>
      </c>
      <c r="AD1004" s="27">
        <f>IF(AQ1004="7",BH1004,0)</f>
        <v>0</v>
      </c>
      <c r="AE1004" s="27">
        <f>IF(AQ1004="7",BI1004,0)</f>
        <v>0</v>
      </c>
      <c r="AF1004" s="27">
        <f>IF(AQ1004="2",BH1004,0)</f>
        <v>0</v>
      </c>
      <c r="AG1004" s="27">
        <f>IF(AQ1004="2",BI1004,0)</f>
        <v>0</v>
      </c>
      <c r="AH1004" s="27">
        <f>IF(AQ1004="0",BJ1004,0)</f>
        <v>0</v>
      </c>
      <c r="AI1004" s="9" t="s">
        <v>1387</v>
      </c>
      <c r="AJ1004" s="62">
        <f>IF(AN1004=0,K1004,0)</f>
        <v>0</v>
      </c>
      <c r="AK1004" s="62">
        <f>IF(AN1004=12,K1004,0)</f>
        <v>0</v>
      </c>
      <c r="AL1004" s="62">
        <f>IF(AN1004=21,K1004,0)</f>
        <v>0</v>
      </c>
      <c r="AN1004" s="27">
        <v>21</v>
      </c>
      <c r="AO1004" s="27">
        <f>H1004*1</f>
        <v>0</v>
      </c>
      <c r="AP1004" s="27">
        <f>H1004*(1-1)</f>
        <v>0</v>
      </c>
      <c r="AQ1004" s="64" t="s">
        <v>84</v>
      </c>
      <c r="AV1004" s="27">
        <f>AW1004+AX1004</f>
        <v>0</v>
      </c>
      <c r="AW1004" s="27">
        <f>G1004*AO1004</f>
        <v>0</v>
      </c>
      <c r="AX1004" s="27">
        <f>G1004*AP1004</f>
        <v>0</v>
      </c>
      <c r="AY1004" s="29" t="s">
        <v>952</v>
      </c>
      <c r="AZ1004" s="29" t="s">
        <v>1522</v>
      </c>
      <c r="BA1004" s="9" t="s">
        <v>1391</v>
      </c>
      <c r="BC1004" s="27">
        <f>AW1004+AX1004</f>
        <v>0</v>
      </c>
      <c r="BD1004" s="27">
        <f>H1004/(100-BE1004)*100</f>
        <v>0</v>
      </c>
      <c r="BE1004" s="27">
        <v>0</v>
      </c>
      <c r="BF1004" s="27">
        <f>1004</f>
        <v>1004</v>
      </c>
      <c r="BH1004" s="62">
        <f>G1004*AO1004</f>
        <v>0</v>
      </c>
      <c r="BI1004" s="62">
        <f>G1004*AP1004</f>
        <v>0</v>
      </c>
      <c r="BJ1004" s="62">
        <f>G1004*H1004</f>
        <v>0</v>
      </c>
      <c r="BK1004" s="62"/>
      <c r="BL1004" s="27">
        <v>766</v>
      </c>
      <c r="BW1004" s="27">
        <v>21</v>
      </c>
    </row>
    <row r="1005" spans="1:12" ht="15">
      <c r="A1005" s="52"/>
      <c r="B1005" s="53"/>
      <c r="C1005" s="53"/>
      <c r="D1005" s="54" t="s">
        <v>57</v>
      </c>
      <c r="E1005" s="55" t="s">
        <v>958</v>
      </c>
      <c r="F1005" s="53"/>
      <c r="G1005" s="56">
        <v>1</v>
      </c>
      <c r="H1005" s="53"/>
      <c r="I1005" s="53"/>
      <c r="J1005" s="53"/>
      <c r="K1005" s="53"/>
      <c r="L1005" s="57"/>
    </row>
    <row r="1006" spans="1:12" ht="13.5" customHeight="1">
      <c r="A1006" s="45"/>
      <c r="C1006" s="65" t="s">
        <v>102</v>
      </c>
      <c r="D1006" s="173" t="s">
        <v>959</v>
      </c>
      <c r="E1006" s="174"/>
      <c r="F1006" s="174"/>
      <c r="G1006" s="174"/>
      <c r="H1006" s="174"/>
      <c r="I1006" s="174"/>
      <c r="J1006" s="174"/>
      <c r="K1006" s="174"/>
      <c r="L1006" s="175"/>
    </row>
    <row r="1007" spans="1:75" ht="13.5" customHeight="1">
      <c r="A1007" s="41" t="s">
        <v>1569</v>
      </c>
      <c r="B1007" s="42" t="s">
        <v>1387</v>
      </c>
      <c r="C1007" s="42" t="s">
        <v>949</v>
      </c>
      <c r="D1007" s="171" t="s">
        <v>950</v>
      </c>
      <c r="E1007" s="172"/>
      <c r="F1007" s="42" t="s">
        <v>951</v>
      </c>
      <c r="G1007" s="43">
        <v>191.85</v>
      </c>
      <c r="H1007" s="43">
        <v>0</v>
      </c>
      <c r="I1007" s="43">
        <f>G1007*AO1007</f>
        <v>0</v>
      </c>
      <c r="J1007" s="43">
        <f>G1007*AP1007</f>
        <v>0</v>
      </c>
      <c r="K1007" s="43">
        <f>G1007*H1007</f>
        <v>0</v>
      </c>
      <c r="L1007" s="44" t="s">
        <v>137</v>
      </c>
      <c r="Z1007" s="27">
        <f>IF(AQ1007="5",BJ1007,0)</f>
        <v>0</v>
      </c>
      <c r="AB1007" s="27">
        <f>IF(AQ1007="1",BH1007,0)</f>
        <v>0</v>
      </c>
      <c r="AC1007" s="27">
        <f>IF(AQ1007="1",BI1007,0)</f>
        <v>0</v>
      </c>
      <c r="AD1007" s="27">
        <f>IF(AQ1007="7",BH1007,0)</f>
        <v>0</v>
      </c>
      <c r="AE1007" s="27">
        <f>IF(AQ1007="7",BI1007,0)</f>
        <v>0</v>
      </c>
      <c r="AF1007" s="27">
        <f>IF(AQ1007="2",BH1007,0)</f>
        <v>0</v>
      </c>
      <c r="AG1007" s="27">
        <f>IF(AQ1007="2",BI1007,0)</f>
        <v>0</v>
      </c>
      <c r="AH1007" s="27">
        <f>IF(AQ1007="0",BJ1007,0)</f>
        <v>0</v>
      </c>
      <c r="AI1007" s="9" t="s">
        <v>1387</v>
      </c>
      <c r="AJ1007" s="27">
        <f>IF(AN1007=0,K1007,0)</f>
        <v>0</v>
      </c>
      <c r="AK1007" s="27">
        <f>IF(AN1007=12,K1007,0)</f>
        <v>0</v>
      </c>
      <c r="AL1007" s="27">
        <f>IF(AN1007=21,K1007,0)</f>
        <v>0</v>
      </c>
      <c r="AN1007" s="27">
        <v>21</v>
      </c>
      <c r="AO1007" s="27">
        <f>H1007*0</f>
        <v>0</v>
      </c>
      <c r="AP1007" s="27">
        <f>H1007*(1-0)</f>
        <v>0</v>
      </c>
      <c r="AQ1007" s="29" t="s">
        <v>78</v>
      </c>
      <c r="AV1007" s="27">
        <f>AW1007+AX1007</f>
        <v>0</v>
      </c>
      <c r="AW1007" s="27">
        <f>G1007*AO1007</f>
        <v>0</v>
      </c>
      <c r="AX1007" s="27">
        <f>G1007*AP1007</f>
        <v>0</v>
      </c>
      <c r="AY1007" s="29" t="s">
        <v>952</v>
      </c>
      <c r="AZ1007" s="29" t="s">
        <v>1522</v>
      </c>
      <c r="BA1007" s="9" t="s">
        <v>1391</v>
      </c>
      <c r="BC1007" s="27">
        <f>AW1007+AX1007</f>
        <v>0</v>
      </c>
      <c r="BD1007" s="27">
        <f>H1007/(100-BE1007)*100</f>
        <v>0</v>
      </c>
      <c r="BE1007" s="27">
        <v>0</v>
      </c>
      <c r="BF1007" s="27">
        <f>1007</f>
        <v>1007</v>
      </c>
      <c r="BH1007" s="27">
        <f>G1007*AO1007</f>
        <v>0</v>
      </c>
      <c r="BI1007" s="27">
        <f>G1007*AP1007</f>
        <v>0</v>
      </c>
      <c r="BJ1007" s="27">
        <f>G1007*H1007</f>
        <v>0</v>
      </c>
      <c r="BK1007" s="27"/>
      <c r="BL1007" s="27">
        <v>766</v>
      </c>
      <c r="BW1007" s="27">
        <v>21</v>
      </c>
    </row>
    <row r="1008" spans="1:12" ht="15">
      <c r="A1008" s="52"/>
      <c r="B1008" s="53"/>
      <c r="C1008" s="53"/>
      <c r="D1008" s="54" t="s">
        <v>954</v>
      </c>
      <c r="E1008" s="55" t="s">
        <v>52</v>
      </c>
      <c r="F1008" s="53"/>
      <c r="G1008" s="56">
        <v>191.85</v>
      </c>
      <c r="H1008" s="53"/>
      <c r="I1008" s="53"/>
      <c r="J1008" s="53"/>
      <c r="K1008" s="53"/>
      <c r="L1008" s="57"/>
    </row>
    <row r="1009" spans="1:47" ht="15">
      <c r="A1009" s="93" t="s">
        <v>52</v>
      </c>
      <c r="B1009" s="94" t="s">
        <v>1387</v>
      </c>
      <c r="C1009" s="94" t="s">
        <v>250</v>
      </c>
      <c r="D1009" s="193" t="s">
        <v>251</v>
      </c>
      <c r="E1009" s="194"/>
      <c r="F1009" s="95" t="s">
        <v>4</v>
      </c>
      <c r="G1009" s="95" t="s">
        <v>4</v>
      </c>
      <c r="H1009" s="95" t="s">
        <v>4</v>
      </c>
      <c r="I1009" s="96">
        <f>SUM(I1010:I1014)</f>
        <v>0</v>
      </c>
      <c r="J1009" s="96">
        <f>SUM(J1010:J1014)</f>
        <v>0</v>
      </c>
      <c r="K1009" s="96">
        <f>SUM(K1010:K1014)</f>
        <v>0</v>
      </c>
      <c r="L1009" s="97" t="s">
        <v>52</v>
      </c>
      <c r="AI1009" s="9" t="s">
        <v>1387</v>
      </c>
      <c r="AS1009" s="1">
        <f>SUM(AJ1010:AJ1014)</f>
        <v>0</v>
      </c>
      <c r="AT1009" s="1">
        <f>SUM(AK1010:AK1014)</f>
        <v>0</v>
      </c>
      <c r="AU1009" s="1">
        <f>SUM(AL1010:AL1014)</f>
        <v>0</v>
      </c>
    </row>
    <row r="1010" spans="1:75" ht="13.5" customHeight="1">
      <c r="A1010" s="2" t="s">
        <v>1570</v>
      </c>
      <c r="B1010" s="3" t="s">
        <v>1387</v>
      </c>
      <c r="C1010" s="3" t="s">
        <v>1571</v>
      </c>
      <c r="D1010" s="148" t="s">
        <v>1572</v>
      </c>
      <c r="E1010" s="143"/>
      <c r="F1010" s="3" t="s">
        <v>109</v>
      </c>
      <c r="G1010" s="27">
        <v>43</v>
      </c>
      <c r="H1010" s="27">
        <v>0</v>
      </c>
      <c r="I1010" s="27">
        <f>G1010*AO1010</f>
        <v>0</v>
      </c>
      <c r="J1010" s="27">
        <f>G1010*AP1010</f>
        <v>0</v>
      </c>
      <c r="K1010" s="27">
        <f>G1010*H1010</f>
        <v>0</v>
      </c>
      <c r="L1010" s="28" t="s">
        <v>137</v>
      </c>
      <c r="Z1010" s="27">
        <f>IF(AQ1010="5",BJ1010,0)</f>
        <v>0</v>
      </c>
      <c r="AB1010" s="27">
        <f>IF(AQ1010="1",BH1010,0)</f>
        <v>0</v>
      </c>
      <c r="AC1010" s="27">
        <f>IF(AQ1010="1",BI1010,0)</f>
        <v>0</v>
      </c>
      <c r="AD1010" s="27">
        <f>IF(AQ1010="7",BH1010,0)</f>
        <v>0</v>
      </c>
      <c r="AE1010" s="27">
        <f>IF(AQ1010="7",BI1010,0)</f>
        <v>0</v>
      </c>
      <c r="AF1010" s="27">
        <f>IF(AQ1010="2",BH1010,0)</f>
        <v>0</v>
      </c>
      <c r="AG1010" s="27">
        <f>IF(AQ1010="2",BI1010,0)</f>
        <v>0</v>
      </c>
      <c r="AH1010" s="27">
        <f>IF(AQ1010="0",BJ1010,0)</f>
        <v>0</v>
      </c>
      <c r="AI1010" s="9" t="s">
        <v>1387</v>
      </c>
      <c r="AJ1010" s="27">
        <f>IF(AN1010=0,K1010,0)</f>
        <v>0</v>
      </c>
      <c r="AK1010" s="27">
        <f>IF(AN1010=12,K1010,0)</f>
        <v>0</v>
      </c>
      <c r="AL1010" s="27">
        <f>IF(AN1010=21,K1010,0)</f>
        <v>0</v>
      </c>
      <c r="AN1010" s="27">
        <v>21</v>
      </c>
      <c r="AO1010" s="27">
        <f>H1010*0.774936494</f>
        <v>0</v>
      </c>
      <c r="AP1010" s="27">
        <f>H1010*(1-0.774936494)</f>
        <v>0</v>
      </c>
      <c r="AQ1010" s="29" t="s">
        <v>84</v>
      </c>
      <c r="AV1010" s="27">
        <f>AW1010+AX1010</f>
        <v>0</v>
      </c>
      <c r="AW1010" s="27">
        <f>G1010*AO1010</f>
        <v>0</v>
      </c>
      <c r="AX1010" s="27">
        <f>G1010*AP1010</f>
        <v>0</v>
      </c>
      <c r="AY1010" s="29" t="s">
        <v>255</v>
      </c>
      <c r="AZ1010" s="29" t="s">
        <v>1522</v>
      </c>
      <c r="BA1010" s="9" t="s">
        <v>1391</v>
      </c>
      <c r="BC1010" s="27">
        <f>AW1010+AX1010</f>
        <v>0</v>
      </c>
      <c r="BD1010" s="27">
        <f>H1010/(100-BE1010)*100</f>
        <v>0</v>
      </c>
      <c r="BE1010" s="27">
        <v>0</v>
      </c>
      <c r="BF1010" s="27">
        <f>1010</f>
        <v>1010</v>
      </c>
      <c r="BH1010" s="27">
        <f>G1010*AO1010</f>
        <v>0</v>
      </c>
      <c r="BI1010" s="27">
        <f>G1010*AP1010</f>
        <v>0</v>
      </c>
      <c r="BJ1010" s="27">
        <f>G1010*H1010</f>
        <v>0</v>
      </c>
      <c r="BK1010" s="27"/>
      <c r="BL1010" s="27">
        <v>767</v>
      </c>
      <c r="BW1010" s="27">
        <v>21</v>
      </c>
    </row>
    <row r="1011" spans="1:12" ht="13.5" customHeight="1">
      <c r="A1011" s="30"/>
      <c r="D1011" s="166" t="s">
        <v>1573</v>
      </c>
      <c r="E1011" s="167"/>
      <c r="F1011" s="167"/>
      <c r="G1011" s="167"/>
      <c r="H1011" s="167"/>
      <c r="I1011" s="167"/>
      <c r="J1011" s="167"/>
      <c r="K1011" s="167"/>
      <c r="L1011" s="168"/>
    </row>
    <row r="1012" spans="1:12" ht="15">
      <c r="A1012" s="30"/>
      <c r="D1012" s="32" t="s">
        <v>317</v>
      </c>
      <c r="E1012" s="31" t="s">
        <v>1574</v>
      </c>
      <c r="G1012" s="33">
        <v>43</v>
      </c>
      <c r="L1012" s="34"/>
    </row>
    <row r="1013" spans="1:12" ht="13.5" customHeight="1">
      <c r="A1013" s="30"/>
      <c r="C1013" s="35" t="s">
        <v>102</v>
      </c>
      <c r="D1013" s="166" t="s">
        <v>1575</v>
      </c>
      <c r="E1013" s="167"/>
      <c r="F1013" s="167"/>
      <c r="G1013" s="167"/>
      <c r="H1013" s="167"/>
      <c r="I1013" s="167"/>
      <c r="J1013" s="167"/>
      <c r="K1013" s="167"/>
      <c r="L1013" s="168"/>
    </row>
    <row r="1014" spans="1:75" ht="13.5" customHeight="1">
      <c r="A1014" s="2" t="s">
        <v>1576</v>
      </c>
      <c r="B1014" s="3" t="s">
        <v>1387</v>
      </c>
      <c r="C1014" s="3" t="s">
        <v>1577</v>
      </c>
      <c r="D1014" s="148" t="s">
        <v>1578</v>
      </c>
      <c r="E1014" s="143"/>
      <c r="F1014" s="3" t="s">
        <v>951</v>
      </c>
      <c r="G1014" s="27">
        <v>507.83</v>
      </c>
      <c r="H1014" s="27">
        <v>0</v>
      </c>
      <c r="I1014" s="27">
        <f>G1014*AO1014</f>
        <v>0</v>
      </c>
      <c r="J1014" s="27">
        <f>G1014*AP1014</f>
        <v>0</v>
      </c>
      <c r="K1014" s="27">
        <f>G1014*H1014</f>
        <v>0</v>
      </c>
      <c r="L1014" s="28" t="s">
        <v>137</v>
      </c>
      <c r="Z1014" s="27">
        <f>IF(AQ1014="5",BJ1014,0)</f>
        <v>0</v>
      </c>
      <c r="AB1014" s="27">
        <f>IF(AQ1014="1",BH1014,0)</f>
        <v>0</v>
      </c>
      <c r="AC1014" s="27">
        <f>IF(AQ1014="1",BI1014,0)</f>
        <v>0</v>
      </c>
      <c r="AD1014" s="27">
        <f>IF(AQ1014="7",BH1014,0)</f>
        <v>0</v>
      </c>
      <c r="AE1014" s="27">
        <f>IF(AQ1014="7",BI1014,0)</f>
        <v>0</v>
      </c>
      <c r="AF1014" s="27">
        <f>IF(AQ1014="2",BH1014,0)</f>
        <v>0</v>
      </c>
      <c r="AG1014" s="27">
        <f>IF(AQ1014="2",BI1014,0)</f>
        <v>0</v>
      </c>
      <c r="AH1014" s="27">
        <f>IF(AQ1014="0",BJ1014,0)</f>
        <v>0</v>
      </c>
      <c r="AI1014" s="9" t="s">
        <v>1387</v>
      </c>
      <c r="AJ1014" s="27">
        <f>IF(AN1014=0,K1014,0)</f>
        <v>0</v>
      </c>
      <c r="AK1014" s="27">
        <f>IF(AN1014=12,K1014,0)</f>
        <v>0</v>
      </c>
      <c r="AL1014" s="27">
        <f>IF(AN1014=21,K1014,0)</f>
        <v>0</v>
      </c>
      <c r="AN1014" s="27">
        <v>21</v>
      </c>
      <c r="AO1014" s="27">
        <f>H1014*0</f>
        <v>0</v>
      </c>
      <c r="AP1014" s="27">
        <f>H1014*(1-0)</f>
        <v>0</v>
      </c>
      <c r="AQ1014" s="29" t="s">
        <v>78</v>
      </c>
      <c r="AV1014" s="27">
        <f>AW1014+AX1014</f>
        <v>0</v>
      </c>
      <c r="AW1014" s="27">
        <f>G1014*AO1014</f>
        <v>0</v>
      </c>
      <c r="AX1014" s="27">
        <f>G1014*AP1014</f>
        <v>0</v>
      </c>
      <c r="AY1014" s="29" t="s">
        <v>255</v>
      </c>
      <c r="AZ1014" s="29" t="s">
        <v>1522</v>
      </c>
      <c r="BA1014" s="9" t="s">
        <v>1391</v>
      </c>
      <c r="BC1014" s="27">
        <f>AW1014+AX1014</f>
        <v>0</v>
      </c>
      <c r="BD1014" s="27">
        <f>H1014/(100-BE1014)*100</f>
        <v>0</v>
      </c>
      <c r="BE1014" s="27">
        <v>0</v>
      </c>
      <c r="BF1014" s="27">
        <f>1014</f>
        <v>1014</v>
      </c>
      <c r="BH1014" s="27">
        <f>G1014*AO1014</f>
        <v>0</v>
      </c>
      <c r="BI1014" s="27">
        <f>G1014*AP1014</f>
        <v>0</v>
      </c>
      <c r="BJ1014" s="27">
        <f>G1014*H1014</f>
        <v>0</v>
      </c>
      <c r="BK1014" s="27"/>
      <c r="BL1014" s="27">
        <v>767</v>
      </c>
      <c r="BW1014" s="27">
        <v>21</v>
      </c>
    </row>
    <row r="1015" spans="1:12" ht="15">
      <c r="A1015" s="98"/>
      <c r="D1015" s="105" t="s">
        <v>1579</v>
      </c>
      <c r="E1015" s="100" t="s">
        <v>52</v>
      </c>
      <c r="G1015" s="106">
        <v>507.83</v>
      </c>
      <c r="L1015" s="107"/>
    </row>
    <row r="1016" spans="1:47" ht="15">
      <c r="A1016" s="70" t="s">
        <v>52</v>
      </c>
      <c r="B1016" s="71" t="s">
        <v>1387</v>
      </c>
      <c r="C1016" s="71" t="s">
        <v>968</v>
      </c>
      <c r="D1016" s="183" t="s">
        <v>969</v>
      </c>
      <c r="E1016" s="184"/>
      <c r="F1016" s="72" t="s">
        <v>4</v>
      </c>
      <c r="G1016" s="72" t="s">
        <v>4</v>
      </c>
      <c r="H1016" s="72" t="s">
        <v>4</v>
      </c>
      <c r="I1016" s="73">
        <f>SUM(I1017:I1051)</f>
        <v>0</v>
      </c>
      <c r="J1016" s="73">
        <f>SUM(J1017:J1051)</f>
        <v>0</v>
      </c>
      <c r="K1016" s="73">
        <f>SUM(K1017:K1051)</f>
        <v>0</v>
      </c>
      <c r="L1016" s="74" t="s">
        <v>52</v>
      </c>
      <c r="AI1016" s="9" t="s">
        <v>1387</v>
      </c>
      <c r="AS1016" s="1">
        <f>SUM(AJ1017:AJ1051)</f>
        <v>0</v>
      </c>
      <c r="AT1016" s="1">
        <f>SUM(AK1017:AK1051)</f>
        <v>0</v>
      </c>
      <c r="AU1016" s="1">
        <f>SUM(AL1017:AL1051)</f>
        <v>0</v>
      </c>
    </row>
    <row r="1017" spans="1:75" ht="13.5" customHeight="1">
      <c r="A1017" s="66" t="s">
        <v>1580</v>
      </c>
      <c r="B1017" s="67" t="s">
        <v>1387</v>
      </c>
      <c r="C1017" s="67" t="s">
        <v>971</v>
      </c>
      <c r="D1017" s="181" t="s">
        <v>972</v>
      </c>
      <c r="E1017" s="182"/>
      <c r="F1017" s="67" t="s">
        <v>126</v>
      </c>
      <c r="G1017" s="68">
        <v>35.72</v>
      </c>
      <c r="H1017" s="68">
        <v>0</v>
      </c>
      <c r="I1017" s="68">
        <f>G1017*AO1017</f>
        <v>0</v>
      </c>
      <c r="J1017" s="68">
        <f>G1017*AP1017</f>
        <v>0</v>
      </c>
      <c r="K1017" s="68">
        <f>G1017*H1017</f>
        <v>0</v>
      </c>
      <c r="L1017" s="69" t="s">
        <v>137</v>
      </c>
      <c r="Z1017" s="27">
        <f>IF(AQ1017="5",BJ1017,0)</f>
        <v>0</v>
      </c>
      <c r="AB1017" s="27">
        <f>IF(AQ1017="1",BH1017,0)</f>
        <v>0</v>
      </c>
      <c r="AC1017" s="27">
        <f>IF(AQ1017="1",BI1017,0)</f>
        <v>0</v>
      </c>
      <c r="AD1017" s="27">
        <f>IF(AQ1017="7",BH1017,0)</f>
        <v>0</v>
      </c>
      <c r="AE1017" s="27">
        <f>IF(AQ1017="7",BI1017,0)</f>
        <v>0</v>
      </c>
      <c r="AF1017" s="27">
        <f>IF(AQ1017="2",BH1017,0)</f>
        <v>0</v>
      </c>
      <c r="AG1017" s="27">
        <f>IF(AQ1017="2",BI1017,0)</f>
        <v>0</v>
      </c>
      <c r="AH1017" s="27">
        <f>IF(AQ1017="0",BJ1017,0)</f>
        <v>0</v>
      </c>
      <c r="AI1017" s="9" t="s">
        <v>1387</v>
      </c>
      <c r="AJ1017" s="27">
        <f>IF(AN1017=0,K1017,0)</f>
        <v>0</v>
      </c>
      <c r="AK1017" s="27">
        <f>IF(AN1017=12,K1017,0)</f>
        <v>0</v>
      </c>
      <c r="AL1017" s="27">
        <f>IF(AN1017=21,K1017,0)</f>
        <v>0</v>
      </c>
      <c r="AN1017" s="27">
        <v>21</v>
      </c>
      <c r="AO1017" s="27">
        <f>H1017*0</f>
        <v>0</v>
      </c>
      <c r="AP1017" s="27">
        <f>H1017*(1-0)</f>
        <v>0</v>
      </c>
      <c r="AQ1017" s="29" t="s">
        <v>84</v>
      </c>
      <c r="AV1017" s="27">
        <f>AW1017+AX1017</f>
        <v>0</v>
      </c>
      <c r="AW1017" s="27">
        <f>G1017*AO1017</f>
        <v>0</v>
      </c>
      <c r="AX1017" s="27">
        <f>G1017*AP1017</f>
        <v>0</v>
      </c>
      <c r="AY1017" s="29" t="s">
        <v>973</v>
      </c>
      <c r="AZ1017" s="29" t="s">
        <v>1581</v>
      </c>
      <c r="BA1017" s="9" t="s">
        <v>1391</v>
      </c>
      <c r="BC1017" s="27">
        <f>AW1017+AX1017</f>
        <v>0</v>
      </c>
      <c r="BD1017" s="27">
        <f>H1017/(100-BE1017)*100</f>
        <v>0</v>
      </c>
      <c r="BE1017" s="27">
        <v>0</v>
      </c>
      <c r="BF1017" s="27">
        <f>1017</f>
        <v>1017</v>
      </c>
      <c r="BH1017" s="27">
        <f>G1017*AO1017</f>
        <v>0</v>
      </c>
      <c r="BI1017" s="27">
        <f>G1017*AP1017</f>
        <v>0</v>
      </c>
      <c r="BJ1017" s="27">
        <f>G1017*H1017</f>
        <v>0</v>
      </c>
      <c r="BK1017" s="27"/>
      <c r="BL1017" s="27">
        <v>776</v>
      </c>
      <c r="BW1017" s="27">
        <v>21</v>
      </c>
    </row>
    <row r="1018" spans="1:12" ht="13.5" customHeight="1">
      <c r="A1018" s="45"/>
      <c r="D1018" s="173" t="s">
        <v>975</v>
      </c>
      <c r="E1018" s="174"/>
      <c r="F1018" s="174"/>
      <c r="G1018" s="174"/>
      <c r="H1018" s="174"/>
      <c r="I1018" s="174"/>
      <c r="J1018" s="174"/>
      <c r="K1018" s="174"/>
      <c r="L1018" s="175"/>
    </row>
    <row r="1019" spans="1:12" ht="15">
      <c r="A1019" s="46"/>
      <c r="B1019" s="47"/>
      <c r="C1019" s="47"/>
      <c r="D1019" s="48" t="s">
        <v>1582</v>
      </c>
      <c r="E1019" s="49" t="s">
        <v>1583</v>
      </c>
      <c r="F1019" s="47"/>
      <c r="G1019" s="50">
        <v>35.72</v>
      </c>
      <c r="H1019" s="47"/>
      <c r="I1019" s="47"/>
      <c r="J1019" s="47"/>
      <c r="K1019" s="47"/>
      <c r="L1019" s="51"/>
    </row>
    <row r="1020" spans="1:75" ht="13.5" customHeight="1">
      <c r="A1020" s="66" t="s">
        <v>1584</v>
      </c>
      <c r="B1020" s="67" t="s">
        <v>1387</v>
      </c>
      <c r="C1020" s="67" t="s">
        <v>977</v>
      </c>
      <c r="D1020" s="181" t="s">
        <v>978</v>
      </c>
      <c r="E1020" s="182"/>
      <c r="F1020" s="67" t="s">
        <v>109</v>
      </c>
      <c r="G1020" s="68">
        <v>42.19</v>
      </c>
      <c r="H1020" s="68">
        <v>0</v>
      </c>
      <c r="I1020" s="68">
        <f>G1020*AO1020</f>
        <v>0</v>
      </c>
      <c r="J1020" s="68">
        <f>G1020*AP1020</f>
        <v>0</v>
      </c>
      <c r="K1020" s="68">
        <f>G1020*H1020</f>
        <v>0</v>
      </c>
      <c r="L1020" s="69" t="s">
        <v>137</v>
      </c>
      <c r="Z1020" s="27">
        <f>IF(AQ1020="5",BJ1020,0)</f>
        <v>0</v>
      </c>
      <c r="AB1020" s="27">
        <f>IF(AQ1020="1",BH1020,0)</f>
        <v>0</v>
      </c>
      <c r="AC1020" s="27">
        <f>IF(AQ1020="1",BI1020,0)</f>
        <v>0</v>
      </c>
      <c r="AD1020" s="27">
        <f>IF(AQ1020="7",BH1020,0)</f>
        <v>0</v>
      </c>
      <c r="AE1020" s="27">
        <f>IF(AQ1020="7",BI1020,0)</f>
        <v>0</v>
      </c>
      <c r="AF1020" s="27">
        <f>IF(AQ1020="2",BH1020,0)</f>
        <v>0</v>
      </c>
      <c r="AG1020" s="27">
        <f>IF(AQ1020="2",BI1020,0)</f>
        <v>0</v>
      </c>
      <c r="AH1020" s="27">
        <f>IF(AQ1020="0",BJ1020,0)</f>
        <v>0</v>
      </c>
      <c r="AI1020" s="9" t="s">
        <v>1387</v>
      </c>
      <c r="AJ1020" s="27">
        <f>IF(AN1020=0,K1020,0)</f>
        <v>0</v>
      </c>
      <c r="AK1020" s="27">
        <f>IF(AN1020=12,K1020,0)</f>
        <v>0</v>
      </c>
      <c r="AL1020" s="27">
        <f>IF(AN1020=21,K1020,0)</f>
        <v>0</v>
      </c>
      <c r="AN1020" s="27">
        <v>21</v>
      </c>
      <c r="AO1020" s="27">
        <f>H1020*0</f>
        <v>0</v>
      </c>
      <c r="AP1020" s="27">
        <f>H1020*(1-0)</f>
        <v>0</v>
      </c>
      <c r="AQ1020" s="29" t="s">
        <v>84</v>
      </c>
      <c r="AV1020" s="27">
        <f>AW1020+AX1020</f>
        <v>0</v>
      </c>
      <c r="AW1020" s="27">
        <f>G1020*AO1020</f>
        <v>0</v>
      </c>
      <c r="AX1020" s="27">
        <f>G1020*AP1020</f>
        <v>0</v>
      </c>
      <c r="AY1020" s="29" t="s">
        <v>973</v>
      </c>
      <c r="AZ1020" s="29" t="s">
        <v>1581</v>
      </c>
      <c r="BA1020" s="9" t="s">
        <v>1391</v>
      </c>
      <c r="BC1020" s="27">
        <f>AW1020+AX1020</f>
        <v>0</v>
      </c>
      <c r="BD1020" s="27">
        <f>H1020/(100-BE1020)*100</f>
        <v>0</v>
      </c>
      <c r="BE1020" s="27">
        <v>0</v>
      </c>
      <c r="BF1020" s="27">
        <f>1020</f>
        <v>1020</v>
      </c>
      <c r="BH1020" s="27">
        <f>G1020*AO1020</f>
        <v>0</v>
      </c>
      <c r="BI1020" s="27">
        <f>G1020*AP1020</f>
        <v>0</v>
      </c>
      <c r="BJ1020" s="27">
        <f>G1020*H1020</f>
        <v>0</v>
      </c>
      <c r="BK1020" s="27"/>
      <c r="BL1020" s="27">
        <v>776</v>
      </c>
      <c r="BW1020" s="27">
        <v>21</v>
      </c>
    </row>
    <row r="1021" spans="1:12" ht="27" customHeight="1">
      <c r="A1021" s="45"/>
      <c r="D1021" s="173" t="s">
        <v>979</v>
      </c>
      <c r="E1021" s="174"/>
      <c r="F1021" s="174"/>
      <c r="G1021" s="174"/>
      <c r="H1021" s="174"/>
      <c r="I1021" s="174"/>
      <c r="J1021" s="174"/>
      <c r="K1021" s="174"/>
      <c r="L1021" s="175"/>
    </row>
    <row r="1022" spans="1:12" ht="15">
      <c r="A1022" s="46"/>
      <c r="B1022" s="47"/>
      <c r="C1022" s="47"/>
      <c r="D1022" s="48" t="s">
        <v>1453</v>
      </c>
      <c r="E1022" s="49" t="s">
        <v>1583</v>
      </c>
      <c r="F1022" s="47"/>
      <c r="G1022" s="50">
        <v>42.19</v>
      </c>
      <c r="H1022" s="47"/>
      <c r="I1022" s="47"/>
      <c r="J1022" s="47"/>
      <c r="K1022" s="47"/>
      <c r="L1022" s="51"/>
    </row>
    <row r="1023" spans="1:75" ht="13.5" customHeight="1">
      <c r="A1023" s="66" t="s">
        <v>1585</v>
      </c>
      <c r="B1023" s="67" t="s">
        <v>1387</v>
      </c>
      <c r="C1023" s="67" t="s">
        <v>993</v>
      </c>
      <c r="D1023" s="181" t="s">
        <v>994</v>
      </c>
      <c r="E1023" s="182"/>
      <c r="F1023" s="67" t="s">
        <v>109</v>
      </c>
      <c r="G1023" s="68">
        <v>43.874</v>
      </c>
      <c r="H1023" s="68">
        <v>0</v>
      </c>
      <c r="I1023" s="68">
        <f>G1023*AO1023</f>
        <v>0</v>
      </c>
      <c r="J1023" s="68">
        <f>G1023*AP1023</f>
        <v>0</v>
      </c>
      <c r="K1023" s="68">
        <f>G1023*H1023</f>
        <v>0</v>
      </c>
      <c r="L1023" s="69" t="s">
        <v>137</v>
      </c>
      <c r="Z1023" s="27">
        <f>IF(AQ1023="5",BJ1023,0)</f>
        <v>0</v>
      </c>
      <c r="AB1023" s="27">
        <f>IF(AQ1023="1",BH1023,0)</f>
        <v>0</v>
      </c>
      <c r="AC1023" s="27">
        <f>IF(AQ1023="1",BI1023,0)</f>
        <v>0</v>
      </c>
      <c r="AD1023" s="27">
        <f>IF(AQ1023="7",BH1023,0)</f>
        <v>0</v>
      </c>
      <c r="AE1023" s="27">
        <f>IF(AQ1023="7",BI1023,0)</f>
        <v>0</v>
      </c>
      <c r="AF1023" s="27">
        <f>IF(AQ1023="2",BH1023,0)</f>
        <v>0</v>
      </c>
      <c r="AG1023" s="27">
        <f>IF(AQ1023="2",BI1023,0)</f>
        <v>0</v>
      </c>
      <c r="AH1023" s="27">
        <f>IF(AQ1023="0",BJ1023,0)</f>
        <v>0</v>
      </c>
      <c r="AI1023" s="9" t="s">
        <v>1387</v>
      </c>
      <c r="AJ1023" s="27">
        <f>IF(AN1023=0,K1023,0)</f>
        <v>0</v>
      </c>
      <c r="AK1023" s="27">
        <f>IF(AN1023=12,K1023,0)</f>
        <v>0</v>
      </c>
      <c r="AL1023" s="27">
        <f>IF(AN1023=21,K1023,0)</f>
        <v>0</v>
      </c>
      <c r="AN1023" s="27">
        <v>21</v>
      </c>
      <c r="AO1023" s="27">
        <f>H1023*0</f>
        <v>0</v>
      </c>
      <c r="AP1023" s="27">
        <f>H1023*(1-0)</f>
        <v>0</v>
      </c>
      <c r="AQ1023" s="29" t="s">
        <v>84</v>
      </c>
      <c r="AV1023" s="27">
        <f>AW1023+AX1023</f>
        <v>0</v>
      </c>
      <c r="AW1023" s="27">
        <f>G1023*AO1023</f>
        <v>0</v>
      </c>
      <c r="AX1023" s="27">
        <f>G1023*AP1023</f>
        <v>0</v>
      </c>
      <c r="AY1023" s="29" t="s">
        <v>973</v>
      </c>
      <c r="AZ1023" s="29" t="s">
        <v>1581</v>
      </c>
      <c r="BA1023" s="9" t="s">
        <v>1391</v>
      </c>
      <c r="BC1023" s="27">
        <f>AW1023+AX1023</f>
        <v>0</v>
      </c>
      <c r="BD1023" s="27">
        <f>H1023/(100-BE1023)*100</f>
        <v>0</v>
      </c>
      <c r="BE1023" s="27">
        <v>0</v>
      </c>
      <c r="BF1023" s="27">
        <f>1023</f>
        <v>1023</v>
      </c>
      <c r="BH1023" s="27">
        <f>G1023*AO1023</f>
        <v>0</v>
      </c>
      <c r="BI1023" s="27">
        <f>G1023*AP1023</f>
        <v>0</v>
      </c>
      <c r="BJ1023" s="27">
        <f>G1023*H1023</f>
        <v>0</v>
      </c>
      <c r="BK1023" s="27"/>
      <c r="BL1023" s="27">
        <v>776</v>
      </c>
      <c r="BW1023" s="27">
        <v>21</v>
      </c>
    </row>
    <row r="1024" spans="1:12" ht="15">
      <c r="A1024" s="52"/>
      <c r="B1024" s="53"/>
      <c r="C1024" s="53"/>
      <c r="D1024" s="54" t="s">
        <v>1430</v>
      </c>
      <c r="E1024" s="55" t="s">
        <v>1447</v>
      </c>
      <c r="F1024" s="53"/>
      <c r="G1024" s="56">
        <v>42.99</v>
      </c>
      <c r="H1024" s="53"/>
      <c r="I1024" s="53"/>
      <c r="J1024" s="53"/>
      <c r="K1024" s="53"/>
      <c r="L1024" s="57"/>
    </row>
    <row r="1025" spans="1:12" ht="15">
      <c r="A1025" s="52"/>
      <c r="B1025" s="53"/>
      <c r="C1025" s="53"/>
      <c r="D1025" s="54" t="s">
        <v>1586</v>
      </c>
      <c r="E1025" s="55" t="s">
        <v>1587</v>
      </c>
      <c r="F1025" s="53"/>
      <c r="G1025" s="56">
        <v>0.884</v>
      </c>
      <c r="H1025" s="53"/>
      <c r="I1025" s="53"/>
      <c r="J1025" s="53"/>
      <c r="K1025" s="53"/>
      <c r="L1025" s="57"/>
    </row>
    <row r="1026" spans="1:75" ht="13.5" customHeight="1">
      <c r="A1026" s="66" t="s">
        <v>1588</v>
      </c>
      <c r="B1026" s="67" t="s">
        <v>1387</v>
      </c>
      <c r="C1026" s="67" t="s">
        <v>1005</v>
      </c>
      <c r="D1026" s="181" t="s">
        <v>1006</v>
      </c>
      <c r="E1026" s="182"/>
      <c r="F1026" s="67" t="s">
        <v>109</v>
      </c>
      <c r="G1026" s="68">
        <v>43.874</v>
      </c>
      <c r="H1026" s="68">
        <v>0</v>
      </c>
      <c r="I1026" s="68">
        <f>G1026*AO1026</f>
        <v>0</v>
      </c>
      <c r="J1026" s="68">
        <f>G1026*AP1026</f>
        <v>0</v>
      </c>
      <c r="K1026" s="68">
        <f>G1026*H1026</f>
        <v>0</v>
      </c>
      <c r="L1026" s="69" t="s">
        <v>137</v>
      </c>
      <c r="Z1026" s="27">
        <f>IF(AQ1026="5",BJ1026,0)</f>
        <v>0</v>
      </c>
      <c r="AB1026" s="27">
        <f>IF(AQ1026="1",BH1026,0)</f>
        <v>0</v>
      </c>
      <c r="AC1026" s="27">
        <f>IF(AQ1026="1",BI1026,0)</f>
        <v>0</v>
      </c>
      <c r="AD1026" s="27">
        <f>IF(AQ1026="7",BH1026,0)</f>
        <v>0</v>
      </c>
      <c r="AE1026" s="27">
        <f>IF(AQ1026="7",BI1026,0)</f>
        <v>0</v>
      </c>
      <c r="AF1026" s="27">
        <f>IF(AQ1026="2",BH1026,0)</f>
        <v>0</v>
      </c>
      <c r="AG1026" s="27">
        <f>IF(AQ1026="2",BI1026,0)</f>
        <v>0</v>
      </c>
      <c r="AH1026" s="27">
        <f>IF(AQ1026="0",BJ1026,0)</f>
        <v>0</v>
      </c>
      <c r="AI1026" s="9" t="s">
        <v>1387</v>
      </c>
      <c r="AJ1026" s="27">
        <f>IF(AN1026=0,K1026,0)</f>
        <v>0</v>
      </c>
      <c r="AK1026" s="27">
        <f>IF(AN1026=12,K1026,0)</f>
        <v>0</v>
      </c>
      <c r="AL1026" s="27">
        <f>IF(AN1026=21,K1026,0)</f>
        <v>0</v>
      </c>
      <c r="AN1026" s="27">
        <v>21</v>
      </c>
      <c r="AO1026" s="27">
        <f>H1026*0.313878042</f>
        <v>0</v>
      </c>
      <c r="AP1026" s="27">
        <f>H1026*(1-0.313878042)</f>
        <v>0</v>
      </c>
      <c r="AQ1026" s="29" t="s">
        <v>84</v>
      </c>
      <c r="AV1026" s="27">
        <f>AW1026+AX1026</f>
        <v>0</v>
      </c>
      <c r="AW1026" s="27">
        <f>G1026*AO1026</f>
        <v>0</v>
      </c>
      <c r="AX1026" s="27">
        <f>G1026*AP1026</f>
        <v>0</v>
      </c>
      <c r="AY1026" s="29" t="s">
        <v>973</v>
      </c>
      <c r="AZ1026" s="29" t="s">
        <v>1581</v>
      </c>
      <c r="BA1026" s="9" t="s">
        <v>1391</v>
      </c>
      <c r="BC1026" s="27">
        <f>AW1026+AX1026</f>
        <v>0</v>
      </c>
      <c r="BD1026" s="27">
        <f>H1026/(100-BE1026)*100</f>
        <v>0</v>
      </c>
      <c r="BE1026" s="27">
        <v>0</v>
      </c>
      <c r="BF1026" s="27">
        <f>1026</f>
        <v>1026</v>
      </c>
      <c r="BH1026" s="27">
        <f>G1026*AO1026</f>
        <v>0</v>
      </c>
      <c r="BI1026" s="27">
        <f>G1026*AP1026</f>
        <v>0</v>
      </c>
      <c r="BJ1026" s="27">
        <f>G1026*H1026</f>
        <v>0</v>
      </c>
      <c r="BK1026" s="27"/>
      <c r="BL1026" s="27">
        <v>776</v>
      </c>
      <c r="BW1026" s="27">
        <v>21</v>
      </c>
    </row>
    <row r="1027" spans="1:12" ht="13.5" customHeight="1">
      <c r="A1027" s="45"/>
      <c r="D1027" s="173" t="s">
        <v>1007</v>
      </c>
      <c r="E1027" s="174"/>
      <c r="F1027" s="174"/>
      <c r="G1027" s="174"/>
      <c r="H1027" s="174"/>
      <c r="I1027" s="174"/>
      <c r="J1027" s="174"/>
      <c r="K1027" s="174"/>
      <c r="L1027" s="175"/>
    </row>
    <row r="1028" spans="1:12" ht="15">
      <c r="A1028" s="46"/>
      <c r="B1028" s="47"/>
      <c r="C1028" s="47"/>
      <c r="D1028" s="48" t="s">
        <v>1430</v>
      </c>
      <c r="E1028" s="49" t="s">
        <v>1447</v>
      </c>
      <c r="F1028" s="47"/>
      <c r="G1028" s="50">
        <v>42.99</v>
      </c>
      <c r="H1028" s="47"/>
      <c r="I1028" s="47"/>
      <c r="J1028" s="47"/>
      <c r="K1028" s="47"/>
      <c r="L1028" s="51"/>
    </row>
    <row r="1029" spans="1:12" ht="15">
      <c r="A1029" s="52"/>
      <c r="B1029" s="53"/>
      <c r="C1029" s="53"/>
      <c r="D1029" s="54" t="s">
        <v>1586</v>
      </c>
      <c r="E1029" s="55" t="s">
        <v>1587</v>
      </c>
      <c r="F1029" s="53"/>
      <c r="G1029" s="56">
        <v>0.884</v>
      </c>
      <c r="H1029" s="53"/>
      <c r="I1029" s="53"/>
      <c r="J1029" s="53"/>
      <c r="K1029" s="53"/>
      <c r="L1029" s="57"/>
    </row>
    <row r="1030" spans="1:75" ht="13.5" customHeight="1">
      <c r="A1030" s="80" t="s">
        <v>1589</v>
      </c>
      <c r="B1030" s="81" t="s">
        <v>1387</v>
      </c>
      <c r="C1030" s="81" t="s">
        <v>1010</v>
      </c>
      <c r="D1030" s="187" t="s">
        <v>1011</v>
      </c>
      <c r="E1030" s="188"/>
      <c r="F1030" s="81" t="s">
        <v>109</v>
      </c>
      <c r="G1030" s="82">
        <v>46.0677</v>
      </c>
      <c r="H1030" s="82">
        <v>0</v>
      </c>
      <c r="I1030" s="82">
        <f>G1030*AO1030</f>
        <v>0</v>
      </c>
      <c r="J1030" s="82">
        <f>G1030*AP1030</f>
        <v>0</v>
      </c>
      <c r="K1030" s="82">
        <f>G1030*H1030</f>
        <v>0</v>
      </c>
      <c r="L1030" s="83" t="s">
        <v>137</v>
      </c>
      <c r="Z1030" s="27">
        <f>IF(AQ1030="5",BJ1030,0)</f>
        <v>0</v>
      </c>
      <c r="AB1030" s="27">
        <f>IF(AQ1030="1",BH1030,0)</f>
        <v>0</v>
      </c>
      <c r="AC1030" s="27">
        <f>IF(AQ1030="1",BI1030,0)</f>
        <v>0</v>
      </c>
      <c r="AD1030" s="27">
        <f>IF(AQ1030="7",BH1030,0)</f>
        <v>0</v>
      </c>
      <c r="AE1030" s="27">
        <f>IF(AQ1030="7",BI1030,0)</f>
        <v>0</v>
      </c>
      <c r="AF1030" s="27">
        <f>IF(AQ1030="2",BH1030,0)</f>
        <v>0</v>
      </c>
      <c r="AG1030" s="27">
        <f>IF(AQ1030="2",BI1030,0)</f>
        <v>0</v>
      </c>
      <c r="AH1030" s="27">
        <f>IF(AQ1030="0",BJ1030,0)</f>
        <v>0</v>
      </c>
      <c r="AI1030" s="9" t="s">
        <v>1387</v>
      </c>
      <c r="AJ1030" s="62">
        <f>IF(AN1030=0,K1030,0)</f>
        <v>0</v>
      </c>
      <c r="AK1030" s="62">
        <f>IF(AN1030=12,K1030,0)</f>
        <v>0</v>
      </c>
      <c r="AL1030" s="62">
        <f>IF(AN1030=21,K1030,0)</f>
        <v>0</v>
      </c>
      <c r="AN1030" s="27">
        <v>21</v>
      </c>
      <c r="AO1030" s="27">
        <f>H1030*1</f>
        <v>0</v>
      </c>
      <c r="AP1030" s="27">
        <f>H1030*(1-1)</f>
        <v>0</v>
      </c>
      <c r="AQ1030" s="64" t="s">
        <v>84</v>
      </c>
      <c r="AV1030" s="27">
        <f>AW1030+AX1030</f>
        <v>0</v>
      </c>
      <c r="AW1030" s="27">
        <f>G1030*AO1030</f>
        <v>0</v>
      </c>
      <c r="AX1030" s="27">
        <f>G1030*AP1030</f>
        <v>0</v>
      </c>
      <c r="AY1030" s="29" t="s">
        <v>973</v>
      </c>
      <c r="AZ1030" s="29" t="s">
        <v>1581</v>
      </c>
      <c r="BA1030" s="9" t="s">
        <v>1391</v>
      </c>
      <c r="BC1030" s="27">
        <f>AW1030+AX1030</f>
        <v>0</v>
      </c>
      <c r="BD1030" s="27">
        <f>H1030/(100-BE1030)*100</f>
        <v>0</v>
      </c>
      <c r="BE1030" s="27">
        <v>0</v>
      </c>
      <c r="BF1030" s="27">
        <f>1030</f>
        <v>1030</v>
      </c>
      <c r="BH1030" s="62">
        <f>G1030*AO1030</f>
        <v>0</v>
      </c>
      <c r="BI1030" s="62">
        <f>G1030*AP1030</f>
        <v>0</v>
      </c>
      <c r="BJ1030" s="62">
        <f>G1030*H1030</f>
        <v>0</v>
      </c>
      <c r="BK1030" s="62"/>
      <c r="BL1030" s="27">
        <v>776</v>
      </c>
      <c r="BW1030" s="27">
        <v>21</v>
      </c>
    </row>
    <row r="1031" spans="1:12" ht="15">
      <c r="A1031" s="52"/>
      <c r="B1031" s="53"/>
      <c r="C1031" s="53"/>
      <c r="D1031" s="54" t="s">
        <v>1430</v>
      </c>
      <c r="E1031" s="55" t="s">
        <v>1447</v>
      </c>
      <c r="F1031" s="53"/>
      <c r="G1031" s="56">
        <v>42.99</v>
      </c>
      <c r="H1031" s="53"/>
      <c r="I1031" s="53"/>
      <c r="J1031" s="53"/>
      <c r="K1031" s="53"/>
      <c r="L1031" s="57"/>
    </row>
    <row r="1032" spans="1:12" ht="15">
      <c r="A1032" s="52"/>
      <c r="B1032" s="53"/>
      <c r="C1032" s="53"/>
      <c r="D1032" s="54" t="s">
        <v>1586</v>
      </c>
      <c r="E1032" s="55" t="s">
        <v>1587</v>
      </c>
      <c r="F1032" s="53"/>
      <c r="G1032" s="56">
        <v>0.884</v>
      </c>
      <c r="H1032" s="53"/>
      <c r="I1032" s="53"/>
      <c r="J1032" s="53"/>
      <c r="K1032" s="53"/>
      <c r="L1032" s="57"/>
    </row>
    <row r="1033" spans="1:12" ht="15">
      <c r="A1033" s="52"/>
      <c r="B1033" s="53"/>
      <c r="C1033" s="53"/>
      <c r="D1033" s="54" t="s">
        <v>1590</v>
      </c>
      <c r="E1033" s="55" t="s">
        <v>52</v>
      </c>
      <c r="F1033" s="53"/>
      <c r="G1033" s="56">
        <v>2.1937</v>
      </c>
      <c r="H1033" s="53"/>
      <c r="I1033" s="53"/>
      <c r="J1033" s="53"/>
      <c r="K1033" s="53"/>
      <c r="L1033" s="57"/>
    </row>
    <row r="1034" spans="1:75" ht="13.5" customHeight="1">
      <c r="A1034" s="66" t="s">
        <v>1591</v>
      </c>
      <c r="B1034" s="67" t="s">
        <v>1387</v>
      </c>
      <c r="C1034" s="67" t="s">
        <v>1015</v>
      </c>
      <c r="D1034" s="181" t="s">
        <v>1016</v>
      </c>
      <c r="E1034" s="182"/>
      <c r="F1034" s="67" t="s">
        <v>126</v>
      </c>
      <c r="G1034" s="68">
        <v>25.72</v>
      </c>
      <c r="H1034" s="68">
        <v>0</v>
      </c>
      <c r="I1034" s="68">
        <f>G1034*AO1034</f>
        <v>0</v>
      </c>
      <c r="J1034" s="68">
        <f>G1034*AP1034</f>
        <v>0</v>
      </c>
      <c r="K1034" s="68">
        <f>G1034*H1034</f>
        <v>0</v>
      </c>
      <c r="L1034" s="69" t="s">
        <v>137</v>
      </c>
      <c r="Z1034" s="27">
        <f>IF(AQ1034="5",BJ1034,0)</f>
        <v>0</v>
      </c>
      <c r="AB1034" s="27">
        <f>IF(AQ1034="1",BH1034,0)</f>
        <v>0</v>
      </c>
      <c r="AC1034" s="27">
        <f>IF(AQ1034="1",BI1034,0)</f>
        <v>0</v>
      </c>
      <c r="AD1034" s="27">
        <f>IF(AQ1034="7",BH1034,0)</f>
        <v>0</v>
      </c>
      <c r="AE1034" s="27">
        <f>IF(AQ1034="7",BI1034,0)</f>
        <v>0</v>
      </c>
      <c r="AF1034" s="27">
        <f>IF(AQ1034="2",BH1034,0)</f>
        <v>0</v>
      </c>
      <c r="AG1034" s="27">
        <f>IF(AQ1034="2",BI1034,0)</f>
        <v>0</v>
      </c>
      <c r="AH1034" s="27">
        <f>IF(AQ1034="0",BJ1034,0)</f>
        <v>0</v>
      </c>
      <c r="AI1034" s="9" t="s">
        <v>1387</v>
      </c>
      <c r="AJ1034" s="27">
        <f>IF(AN1034=0,K1034,0)</f>
        <v>0</v>
      </c>
      <c r="AK1034" s="27">
        <f>IF(AN1034=12,K1034,0)</f>
        <v>0</v>
      </c>
      <c r="AL1034" s="27">
        <f>IF(AN1034=21,K1034,0)</f>
        <v>0</v>
      </c>
      <c r="AN1034" s="27">
        <v>21</v>
      </c>
      <c r="AO1034" s="27">
        <f>H1034*0.35575</f>
        <v>0</v>
      </c>
      <c r="AP1034" s="27">
        <f>H1034*(1-0.35575)</f>
        <v>0</v>
      </c>
      <c r="AQ1034" s="29" t="s">
        <v>84</v>
      </c>
      <c r="AV1034" s="27">
        <f>AW1034+AX1034</f>
        <v>0</v>
      </c>
      <c r="AW1034" s="27">
        <f>G1034*AO1034</f>
        <v>0</v>
      </c>
      <c r="AX1034" s="27">
        <f>G1034*AP1034</f>
        <v>0</v>
      </c>
      <c r="AY1034" s="29" t="s">
        <v>973</v>
      </c>
      <c r="AZ1034" s="29" t="s">
        <v>1581</v>
      </c>
      <c r="BA1034" s="9" t="s">
        <v>1391</v>
      </c>
      <c r="BC1034" s="27">
        <f>AW1034+AX1034</f>
        <v>0</v>
      </c>
      <c r="BD1034" s="27">
        <f>H1034/(100-BE1034)*100</f>
        <v>0</v>
      </c>
      <c r="BE1034" s="27">
        <v>0</v>
      </c>
      <c r="BF1034" s="27">
        <f>1034</f>
        <v>1034</v>
      </c>
      <c r="BH1034" s="27">
        <f>G1034*AO1034</f>
        <v>0</v>
      </c>
      <c r="BI1034" s="27">
        <f>G1034*AP1034</f>
        <v>0</v>
      </c>
      <c r="BJ1034" s="27">
        <f>G1034*H1034</f>
        <v>0</v>
      </c>
      <c r="BK1034" s="27"/>
      <c r="BL1034" s="27">
        <v>776</v>
      </c>
      <c r="BW1034" s="27">
        <v>21</v>
      </c>
    </row>
    <row r="1035" spans="1:12" ht="13.5" customHeight="1">
      <c r="A1035" s="45"/>
      <c r="D1035" s="173" t="s">
        <v>1017</v>
      </c>
      <c r="E1035" s="174"/>
      <c r="F1035" s="174"/>
      <c r="G1035" s="174"/>
      <c r="H1035" s="174"/>
      <c r="I1035" s="174"/>
      <c r="J1035" s="174"/>
      <c r="K1035" s="174"/>
      <c r="L1035" s="175"/>
    </row>
    <row r="1036" spans="1:12" ht="15">
      <c r="A1036" s="46"/>
      <c r="B1036" s="47"/>
      <c r="C1036" s="47"/>
      <c r="D1036" s="48" t="s">
        <v>1446</v>
      </c>
      <c r="E1036" s="49" t="s">
        <v>924</v>
      </c>
      <c r="F1036" s="47"/>
      <c r="G1036" s="50">
        <v>25.46</v>
      </c>
      <c r="H1036" s="47"/>
      <c r="I1036" s="47"/>
      <c r="J1036" s="47"/>
      <c r="K1036" s="47"/>
      <c r="L1036" s="51"/>
    </row>
    <row r="1037" spans="1:12" ht="15">
      <c r="A1037" s="52"/>
      <c r="B1037" s="53"/>
      <c r="C1037" s="53"/>
      <c r="D1037" s="54" t="s">
        <v>1592</v>
      </c>
      <c r="E1037" s="55" t="s">
        <v>1587</v>
      </c>
      <c r="F1037" s="53"/>
      <c r="G1037" s="56">
        <v>0.26</v>
      </c>
      <c r="H1037" s="53"/>
      <c r="I1037" s="53"/>
      <c r="J1037" s="53"/>
      <c r="K1037" s="53"/>
      <c r="L1037" s="57"/>
    </row>
    <row r="1038" spans="1:75" ht="13.5" customHeight="1">
      <c r="A1038" s="66" t="s">
        <v>1593</v>
      </c>
      <c r="B1038" s="67" t="s">
        <v>1387</v>
      </c>
      <c r="C1038" s="67" t="s">
        <v>1021</v>
      </c>
      <c r="D1038" s="181" t="s">
        <v>1022</v>
      </c>
      <c r="E1038" s="182"/>
      <c r="F1038" s="67" t="s">
        <v>126</v>
      </c>
      <c r="G1038" s="68">
        <v>0.8</v>
      </c>
      <c r="H1038" s="68">
        <v>0</v>
      </c>
      <c r="I1038" s="68">
        <f>G1038*AO1038</f>
        <v>0</v>
      </c>
      <c r="J1038" s="68">
        <f>G1038*AP1038</f>
        <v>0</v>
      </c>
      <c r="K1038" s="68">
        <f>G1038*H1038</f>
        <v>0</v>
      </c>
      <c r="L1038" s="69" t="s">
        <v>137</v>
      </c>
      <c r="Z1038" s="27">
        <f>IF(AQ1038="5",BJ1038,0)</f>
        <v>0</v>
      </c>
      <c r="AB1038" s="27">
        <f>IF(AQ1038="1",BH1038,0)</f>
        <v>0</v>
      </c>
      <c r="AC1038" s="27">
        <f>IF(AQ1038="1",BI1038,0)</f>
        <v>0</v>
      </c>
      <c r="AD1038" s="27">
        <f>IF(AQ1038="7",BH1038,0)</f>
        <v>0</v>
      </c>
      <c r="AE1038" s="27">
        <f>IF(AQ1038="7",BI1038,0)</f>
        <v>0</v>
      </c>
      <c r="AF1038" s="27">
        <f>IF(AQ1038="2",BH1038,0)</f>
        <v>0</v>
      </c>
      <c r="AG1038" s="27">
        <f>IF(AQ1038="2",BI1038,0)</f>
        <v>0</v>
      </c>
      <c r="AH1038" s="27">
        <f>IF(AQ1038="0",BJ1038,0)</f>
        <v>0</v>
      </c>
      <c r="AI1038" s="9" t="s">
        <v>1387</v>
      </c>
      <c r="AJ1038" s="27">
        <f>IF(AN1038=0,K1038,0)</f>
        <v>0</v>
      </c>
      <c r="AK1038" s="27">
        <f>IF(AN1038=12,K1038,0)</f>
        <v>0</v>
      </c>
      <c r="AL1038" s="27">
        <f>IF(AN1038=21,K1038,0)</f>
        <v>0</v>
      </c>
      <c r="AN1038" s="27">
        <v>21</v>
      </c>
      <c r="AO1038" s="27">
        <f>H1038*0.662874016</f>
        <v>0</v>
      </c>
      <c r="AP1038" s="27">
        <f>H1038*(1-0.662874016)</f>
        <v>0</v>
      </c>
      <c r="AQ1038" s="29" t="s">
        <v>84</v>
      </c>
      <c r="AV1038" s="27">
        <f>AW1038+AX1038</f>
        <v>0</v>
      </c>
      <c r="AW1038" s="27">
        <f>G1038*AO1038</f>
        <v>0</v>
      </c>
      <c r="AX1038" s="27">
        <f>G1038*AP1038</f>
        <v>0</v>
      </c>
      <c r="AY1038" s="29" t="s">
        <v>973</v>
      </c>
      <c r="AZ1038" s="29" t="s">
        <v>1581</v>
      </c>
      <c r="BA1038" s="9" t="s">
        <v>1391</v>
      </c>
      <c r="BC1038" s="27">
        <f>AW1038+AX1038</f>
        <v>0</v>
      </c>
      <c r="BD1038" s="27">
        <f>H1038/(100-BE1038)*100</f>
        <v>0</v>
      </c>
      <c r="BE1038" s="27">
        <v>0</v>
      </c>
      <c r="BF1038" s="27">
        <f>1038</f>
        <v>1038</v>
      </c>
      <c r="BH1038" s="27">
        <f>G1038*AO1038</f>
        <v>0</v>
      </c>
      <c r="BI1038" s="27">
        <f>G1038*AP1038</f>
        <v>0</v>
      </c>
      <c r="BJ1038" s="27">
        <f>G1038*H1038</f>
        <v>0</v>
      </c>
      <c r="BK1038" s="27"/>
      <c r="BL1038" s="27">
        <v>776</v>
      </c>
      <c r="BW1038" s="27">
        <v>21</v>
      </c>
    </row>
    <row r="1039" spans="1:12" ht="13.5" customHeight="1">
      <c r="A1039" s="45"/>
      <c r="D1039" s="173" t="s">
        <v>1023</v>
      </c>
      <c r="E1039" s="174"/>
      <c r="F1039" s="174"/>
      <c r="G1039" s="174"/>
      <c r="H1039" s="174"/>
      <c r="I1039" s="174"/>
      <c r="J1039" s="174"/>
      <c r="K1039" s="174"/>
      <c r="L1039" s="175"/>
    </row>
    <row r="1040" spans="1:12" ht="15">
      <c r="A1040" s="46"/>
      <c r="B1040" s="47"/>
      <c r="C1040" s="47"/>
      <c r="D1040" s="48" t="s">
        <v>1594</v>
      </c>
      <c r="E1040" s="49" t="s">
        <v>963</v>
      </c>
      <c r="F1040" s="47"/>
      <c r="G1040" s="50">
        <v>0.8</v>
      </c>
      <c r="H1040" s="47"/>
      <c r="I1040" s="47"/>
      <c r="J1040" s="47"/>
      <c r="K1040" s="47"/>
      <c r="L1040" s="51"/>
    </row>
    <row r="1041" spans="1:75" ht="13.5" customHeight="1">
      <c r="A1041" s="101" t="s">
        <v>1595</v>
      </c>
      <c r="B1041" s="102" t="s">
        <v>1387</v>
      </c>
      <c r="C1041" s="102" t="s">
        <v>982</v>
      </c>
      <c r="D1041" s="198" t="s">
        <v>983</v>
      </c>
      <c r="E1041" s="199"/>
      <c r="F1041" s="102" t="s">
        <v>109</v>
      </c>
      <c r="G1041" s="103">
        <v>42.99</v>
      </c>
      <c r="H1041" s="103">
        <v>0</v>
      </c>
      <c r="I1041" s="103">
        <f>G1041*AO1041</f>
        <v>0</v>
      </c>
      <c r="J1041" s="103">
        <f>G1041*AP1041</f>
        <v>0</v>
      </c>
      <c r="K1041" s="103">
        <f>G1041*H1041</f>
        <v>0</v>
      </c>
      <c r="L1041" s="104" t="s">
        <v>137</v>
      </c>
      <c r="Z1041" s="27">
        <f>IF(AQ1041="5",BJ1041,0)</f>
        <v>0</v>
      </c>
      <c r="AB1041" s="27">
        <f>IF(AQ1041="1",BH1041,0)</f>
        <v>0</v>
      </c>
      <c r="AC1041" s="27">
        <f>IF(AQ1041="1",BI1041,0)</f>
        <v>0</v>
      </c>
      <c r="AD1041" s="27">
        <f>IF(AQ1041="7",BH1041,0)</f>
        <v>0</v>
      </c>
      <c r="AE1041" s="27">
        <f>IF(AQ1041="7",BI1041,0)</f>
        <v>0</v>
      </c>
      <c r="AF1041" s="27">
        <f>IF(AQ1041="2",BH1041,0)</f>
        <v>0</v>
      </c>
      <c r="AG1041" s="27">
        <f>IF(AQ1041="2",BI1041,0)</f>
        <v>0</v>
      </c>
      <c r="AH1041" s="27">
        <f>IF(AQ1041="0",BJ1041,0)</f>
        <v>0</v>
      </c>
      <c r="AI1041" s="9" t="s">
        <v>1387</v>
      </c>
      <c r="AJ1041" s="27">
        <f>IF(AN1041=0,K1041,0)</f>
        <v>0</v>
      </c>
      <c r="AK1041" s="27">
        <f>IF(AN1041=12,K1041,0)</f>
        <v>0</v>
      </c>
      <c r="AL1041" s="27">
        <f>IF(AN1041=21,K1041,0)</f>
        <v>0</v>
      </c>
      <c r="AN1041" s="27">
        <v>21</v>
      </c>
      <c r="AO1041" s="27">
        <f>H1041*0</f>
        <v>0</v>
      </c>
      <c r="AP1041" s="27">
        <f>H1041*(1-0)</f>
        <v>0</v>
      </c>
      <c r="AQ1041" s="29" t="s">
        <v>84</v>
      </c>
      <c r="AV1041" s="27">
        <f>AW1041+AX1041</f>
        <v>0</v>
      </c>
      <c r="AW1041" s="27">
        <f>G1041*AO1041</f>
        <v>0</v>
      </c>
      <c r="AX1041" s="27">
        <f>G1041*AP1041</f>
        <v>0</v>
      </c>
      <c r="AY1041" s="29" t="s">
        <v>973</v>
      </c>
      <c r="AZ1041" s="29" t="s">
        <v>1581</v>
      </c>
      <c r="BA1041" s="9" t="s">
        <v>1391</v>
      </c>
      <c r="BC1041" s="27">
        <f>AW1041+AX1041</f>
        <v>0</v>
      </c>
      <c r="BD1041" s="27">
        <f>H1041/(100-BE1041)*100</f>
        <v>0</v>
      </c>
      <c r="BE1041" s="27">
        <v>0</v>
      </c>
      <c r="BF1041" s="27">
        <f>1041</f>
        <v>1041</v>
      </c>
      <c r="BH1041" s="27">
        <f>G1041*AO1041</f>
        <v>0</v>
      </c>
      <c r="BI1041" s="27">
        <f>G1041*AP1041</f>
        <v>0</v>
      </c>
      <c r="BJ1041" s="27">
        <f>G1041*H1041</f>
        <v>0</v>
      </c>
      <c r="BK1041" s="27"/>
      <c r="BL1041" s="27">
        <v>776</v>
      </c>
      <c r="BW1041" s="27">
        <v>21</v>
      </c>
    </row>
    <row r="1042" spans="1:12" ht="15">
      <c r="A1042" s="30"/>
      <c r="D1042" s="32" t="s">
        <v>1430</v>
      </c>
      <c r="E1042" s="31" t="s">
        <v>1447</v>
      </c>
      <c r="G1042" s="33">
        <v>42.99</v>
      </c>
      <c r="L1042" s="34"/>
    </row>
    <row r="1043" spans="1:12" ht="27" customHeight="1">
      <c r="A1043" s="30"/>
      <c r="C1043" s="35" t="s">
        <v>102</v>
      </c>
      <c r="D1043" s="166" t="s">
        <v>985</v>
      </c>
      <c r="E1043" s="167"/>
      <c r="F1043" s="167"/>
      <c r="G1043" s="167"/>
      <c r="H1043" s="167"/>
      <c r="I1043" s="167"/>
      <c r="J1043" s="167"/>
      <c r="K1043" s="167"/>
      <c r="L1043" s="168"/>
    </row>
    <row r="1044" spans="1:75" ht="13.5" customHeight="1">
      <c r="A1044" s="60" t="s">
        <v>1596</v>
      </c>
      <c r="B1044" s="61" t="s">
        <v>1387</v>
      </c>
      <c r="C1044" s="61" t="s">
        <v>1597</v>
      </c>
      <c r="D1044" s="179" t="s">
        <v>1598</v>
      </c>
      <c r="E1044" s="180"/>
      <c r="F1044" s="61" t="s">
        <v>282</v>
      </c>
      <c r="G1044" s="62">
        <v>752.7549</v>
      </c>
      <c r="H1044" s="62">
        <v>0</v>
      </c>
      <c r="I1044" s="62">
        <f>G1044*AO1044</f>
        <v>0</v>
      </c>
      <c r="J1044" s="62">
        <f>G1044*AP1044</f>
        <v>0</v>
      </c>
      <c r="K1044" s="62">
        <f>G1044*H1044</f>
        <v>0</v>
      </c>
      <c r="L1044" s="63" t="s">
        <v>137</v>
      </c>
      <c r="Z1044" s="27">
        <f>IF(AQ1044="5",BJ1044,0)</f>
        <v>0</v>
      </c>
      <c r="AB1044" s="27">
        <f>IF(AQ1044="1",BH1044,0)</f>
        <v>0</v>
      </c>
      <c r="AC1044" s="27">
        <f>IF(AQ1044="1",BI1044,0)</f>
        <v>0</v>
      </c>
      <c r="AD1044" s="27">
        <f>IF(AQ1044="7",BH1044,0)</f>
        <v>0</v>
      </c>
      <c r="AE1044" s="27">
        <f>IF(AQ1044="7",BI1044,0)</f>
        <v>0</v>
      </c>
      <c r="AF1044" s="27">
        <f>IF(AQ1044="2",BH1044,0)</f>
        <v>0</v>
      </c>
      <c r="AG1044" s="27">
        <f>IF(AQ1044="2",BI1044,0)</f>
        <v>0</v>
      </c>
      <c r="AH1044" s="27">
        <f>IF(AQ1044="0",BJ1044,0)</f>
        <v>0</v>
      </c>
      <c r="AI1044" s="9" t="s">
        <v>1387</v>
      </c>
      <c r="AJ1044" s="62">
        <f>IF(AN1044=0,K1044,0)</f>
        <v>0</v>
      </c>
      <c r="AK1044" s="62">
        <f>IF(AN1044=12,K1044,0)</f>
        <v>0</v>
      </c>
      <c r="AL1044" s="62">
        <f>IF(AN1044=21,K1044,0)</f>
        <v>0</v>
      </c>
      <c r="AN1044" s="27">
        <v>21</v>
      </c>
      <c r="AO1044" s="27">
        <f>H1044*1</f>
        <v>0</v>
      </c>
      <c r="AP1044" s="27">
        <f>H1044*(1-1)</f>
        <v>0</v>
      </c>
      <c r="AQ1044" s="64" t="s">
        <v>84</v>
      </c>
      <c r="AV1044" s="27">
        <f>AW1044+AX1044</f>
        <v>0</v>
      </c>
      <c r="AW1044" s="27">
        <f>G1044*AO1044</f>
        <v>0</v>
      </c>
      <c r="AX1044" s="27">
        <f>G1044*AP1044</f>
        <v>0</v>
      </c>
      <c r="AY1044" s="29" t="s">
        <v>973</v>
      </c>
      <c r="AZ1044" s="29" t="s">
        <v>1581</v>
      </c>
      <c r="BA1044" s="9" t="s">
        <v>1391</v>
      </c>
      <c r="BC1044" s="27">
        <f>AW1044+AX1044</f>
        <v>0</v>
      </c>
      <c r="BD1044" s="27">
        <f>H1044/(100-BE1044)*100</f>
        <v>0</v>
      </c>
      <c r="BE1044" s="27">
        <v>0</v>
      </c>
      <c r="BF1044" s="27">
        <f>1044</f>
        <v>1044</v>
      </c>
      <c r="BH1044" s="62">
        <f>G1044*AO1044</f>
        <v>0</v>
      </c>
      <c r="BI1044" s="62">
        <f>G1044*AP1044</f>
        <v>0</v>
      </c>
      <c r="BJ1044" s="62">
        <f>G1044*H1044</f>
        <v>0</v>
      </c>
      <c r="BK1044" s="62"/>
      <c r="BL1044" s="27">
        <v>776</v>
      </c>
      <c r="BW1044" s="27">
        <v>21</v>
      </c>
    </row>
    <row r="1045" spans="1:12" ht="15">
      <c r="A1045" s="30"/>
      <c r="D1045" s="32" t="s">
        <v>1599</v>
      </c>
      <c r="E1045" s="31" t="s">
        <v>1447</v>
      </c>
      <c r="G1045" s="33">
        <v>730.83</v>
      </c>
      <c r="L1045" s="34"/>
    </row>
    <row r="1046" spans="1:12" ht="15">
      <c r="A1046" s="30"/>
      <c r="D1046" s="32" t="s">
        <v>1600</v>
      </c>
      <c r="E1046" s="31" t="s">
        <v>52</v>
      </c>
      <c r="G1046" s="33">
        <v>21.9249</v>
      </c>
      <c r="L1046" s="34"/>
    </row>
    <row r="1047" spans="1:12" ht="40.5" customHeight="1">
      <c r="A1047" s="30"/>
      <c r="C1047" s="35" t="s">
        <v>102</v>
      </c>
      <c r="D1047" s="166" t="s">
        <v>1601</v>
      </c>
      <c r="E1047" s="167"/>
      <c r="F1047" s="167"/>
      <c r="G1047" s="167"/>
      <c r="H1047" s="167"/>
      <c r="I1047" s="167"/>
      <c r="J1047" s="167"/>
      <c r="K1047" s="167"/>
      <c r="L1047" s="168"/>
    </row>
    <row r="1048" spans="1:75" ht="13.5" customHeight="1">
      <c r="A1048" s="2" t="s">
        <v>1602</v>
      </c>
      <c r="B1048" s="3" t="s">
        <v>1387</v>
      </c>
      <c r="C1048" s="3" t="s">
        <v>1603</v>
      </c>
      <c r="D1048" s="148" t="s">
        <v>1604</v>
      </c>
      <c r="E1048" s="143"/>
      <c r="F1048" s="3" t="s">
        <v>126</v>
      </c>
      <c r="G1048" s="27">
        <v>6.8</v>
      </c>
      <c r="H1048" s="27">
        <v>0</v>
      </c>
      <c r="I1048" s="27">
        <f>G1048*AO1048</f>
        <v>0</v>
      </c>
      <c r="J1048" s="27">
        <f>G1048*AP1048</f>
        <v>0</v>
      </c>
      <c r="K1048" s="27">
        <f>G1048*H1048</f>
        <v>0</v>
      </c>
      <c r="L1048" s="28" t="s">
        <v>137</v>
      </c>
      <c r="Z1048" s="27">
        <f>IF(AQ1048="5",BJ1048,0)</f>
        <v>0</v>
      </c>
      <c r="AB1048" s="27">
        <f>IF(AQ1048="1",BH1048,0)</f>
        <v>0</v>
      </c>
      <c r="AC1048" s="27">
        <f>IF(AQ1048="1",BI1048,0)</f>
        <v>0</v>
      </c>
      <c r="AD1048" s="27">
        <f>IF(AQ1048="7",BH1048,0)</f>
        <v>0</v>
      </c>
      <c r="AE1048" s="27">
        <f>IF(AQ1048="7",BI1048,0)</f>
        <v>0</v>
      </c>
      <c r="AF1048" s="27">
        <f>IF(AQ1048="2",BH1048,0)</f>
        <v>0</v>
      </c>
      <c r="AG1048" s="27">
        <f>IF(AQ1048="2",BI1048,0)</f>
        <v>0</v>
      </c>
      <c r="AH1048" s="27">
        <f>IF(AQ1048="0",BJ1048,0)</f>
        <v>0</v>
      </c>
      <c r="AI1048" s="9" t="s">
        <v>1387</v>
      </c>
      <c r="AJ1048" s="27">
        <f>IF(AN1048=0,K1048,0)</f>
        <v>0</v>
      </c>
      <c r="AK1048" s="27">
        <f>IF(AN1048=12,K1048,0)</f>
        <v>0</v>
      </c>
      <c r="AL1048" s="27">
        <f>IF(AN1048=21,K1048,0)</f>
        <v>0</v>
      </c>
      <c r="AN1048" s="27">
        <v>21</v>
      </c>
      <c r="AO1048" s="27">
        <f>H1048*0.691591077</f>
        <v>0</v>
      </c>
      <c r="AP1048" s="27">
        <f>H1048*(1-0.691591077)</f>
        <v>0</v>
      </c>
      <c r="AQ1048" s="29" t="s">
        <v>84</v>
      </c>
      <c r="AV1048" s="27">
        <f>AW1048+AX1048</f>
        <v>0</v>
      </c>
      <c r="AW1048" s="27">
        <f>G1048*AO1048</f>
        <v>0</v>
      </c>
      <c r="AX1048" s="27">
        <f>G1048*AP1048</f>
        <v>0</v>
      </c>
      <c r="AY1048" s="29" t="s">
        <v>973</v>
      </c>
      <c r="AZ1048" s="29" t="s">
        <v>1581</v>
      </c>
      <c r="BA1048" s="9" t="s">
        <v>1391</v>
      </c>
      <c r="BC1048" s="27">
        <f>AW1048+AX1048</f>
        <v>0</v>
      </c>
      <c r="BD1048" s="27">
        <f>H1048/(100-BE1048)*100</f>
        <v>0</v>
      </c>
      <c r="BE1048" s="27">
        <v>0</v>
      </c>
      <c r="BF1048" s="27">
        <f>1048</f>
        <v>1048</v>
      </c>
      <c r="BH1048" s="27">
        <f>G1048*AO1048</f>
        <v>0</v>
      </c>
      <c r="BI1048" s="27">
        <f>G1048*AP1048</f>
        <v>0</v>
      </c>
      <c r="BJ1048" s="27">
        <f>G1048*H1048</f>
        <v>0</v>
      </c>
      <c r="BK1048" s="27"/>
      <c r="BL1048" s="27">
        <v>776</v>
      </c>
      <c r="BW1048" s="27">
        <v>21</v>
      </c>
    </row>
    <row r="1049" spans="1:12" ht="27" customHeight="1">
      <c r="A1049" s="30"/>
      <c r="D1049" s="166" t="s">
        <v>1605</v>
      </c>
      <c r="E1049" s="167"/>
      <c r="F1049" s="167"/>
      <c r="G1049" s="167"/>
      <c r="H1049" s="167"/>
      <c r="I1049" s="167"/>
      <c r="J1049" s="167"/>
      <c r="K1049" s="167"/>
      <c r="L1049" s="168"/>
    </row>
    <row r="1050" spans="1:12" ht="15">
      <c r="A1050" s="98"/>
      <c r="D1050" s="105" t="s">
        <v>1606</v>
      </c>
      <c r="E1050" s="100" t="s">
        <v>1607</v>
      </c>
      <c r="G1050" s="106">
        <v>6.8</v>
      </c>
      <c r="L1050" s="107"/>
    </row>
    <row r="1051" spans="1:75" ht="13.5" customHeight="1">
      <c r="A1051" s="41" t="s">
        <v>1608</v>
      </c>
      <c r="B1051" s="42" t="s">
        <v>1387</v>
      </c>
      <c r="C1051" s="42" t="s">
        <v>1027</v>
      </c>
      <c r="D1051" s="171" t="s">
        <v>1028</v>
      </c>
      <c r="E1051" s="172"/>
      <c r="F1051" s="42" t="s">
        <v>951</v>
      </c>
      <c r="G1051" s="43">
        <v>770.68</v>
      </c>
      <c r="H1051" s="43">
        <v>0</v>
      </c>
      <c r="I1051" s="43">
        <f>G1051*AO1051</f>
        <v>0</v>
      </c>
      <c r="J1051" s="43">
        <f>G1051*AP1051</f>
        <v>0</v>
      </c>
      <c r="K1051" s="43">
        <f>G1051*H1051</f>
        <v>0</v>
      </c>
      <c r="L1051" s="44" t="s">
        <v>137</v>
      </c>
      <c r="Z1051" s="27">
        <f>IF(AQ1051="5",BJ1051,0)</f>
        <v>0</v>
      </c>
      <c r="AB1051" s="27">
        <f>IF(AQ1051="1",BH1051,0)</f>
        <v>0</v>
      </c>
      <c r="AC1051" s="27">
        <f>IF(AQ1051="1",BI1051,0)</f>
        <v>0</v>
      </c>
      <c r="AD1051" s="27">
        <f>IF(AQ1051="7",BH1051,0)</f>
        <v>0</v>
      </c>
      <c r="AE1051" s="27">
        <f>IF(AQ1051="7",BI1051,0)</f>
        <v>0</v>
      </c>
      <c r="AF1051" s="27">
        <f>IF(AQ1051="2",BH1051,0)</f>
        <v>0</v>
      </c>
      <c r="AG1051" s="27">
        <f>IF(AQ1051="2",BI1051,0)</f>
        <v>0</v>
      </c>
      <c r="AH1051" s="27">
        <f>IF(AQ1051="0",BJ1051,0)</f>
        <v>0</v>
      </c>
      <c r="AI1051" s="9" t="s">
        <v>1387</v>
      </c>
      <c r="AJ1051" s="27">
        <f>IF(AN1051=0,K1051,0)</f>
        <v>0</v>
      </c>
      <c r="AK1051" s="27">
        <f>IF(AN1051=12,K1051,0)</f>
        <v>0</v>
      </c>
      <c r="AL1051" s="27">
        <f>IF(AN1051=21,K1051,0)</f>
        <v>0</v>
      </c>
      <c r="AN1051" s="27">
        <v>21</v>
      </c>
      <c r="AO1051" s="27">
        <f>H1051*0</f>
        <v>0</v>
      </c>
      <c r="AP1051" s="27">
        <f>H1051*(1-0)</f>
        <v>0</v>
      </c>
      <c r="AQ1051" s="29" t="s">
        <v>78</v>
      </c>
      <c r="AV1051" s="27">
        <f>AW1051+AX1051</f>
        <v>0</v>
      </c>
      <c r="AW1051" s="27">
        <f>G1051*AO1051</f>
        <v>0</v>
      </c>
      <c r="AX1051" s="27">
        <f>G1051*AP1051</f>
        <v>0</v>
      </c>
      <c r="AY1051" s="29" t="s">
        <v>973</v>
      </c>
      <c r="AZ1051" s="29" t="s">
        <v>1581</v>
      </c>
      <c r="BA1051" s="9" t="s">
        <v>1391</v>
      </c>
      <c r="BC1051" s="27">
        <f>AW1051+AX1051</f>
        <v>0</v>
      </c>
      <c r="BD1051" s="27">
        <f>H1051/(100-BE1051)*100</f>
        <v>0</v>
      </c>
      <c r="BE1051" s="27">
        <v>0</v>
      </c>
      <c r="BF1051" s="27">
        <f>1051</f>
        <v>1051</v>
      </c>
      <c r="BH1051" s="27">
        <f>G1051*AO1051</f>
        <v>0</v>
      </c>
      <c r="BI1051" s="27">
        <f>G1051*AP1051</f>
        <v>0</v>
      </c>
      <c r="BJ1051" s="27">
        <f>G1051*H1051</f>
        <v>0</v>
      </c>
      <c r="BK1051" s="27"/>
      <c r="BL1051" s="27">
        <v>776</v>
      </c>
      <c r="BW1051" s="27">
        <v>21</v>
      </c>
    </row>
    <row r="1052" spans="1:12" ht="15">
      <c r="A1052" s="52"/>
      <c r="B1052" s="53"/>
      <c r="C1052" s="53"/>
      <c r="D1052" s="54" t="s">
        <v>1609</v>
      </c>
      <c r="E1052" s="55" t="s">
        <v>52</v>
      </c>
      <c r="F1052" s="53"/>
      <c r="G1052" s="56">
        <v>770.68</v>
      </c>
      <c r="H1052" s="53"/>
      <c r="I1052" s="53"/>
      <c r="J1052" s="53"/>
      <c r="K1052" s="53"/>
      <c r="L1052" s="57"/>
    </row>
    <row r="1053" spans="1:47" ht="15">
      <c r="A1053" s="93" t="s">
        <v>52</v>
      </c>
      <c r="B1053" s="94" t="s">
        <v>1387</v>
      </c>
      <c r="C1053" s="94" t="s">
        <v>1610</v>
      </c>
      <c r="D1053" s="193" t="s">
        <v>1611</v>
      </c>
      <c r="E1053" s="194"/>
      <c r="F1053" s="95" t="s">
        <v>4</v>
      </c>
      <c r="G1053" s="95" t="s">
        <v>4</v>
      </c>
      <c r="H1053" s="95" t="s">
        <v>4</v>
      </c>
      <c r="I1053" s="96">
        <f>SUM(I1054:I1062)</f>
        <v>0</v>
      </c>
      <c r="J1053" s="96">
        <f>SUM(J1054:J1062)</f>
        <v>0</v>
      </c>
      <c r="K1053" s="96">
        <f>SUM(K1054:K1062)</f>
        <v>0</v>
      </c>
      <c r="L1053" s="97" t="s">
        <v>52</v>
      </c>
      <c r="AI1053" s="9" t="s">
        <v>1387</v>
      </c>
      <c r="AS1053" s="1">
        <f>SUM(AJ1054:AJ1062)</f>
        <v>0</v>
      </c>
      <c r="AT1053" s="1">
        <f>SUM(AK1054:AK1062)</f>
        <v>0</v>
      </c>
      <c r="AU1053" s="1">
        <f>SUM(AL1054:AL1062)</f>
        <v>0</v>
      </c>
    </row>
    <row r="1054" spans="1:75" ht="13.5" customHeight="1">
      <c r="A1054" s="2" t="s">
        <v>1612</v>
      </c>
      <c r="B1054" s="3" t="s">
        <v>1387</v>
      </c>
      <c r="C1054" s="3" t="s">
        <v>1613</v>
      </c>
      <c r="D1054" s="148" t="s">
        <v>1614</v>
      </c>
      <c r="E1054" s="143"/>
      <c r="F1054" s="3" t="s">
        <v>109</v>
      </c>
      <c r="G1054" s="27">
        <v>42.99</v>
      </c>
      <c r="H1054" s="27">
        <v>0</v>
      </c>
      <c r="I1054" s="27">
        <f>G1054*AO1054</f>
        <v>0</v>
      </c>
      <c r="J1054" s="27">
        <f>G1054*AP1054</f>
        <v>0</v>
      </c>
      <c r="K1054" s="27">
        <f>G1054*H1054</f>
        <v>0</v>
      </c>
      <c r="L1054" s="28" t="s">
        <v>70</v>
      </c>
      <c r="Z1054" s="27">
        <f>IF(AQ1054="5",BJ1054,0)</f>
        <v>0</v>
      </c>
      <c r="AB1054" s="27">
        <f>IF(AQ1054="1",BH1054,0)</f>
        <v>0</v>
      </c>
      <c r="AC1054" s="27">
        <f>IF(AQ1054="1",BI1054,0)</f>
        <v>0</v>
      </c>
      <c r="AD1054" s="27">
        <f>IF(AQ1054="7",BH1054,0)</f>
        <v>0</v>
      </c>
      <c r="AE1054" s="27">
        <f>IF(AQ1054="7",BI1054,0)</f>
        <v>0</v>
      </c>
      <c r="AF1054" s="27">
        <f>IF(AQ1054="2",BH1054,0)</f>
        <v>0</v>
      </c>
      <c r="AG1054" s="27">
        <f>IF(AQ1054="2",BI1054,0)</f>
        <v>0</v>
      </c>
      <c r="AH1054" s="27">
        <f>IF(AQ1054="0",BJ1054,0)</f>
        <v>0</v>
      </c>
      <c r="AI1054" s="9" t="s">
        <v>1387</v>
      </c>
      <c r="AJ1054" s="27">
        <f>IF(AN1054=0,K1054,0)</f>
        <v>0</v>
      </c>
      <c r="AK1054" s="27">
        <f>IF(AN1054=12,K1054,0)</f>
        <v>0</v>
      </c>
      <c r="AL1054" s="27">
        <f>IF(AN1054=21,K1054,0)</f>
        <v>0</v>
      </c>
      <c r="AN1054" s="27">
        <v>21</v>
      </c>
      <c r="AO1054" s="27">
        <f>H1054*0</f>
        <v>0</v>
      </c>
      <c r="AP1054" s="27">
        <f>H1054*(1-0)</f>
        <v>0</v>
      </c>
      <c r="AQ1054" s="29" t="s">
        <v>84</v>
      </c>
      <c r="AV1054" s="27">
        <f>AW1054+AX1054</f>
        <v>0</v>
      </c>
      <c r="AW1054" s="27">
        <f>G1054*AO1054</f>
        <v>0</v>
      </c>
      <c r="AX1054" s="27">
        <f>G1054*AP1054</f>
        <v>0</v>
      </c>
      <c r="AY1054" s="29" t="s">
        <v>1615</v>
      </c>
      <c r="AZ1054" s="29" t="s">
        <v>1581</v>
      </c>
      <c r="BA1054" s="9" t="s">
        <v>1391</v>
      </c>
      <c r="BC1054" s="27">
        <f>AW1054+AX1054</f>
        <v>0</v>
      </c>
      <c r="BD1054" s="27">
        <f>H1054/(100-BE1054)*100</f>
        <v>0</v>
      </c>
      <c r="BE1054" s="27">
        <v>0</v>
      </c>
      <c r="BF1054" s="27">
        <f>1054</f>
        <v>1054</v>
      </c>
      <c r="BH1054" s="27">
        <f>G1054*AO1054</f>
        <v>0</v>
      </c>
      <c r="BI1054" s="27">
        <f>G1054*AP1054</f>
        <v>0</v>
      </c>
      <c r="BJ1054" s="27">
        <f>G1054*H1054</f>
        <v>0</v>
      </c>
      <c r="BK1054" s="27"/>
      <c r="BL1054" s="27">
        <v>777</v>
      </c>
      <c r="BW1054" s="27">
        <v>21</v>
      </c>
    </row>
    <row r="1055" spans="1:12" ht="13.5" customHeight="1">
      <c r="A1055" s="30"/>
      <c r="D1055" s="166" t="s">
        <v>278</v>
      </c>
      <c r="E1055" s="167"/>
      <c r="F1055" s="167"/>
      <c r="G1055" s="167"/>
      <c r="H1055" s="167"/>
      <c r="I1055" s="167"/>
      <c r="J1055" s="167"/>
      <c r="K1055" s="167"/>
      <c r="L1055" s="168"/>
    </row>
    <row r="1056" spans="1:12" ht="15">
      <c r="A1056" s="30"/>
      <c r="D1056" s="32" t="s">
        <v>1430</v>
      </c>
      <c r="E1056" s="31" t="s">
        <v>1447</v>
      </c>
      <c r="G1056" s="33">
        <v>42.99</v>
      </c>
      <c r="L1056" s="34"/>
    </row>
    <row r="1057" spans="1:12" ht="13.5" customHeight="1">
      <c r="A1057" s="30"/>
      <c r="C1057" s="35" t="s">
        <v>102</v>
      </c>
      <c r="D1057" s="166" t="s">
        <v>1616</v>
      </c>
      <c r="E1057" s="167"/>
      <c r="F1057" s="167"/>
      <c r="G1057" s="167"/>
      <c r="H1057" s="167"/>
      <c r="I1057" s="167"/>
      <c r="J1057" s="167"/>
      <c r="K1057" s="167"/>
      <c r="L1057" s="168"/>
    </row>
    <row r="1058" spans="1:75" ht="13.5" customHeight="1">
      <c r="A1058" s="60" t="s">
        <v>1617</v>
      </c>
      <c r="B1058" s="61" t="s">
        <v>1387</v>
      </c>
      <c r="C1058" s="61" t="s">
        <v>999</v>
      </c>
      <c r="D1058" s="179" t="s">
        <v>1000</v>
      </c>
      <c r="E1058" s="180"/>
      <c r="F1058" s="61" t="s">
        <v>282</v>
      </c>
      <c r="G1058" s="62">
        <v>9.0279</v>
      </c>
      <c r="H1058" s="62">
        <v>0</v>
      </c>
      <c r="I1058" s="62">
        <f>G1058*AO1058</f>
        <v>0</v>
      </c>
      <c r="J1058" s="62">
        <f>G1058*AP1058</f>
        <v>0</v>
      </c>
      <c r="K1058" s="62">
        <f>G1058*H1058</f>
        <v>0</v>
      </c>
      <c r="L1058" s="63" t="s">
        <v>137</v>
      </c>
      <c r="Z1058" s="27">
        <f>IF(AQ1058="5",BJ1058,0)</f>
        <v>0</v>
      </c>
      <c r="AB1058" s="27">
        <f>IF(AQ1058="1",BH1058,0)</f>
        <v>0</v>
      </c>
      <c r="AC1058" s="27">
        <f>IF(AQ1058="1",BI1058,0)</f>
        <v>0</v>
      </c>
      <c r="AD1058" s="27">
        <f>IF(AQ1058="7",BH1058,0)</f>
        <v>0</v>
      </c>
      <c r="AE1058" s="27">
        <f>IF(AQ1058="7",BI1058,0)</f>
        <v>0</v>
      </c>
      <c r="AF1058" s="27">
        <f>IF(AQ1058="2",BH1058,0)</f>
        <v>0</v>
      </c>
      <c r="AG1058" s="27">
        <f>IF(AQ1058="2",BI1058,0)</f>
        <v>0</v>
      </c>
      <c r="AH1058" s="27">
        <f>IF(AQ1058="0",BJ1058,0)</f>
        <v>0</v>
      </c>
      <c r="AI1058" s="9" t="s">
        <v>1387</v>
      </c>
      <c r="AJ1058" s="62">
        <f>IF(AN1058=0,K1058,0)</f>
        <v>0</v>
      </c>
      <c r="AK1058" s="62">
        <f>IF(AN1058=12,K1058,0)</f>
        <v>0</v>
      </c>
      <c r="AL1058" s="62">
        <f>IF(AN1058=21,K1058,0)</f>
        <v>0</v>
      </c>
      <c r="AN1058" s="27">
        <v>21</v>
      </c>
      <c r="AO1058" s="27">
        <f>H1058*1</f>
        <v>0</v>
      </c>
      <c r="AP1058" s="27">
        <f>H1058*(1-1)</f>
        <v>0</v>
      </c>
      <c r="AQ1058" s="64" t="s">
        <v>84</v>
      </c>
      <c r="AV1058" s="27">
        <f>AW1058+AX1058</f>
        <v>0</v>
      </c>
      <c r="AW1058" s="27">
        <f>G1058*AO1058</f>
        <v>0</v>
      </c>
      <c r="AX1058" s="27">
        <f>G1058*AP1058</f>
        <v>0</v>
      </c>
      <c r="AY1058" s="29" t="s">
        <v>1615</v>
      </c>
      <c r="AZ1058" s="29" t="s">
        <v>1581</v>
      </c>
      <c r="BA1058" s="9" t="s">
        <v>1391</v>
      </c>
      <c r="BC1058" s="27">
        <f>AW1058+AX1058</f>
        <v>0</v>
      </c>
      <c r="BD1058" s="27">
        <f>H1058/(100-BE1058)*100</f>
        <v>0</v>
      </c>
      <c r="BE1058" s="27">
        <v>0</v>
      </c>
      <c r="BF1058" s="27">
        <f>1058</f>
        <v>1058</v>
      </c>
      <c r="BH1058" s="62">
        <f>G1058*AO1058</f>
        <v>0</v>
      </c>
      <c r="BI1058" s="62">
        <f>G1058*AP1058</f>
        <v>0</v>
      </c>
      <c r="BJ1058" s="62">
        <f>G1058*H1058</f>
        <v>0</v>
      </c>
      <c r="BK1058" s="62"/>
      <c r="BL1058" s="27">
        <v>777</v>
      </c>
      <c r="BW1058" s="27">
        <v>21</v>
      </c>
    </row>
    <row r="1059" spans="1:12" ht="15">
      <c r="A1059" s="30"/>
      <c r="D1059" s="32" t="s">
        <v>1618</v>
      </c>
      <c r="E1059" s="31" t="s">
        <v>1447</v>
      </c>
      <c r="G1059" s="33">
        <v>8.598</v>
      </c>
      <c r="L1059" s="34"/>
    </row>
    <row r="1060" spans="1:12" ht="15">
      <c r="A1060" s="30"/>
      <c r="D1060" s="32" t="s">
        <v>1619</v>
      </c>
      <c r="E1060" s="31" t="s">
        <v>52</v>
      </c>
      <c r="G1060" s="33">
        <v>0.4299</v>
      </c>
      <c r="L1060" s="34"/>
    </row>
    <row r="1061" spans="1:12" ht="27" customHeight="1">
      <c r="A1061" s="30"/>
      <c r="C1061" s="35" t="s">
        <v>102</v>
      </c>
      <c r="D1061" s="166" t="s">
        <v>1620</v>
      </c>
      <c r="E1061" s="167"/>
      <c r="F1061" s="167"/>
      <c r="G1061" s="167"/>
      <c r="H1061" s="167"/>
      <c r="I1061" s="167"/>
      <c r="J1061" s="167"/>
      <c r="K1061" s="167"/>
      <c r="L1061" s="168"/>
    </row>
    <row r="1062" spans="1:75" ht="13.5" customHeight="1">
      <c r="A1062" s="2" t="s">
        <v>1621</v>
      </c>
      <c r="B1062" s="3" t="s">
        <v>1387</v>
      </c>
      <c r="C1062" s="3" t="s">
        <v>1622</v>
      </c>
      <c r="D1062" s="148" t="s">
        <v>1623</v>
      </c>
      <c r="E1062" s="143"/>
      <c r="F1062" s="3" t="s">
        <v>951</v>
      </c>
      <c r="G1062" s="27">
        <v>34.6</v>
      </c>
      <c r="H1062" s="27">
        <v>0</v>
      </c>
      <c r="I1062" s="27">
        <f>G1062*AO1062</f>
        <v>0</v>
      </c>
      <c r="J1062" s="27">
        <f>G1062*AP1062</f>
        <v>0</v>
      </c>
      <c r="K1062" s="27">
        <f>G1062*H1062</f>
        <v>0</v>
      </c>
      <c r="L1062" s="28" t="s">
        <v>137</v>
      </c>
      <c r="Z1062" s="27">
        <f>IF(AQ1062="5",BJ1062,0)</f>
        <v>0</v>
      </c>
      <c r="AB1062" s="27">
        <f>IF(AQ1062="1",BH1062,0)</f>
        <v>0</v>
      </c>
      <c r="AC1062" s="27">
        <f>IF(AQ1062="1",BI1062,0)</f>
        <v>0</v>
      </c>
      <c r="AD1062" s="27">
        <f>IF(AQ1062="7",BH1062,0)</f>
        <v>0</v>
      </c>
      <c r="AE1062" s="27">
        <f>IF(AQ1062="7",BI1062,0)</f>
        <v>0</v>
      </c>
      <c r="AF1062" s="27">
        <f>IF(AQ1062="2",BH1062,0)</f>
        <v>0</v>
      </c>
      <c r="AG1062" s="27">
        <f>IF(AQ1062="2",BI1062,0)</f>
        <v>0</v>
      </c>
      <c r="AH1062" s="27">
        <f>IF(AQ1062="0",BJ1062,0)</f>
        <v>0</v>
      </c>
      <c r="AI1062" s="9" t="s">
        <v>1387</v>
      </c>
      <c r="AJ1062" s="27">
        <f>IF(AN1062=0,K1062,0)</f>
        <v>0</v>
      </c>
      <c r="AK1062" s="27">
        <f>IF(AN1062=12,K1062,0)</f>
        <v>0</v>
      </c>
      <c r="AL1062" s="27">
        <f>IF(AN1062=21,K1062,0)</f>
        <v>0</v>
      </c>
      <c r="AN1062" s="27">
        <v>21</v>
      </c>
      <c r="AO1062" s="27">
        <f>H1062*0</f>
        <v>0</v>
      </c>
      <c r="AP1062" s="27">
        <f>H1062*(1-0)</f>
        <v>0</v>
      </c>
      <c r="AQ1062" s="29" t="s">
        <v>78</v>
      </c>
      <c r="AV1062" s="27">
        <f>AW1062+AX1062</f>
        <v>0</v>
      </c>
      <c r="AW1062" s="27">
        <f>G1062*AO1062</f>
        <v>0</v>
      </c>
      <c r="AX1062" s="27">
        <f>G1062*AP1062</f>
        <v>0</v>
      </c>
      <c r="AY1062" s="29" t="s">
        <v>1615</v>
      </c>
      <c r="AZ1062" s="29" t="s">
        <v>1581</v>
      </c>
      <c r="BA1062" s="9" t="s">
        <v>1391</v>
      </c>
      <c r="BC1062" s="27">
        <f>AW1062+AX1062</f>
        <v>0</v>
      </c>
      <c r="BD1062" s="27">
        <f>H1062/(100-BE1062)*100</f>
        <v>0</v>
      </c>
      <c r="BE1062" s="27">
        <v>0</v>
      </c>
      <c r="BF1062" s="27">
        <f>1062</f>
        <v>1062</v>
      </c>
      <c r="BH1062" s="27">
        <f>G1062*AO1062</f>
        <v>0</v>
      </c>
      <c r="BI1062" s="27">
        <f>G1062*AP1062</f>
        <v>0</v>
      </c>
      <c r="BJ1062" s="27">
        <f>G1062*H1062</f>
        <v>0</v>
      </c>
      <c r="BK1062" s="27"/>
      <c r="BL1062" s="27">
        <v>777</v>
      </c>
      <c r="BW1062" s="27">
        <v>21</v>
      </c>
    </row>
    <row r="1063" spans="1:12" ht="15">
      <c r="A1063" s="98"/>
      <c r="D1063" s="105" t="s">
        <v>1624</v>
      </c>
      <c r="E1063" s="100" t="s">
        <v>52</v>
      </c>
      <c r="G1063" s="106">
        <v>34.6</v>
      </c>
      <c r="L1063" s="107"/>
    </row>
    <row r="1064" spans="1:47" ht="15">
      <c r="A1064" s="70" t="s">
        <v>52</v>
      </c>
      <c r="B1064" s="71" t="s">
        <v>1387</v>
      </c>
      <c r="C1064" s="71" t="s">
        <v>308</v>
      </c>
      <c r="D1064" s="183" t="s">
        <v>309</v>
      </c>
      <c r="E1064" s="184"/>
      <c r="F1064" s="72" t="s">
        <v>4</v>
      </c>
      <c r="G1064" s="72" t="s">
        <v>4</v>
      </c>
      <c r="H1064" s="72" t="s">
        <v>4</v>
      </c>
      <c r="I1064" s="73">
        <f>SUM(I1065:I1089)</f>
        <v>0</v>
      </c>
      <c r="J1064" s="73">
        <f>SUM(J1065:J1089)</f>
        <v>0</v>
      </c>
      <c r="K1064" s="73">
        <f>SUM(K1065:K1089)</f>
        <v>0</v>
      </c>
      <c r="L1064" s="74" t="s">
        <v>52</v>
      </c>
      <c r="AI1064" s="9" t="s">
        <v>1387</v>
      </c>
      <c r="AS1064" s="1">
        <f>SUM(AJ1065:AJ1089)</f>
        <v>0</v>
      </c>
      <c r="AT1064" s="1">
        <f>SUM(AK1065:AK1089)</f>
        <v>0</v>
      </c>
      <c r="AU1064" s="1">
        <f>SUM(AL1065:AL1089)</f>
        <v>0</v>
      </c>
    </row>
    <row r="1065" spans="1:75" ht="13.5" customHeight="1">
      <c r="A1065" s="66" t="s">
        <v>1625</v>
      </c>
      <c r="B1065" s="67" t="s">
        <v>1387</v>
      </c>
      <c r="C1065" s="67" t="s">
        <v>324</v>
      </c>
      <c r="D1065" s="181" t="s">
        <v>1031</v>
      </c>
      <c r="E1065" s="182"/>
      <c r="F1065" s="67" t="s">
        <v>109</v>
      </c>
      <c r="G1065" s="68">
        <v>2.25</v>
      </c>
      <c r="H1065" s="68">
        <v>0</v>
      </c>
      <c r="I1065" s="68">
        <f>G1065*AO1065</f>
        <v>0</v>
      </c>
      <c r="J1065" s="68">
        <f>G1065*AP1065</f>
        <v>0</v>
      </c>
      <c r="K1065" s="68">
        <f>G1065*H1065</f>
        <v>0</v>
      </c>
      <c r="L1065" s="69" t="s">
        <v>137</v>
      </c>
      <c r="Z1065" s="27">
        <f>IF(AQ1065="5",BJ1065,0)</f>
        <v>0</v>
      </c>
      <c r="AB1065" s="27">
        <f>IF(AQ1065="1",BH1065,0)</f>
        <v>0</v>
      </c>
      <c r="AC1065" s="27">
        <f>IF(AQ1065="1",BI1065,0)</f>
        <v>0</v>
      </c>
      <c r="AD1065" s="27">
        <f>IF(AQ1065="7",BH1065,0)</f>
        <v>0</v>
      </c>
      <c r="AE1065" s="27">
        <f>IF(AQ1065="7",BI1065,0)</f>
        <v>0</v>
      </c>
      <c r="AF1065" s="27">
        <f>IF(AQ1065="2",BH1065,0)</f>
        <v>0</v>
      </c>
      <c r="AG1065" s="27">
        <f>IF(AQ1065="2",BI1065,0)</f>
        <v>0</v>
      </c>
      <c r="AH1065" s="27">
        <f>IF(AQ1065="0",BJ1065,0)</f>
        <v>0</v>
      </c>
      <c r="AI1065" s="9" t="s">
        <v>1387</v>
      </c>
      <c r="AJ1065" s="27">
        <f>IF(AN1065=0,K1065,0)</f>
        <v>0</v>
      </c>
      <c r="AK1065" s="27">
        <f>IF(AN1065=12,K1065,0)</f>
        <v>0</v>
      </c>
      <c r="AL1065" s="27">
        <f>IF(AN1065=21,K1065,0)</f>
        <v>0</v>
      </c>
      <c r="AN1065" s="27">
        <v>21</v>
      </c>
      <c r="AO1065" s="27">
        <f>H1065*0.214537634</f>
        <v>0</v>
      </c>
      <c r="AP1065" s="27">
        <f>H1065*(1-0.214537634)</f>
        <v>0</v>
      </c>
      <c r="AQ1065" s="29" t="s">
        <v>84</v>
      </c>
      <c r="AV1065" s="27">
        <f>AW1065+AX1065</f>
        <v>0</v>
      </c>
      <c r="AW1065" s="27">
        <f>G1065*AO1065</f>
        <v>0</v>
      </c>
      <c r="AX1065" s="27">
        <f>G1065*AP1065</f>
        <v>0</v>
      </c>
      <c r="AY1065" s="29" t="s">
        <v>313</v>
      </c>
      <c r="AZ1065" s="29" t="s">
        <v>1626</v>
      </c>
      <c r="BA1065" s="9" t="s">
        <v>1391</v>
      </c>
      <c r="BC1065" s="27">
        <f>AW1065+AX1065</f>
        <v>0</v>
      </c>
      <c r="BD1065" s="27">
        <f>H1065/(100-BE1065)*100</f>
        <v>0</v>
      </c>
      <c r="BE1065" s="27">
        <v>0</v>
      </c>
      <c r="BF1065" s="27">
        <f>1065</f>
        <v>1065</v>
      </c>
      <c r="BH1065" s="27">
        <f>G1065*AO1065</f>
        <v>0</v>
      </c>
      <c r="BI1065" s="27">
        <f>G1065*AP1065</f>
        <v>0</v>
      </c>
      <c r="BJ1065" s="27">
        <f>G1065*H1065</f>
        <v>0</v>
      </c>
      <c r="BK1065" s="27"/>
      <c r="BL1065" s="27">
        <v>781</v>
      </c>
      <c r="BW1065" s="27">
        <v>21</v>
      </c>
    </row>
    <row r="1066" spans="1:12" ht="13.5" customHeight="1">
      <c r="A1066" s="45"/>
      <c r="D1066" s="173" t="s">
        <v>1033</v>
      </c>
      <c r="E1066" s="174"/>
      <c r="F1066" s="174"/>
      <c r="G1066" s="174"/>
      <c r="H1066" s="174"/>
      <c r="I1066" s="174"/>
      <c r="J1066" s="174"/>
      <c r="K1066" s="174"/>
      <c r="L1066" s="175"/>
    </row>
    <row r="1067" spans="1:12" ht="15">
      <c r="A1067" s="46"/>
      <c r="B1067" s="47"/>
      <c r="C1067" s="47"/>
      <c r="D1067" s="48" t="s">
        <v>1282</v>
      </c>
      <c r="E1067" s="49" t="s">
        <v>1035</v>
      </c>
      <c r="F1067" s="47"/>
      <c r="G1067" s="50">
        <v>2.25</v>
      </c>
      <c r="H1067" s="47"/>
      <c r="I1067" s="47"/>
      <c r="J1067" s="47"/>
      <c r="K1067" s="47"/>
      <c r="L1067" s="51"/>
    </row>
    <row r="1068" spans="1:75" ht="13.5" customHeight="1">
      <c r="A1068" s="80" t="s">
        <v>1627</v>
      </c>
      <c r="B1068" s="81" t="s">
        <v>1387</v>
      </c>
      <c r="C1068" s="81" t="s">
        <v>1037</v>
      </c>
      <c r="D1068" s="187" t="s">
        <v>1038</v>
      </c>
      <c r="E1068" s="188"/>
      <c r="F1068" s="81" t="s">
        <v>109</v>
      </c>
      <c r="G1068" s="82">
        <v>2.25</v>
      </c>
      <c r="H1068" s="82">
        <v>0</v>
      </c>
      <c r="I1068" s="82">
        <f>G1068*AO1068</f>
        <v>0</v>
      </c>
      <c r="J1068" s="82">
        <f>G1068*AP1068</f>
        <v>0</v>
      </c>
      <c r="K1068" s="82">
        <f>G1068*H1068</f>
        <v>0</v>
      </c>
      <c r="L1068" s="83" t="s">
        <v>137</v>
      </c>
      <c r="Z1068" s="27">
        <f>IF(AQ1068="5",BJ1068,0)</f>
        <v>0</v>
      </c>
      <c r="AB1068" s="27">
        <f>IF(AQ1068="1",BH1068,0)</f>
        <v>0</v>
      </c>
      <c r="AC1068" s="27">
        <f>IF(AQ1068="1",BI1068,0)</f>
        <v>0</v>
      </c>
      <c r="AD1068" s="27">
        <f>IF(AQ1068="7",BH1068,0)</f>
        <v>0</v>
      </c>
      <c r="AE1068" s="27">
        <f>IF(AQ1068="7",BI1068,0)</f>
        <v>0</v>
      </c>
      <c r="AF1068" s="27">
        <f>IF(AQ1068="2",BH1068,0)</f>
        <v>0</v>
      </c>
      <c r="AG1068" s="27">
        <f>IF(AQ1068="2",BI1068,0)</f>
        <v>0</v>
      </c>
      <c r="AH1068" s="27">
        <f>IF(AQ1068="0",BJ1068,0)</f>
        <v>0</v>
      </c>
      <c r="AI1068" s="9" t="s">
        <v>1387</v>
      </c>
      <c r="AJ1068" s="62">
        <f>IF(AN1068=0,K1068,0)</f>
        <v>0</v>
      </c>
      <c r="AK1068" s="62">
        <f>IF(AN1068=12,K1068,0)</f>
        <v>0</v>
      </c>
      <c r="AL1068" s="62">
        <f>IF(AN1068=21,K1068,0)</f>
        <v>0</v>
      </c>
      <c r="AN1068" s="27">
        <v>21</v>
      </c>
      <c r="AO1068" s="27">
        <f>H1068*1</f>
        <v>0</v>
      </c>
      <c r="AP1068" s="27">
        <f>H1068*(1-1)</f>
        <v>0</v>
      </c>
      <c r="AQ1068" s="64" t="s">
        <v>84</v>
      </c>
      <c r="AV1068" s="27">
        <f>AW1068+AX1068</f>
        <v>0</v>
      </c>
      <c r="AW1068" s="27">
        <f>G1068*AO1068</f>
        <v>0</v>
      </c>
      <c r="AX1068" s="27">
        <f>G1068*AP1068</f>
        <v>0</v>
      </c>
      <c r="AY1068" s="29" t="s">
        <v>313</v>
      </c>
      <c r="AZ1068" s="29" t="s">
        <v>1626</v>
      </c>
      <c r="BA1068" s="9" t="s">
        <v>1391</v>
      </c>
      <c r="BC1068" s="27">
        <f>AW1068+AX1068</f>
        <v>0</v>
      </c>
      <c r="BD1068" s="27">
        <f>H1068/(100-BE1068)*100</f>
        <v>0</v>
      </c>
      <c r="BE1068" s="27">
        <v>0</v>
      </c>
      <c r="BF1068" s="27">
        <f>1068</f>
        <v>1068</v>
      </c>
      <c r="BH1068" s="62">
        <f>G1068*AO1068</f>
        <v>0</v>
      </c>
      <c r="BI1068" s="62">
        <f>G1068*AP1068</f>
        <v>0</v>
      </c>
      <c r="BJ1068" s="62">
        <f>G1068*H1068</f>
        <v>0</v>
      </c>
      <c r="BK1068" s="62"/>
      <c r="BL1068" s="27">
        <v>781</v>
      </c>
      <c r="BW1068" s="27">
        <v>21</v>
      </c>
    </row>
    <row r="1069" spans="1:12" ht="15">
      <c r="A1069" s="52"/>
      <c r="B1069" s="53"/>
      <c r="C1069" s="53"/>
      <c r="D1069" s="54" t="s">
        <v>1282</v>
      </c>
      <c r="E1069" s="55" t="s">
        <v>1035</v>
      </c>
      <c r="F1069" s="53"/>
      <c r="G1069" s="56">
        <v>2.25</v>
      </c>
      <c r="H1069" s="53"/>
      <c r="I1069" s="53"/>
      <c r="J1069" s="53"/>
      <c r="K1069" s="53"/>
      <c r="L1069" s="57"/>
    </row>
    <row r="1070" spans="1:75" ht="13.5" customHeight="1">
      <c r="A1070" s="66" t="s">
        <v>1628</v>
      </c>
      <c r="B1070" s="67" t="s">
        <v>1387</v>
      </c>
      <c r="C1070" s="67" t="s">
        <v>1042</v>
      </c>
      <c r="D1070" s="181" t="s">
        <v>1043</v>
      </c>
      <c r="E1070" s="182"/>
      <c r="F1070" s="67" t="s">
        <v>126</v>
      </c>
      <c r="G1070" s="68">
        <v>4.5</v>
      </c>
      <c r="H1070" s="68">
        <v>0</v>
      </c>
      <c r="I1070" s="68">
        <f>G1070*AO1070</f>
        <v>0</v>
      </c>
      <c r="J1070" s="68">
        <f>G1070*AP1070</f>
        <v>0</v>
      </c>
      <c r="K1070" s="68">
        <f>G1070*H1070</f>
        <v>0</v>
      </c>
      <c r="L1070" s="69" t="s">
        <v>137</v>
      </c>
      <c r="Z1070" s="27">
        <f>IF(AQ1070="5",BJ1070,0)</f>
        <v>0</v>
      </c>
      <c r="AB1070" s="27">
        <f>IF(AQ1070="1",BH1070,0)</f>
        <v>0</v>
      </c>
      <c r="AC1070" s="27">
        <f>IF(AQ1070="1",BI1070,0)</f>
        <v>0</v>
      </c>
      <c r="AD1070" s="27">
        <f>IF(AQ1070="7",BH1070,0)</f>
        <v>0</v>
      </c>
      <c r="AE1070" s="27">
        <f>IF(AQ1070="7",BI1070,0)</f>
        <v>0</v>
      </c>
      <c r="AF1070" s="27">
        <f>IF(AQ1070="2",BH1070,0)</f>
        <v>0</v>
      </c>
      <c r="AG1070" s="27">
        <f>IF(AQ1070="2",BI1070,0)</f>
        <v>0</v>
      </c>
      <c r="AH1070" s="27">
        <f>IF(AQ1070="0",BJ1070,0)</f>
        <v>0</v>
      </c>
      <c r="AI1070" s="9" t="s">
        <v>1387</v>
      </c>
      <c r="AJ1070" s="27">
        <f>IF(AN1070=0,K1070,0)</f>
        <v>0</v>
      </c>
      <c r="AK1070" s="27">
        <f>IF(AN1070=12,K1070,0)</f>
        <v>0</v>
      </c>
      <c r="AL1070" s="27">
        <f>IF(AN1070=21,K1070,0)</f>
        <v>0</v>
      </c>
      <c r="AN1070" s="27">
        <v>21</v>
      </c>
      <c r="AO1070" s="27">
        <f>H1070*0.788056426</f>
        <v>0</v>
      </c>
      <c r="AP1070" s="27">
        <f>H1070*(1-0.788056426)</f>
        <v>0</v>
      </c>
      <c r="AQ1070" s="29" t="s">
        <v>84</v>
      </c>
      <c r="AV1070" s="27">
        <f>AW1070+AX1070</f>
        <v>0</v>
      </c>
      <c r="AW1070" s="27">
        <f>G1070*AO1070</f>
        <v>0</v>
      </c>
      <c r="AX1070" s="27">
        <f>G1070*AP1070</f>
        <v>0</v>
      </c>
      <c r="AY1070" s="29" t="s">
        <v>313</v>
      </c>
      <c r="AZ1070" s="29" t="s">
        <v>1626</v>
      </c>
      <c r="BA1070" s="9" t="s">
        <v>1391</v>
      </c>
      <c r="BC1070" s="27">
        <f>AW1070+AX1070</f>
        <v>0</v>
      </c>
      <c r="BD1070" s="27">
        <f>H1070/(100-BE1070)*100</f>
        <v>0</v>
      </c>
      <c r="BE1070" s="27">
        <v>0</v>
      </c>
      <c r="BF1070" s="27">
        <f>1070</f>
        <v>1070</v>
      </c>
      <c r="BH1070" s="27">
        <f>G1070*AO1070</f>
        <v>0</v>
      </c>
      <c r="BI1070" s="27">
        <f>G1070*AP1070</f>
        <v>0</v>
      </c>
      <c r="BJ1070" s="27">
        <f>G1070*H1070</f>
        <v>0</v>
      </c>
      <c r="BK1070" s="27"/>
      <c r="BL1070" s="27">
        <v>781</v>
      </c>
      <c r="BW1070" s="27">
        <v>21</v>
      </c>
    </row>
    <row r="1071" spans="1:12" ht="13.5" customHeight="1">
      <c r="A1071" s="45"/>
      <c r="D1071" s="173" t="s">
        <v>337</v>
      </c>
      <c r="E1071" s="174"/>
      <c r="F1071" s="174"/>
      <c r="G1071" s="174"/>
      <c r="H1071" s="174"/>
      <c r="I1071" s="174"/>
      <c r="J1071" s="174"/>
      <c r="K1071" s="174"/>
      <c r="L1071" s="175"/>
    </row>
    <row r="1072" spans="1:12" ht="15">
      <c r="A1072" s="46"/>
      <c r="B1072" s="47"/>
      <c r="C1072" s="47"/>
      <c r="D1072" s="48" t="s">
        <v>1285</v>
      </c>
      <c r="E1072" s="49" t="s">
        <v>1035</v>
      </c>
      <c r="F1072" s="47"/>
      <c r="G1072" s="50">
        <v>4.5</v>
      </c>
      <c r="H1072" s="47"/>
      <c r="I1072" s="47"/>
      <c r="J1072" s="47"/>
      <c r="K1072" s="47"/>
      <c r="L1072" s="51"/>
    </row>
    <row r="1073" spans="1:75" ht="13.5" customHeight="1">
      <c r="A1073" s="66" t="s">
        <v>1629</v>
      </c>
      <c r="B1073" s="67" t="s">
        <v>1387</v>
      </c>
      <c r="C1073" s="67" t="s">
        <v>356</v>
      </c>
      <c r="D1073" s="181" t="s">
        <v>357</v>
      </c>
      <c r="E1073" s="182"/>
      <c r="F1073" s="67" t="s">
        <v>154</v>
      </c>
      <c r="G1073" s="68">
        <v>2</v>
      </c>
      <c r="H1073" s="68">
        <v>0</v>
      </c>
      <c r="I1073" s="68">
        <f>G1073*AO1073</f>
        <v>0</v>
      </c>
      <c r="J1073" s="68">
        <f>G1073*AP1073</f>
        <v>0</v>
      </c>
      <c r="K1073" s="68">
        <f>G1073*H1073</f>
        <v>0</v>
      </c>
      <c r="L1073" s="69" t="s">
        <v>137</v>
      </c>
      <c r="Z1073" s="27">
        <f>IF(AQ1073="5",BJ1073,0)</f>
        <v>0</v>
      </c>
      <c r="AB1073" s="27">
        <f>IF(AQ1073="1",BH1073,0)</f>
        <v>0</v>
      </c>
      <c r="AC1073" s="27">
        <f>IF(AQ1073="1",BI1073,0)</f>
        <v>0</v>
      </c>
      <c r="AD1073" s="27">
        <f>IF(AQ1073="7",BH1073,0)</f>
        <v>0</v>
      </c>
      <c r="AE1073" s="27">
        <f>IF(AQ1073="7",BI1073,0)</f>
        <v>0</v>
      </c>
      <c r="AF1073" s="27">
        <f>IF(AQ1073="2",BH1073,0)</f>
        <v>0</v>
      </c>
      <c r="AG1073" s="27">
        <f>IF(AQ1073="2",BI1073,0)</f>
        <v>0</v>
      </c>
      <c r="AH1073" s="27">
        <f>IF(AQ1073="0",BJ1073,0)</f>
        <v>0</v>
      </c>
      <c r="AI1073" s="9" t="s">
        <v>1387</v>
      </c>
      <c r="AJ1073" s="27">
        <f>IF(AN1073=0,K1073,0)</f>
        <v>0</v>
      </c>
      <c r="AK1073" s="27">
        <f>IF(AN1073=12,K1073,0)</f>
        <v>0</v>
      </c>
      <c r="AL1073" s="27">
        <f>IF(AN1073=21,K1073,0)</f>
        <v>0</v>
      </c>
      <c r="AN1073" s="27">
        <v>21</v>
      </c>
      <c r="AO1073" s="27">
        <f>H1073*0.017595819</f>
        <v>0</v>
      </c>
      <c r="AP1073" s="27">
        <f>H1073*(1-0.017595819)</f>
        <v>0</v>
      </c>
      <c r="AQ1073" s="29" t="s">
        <v>84</v>
      </c>
      <c r="AV1073" s="27">
        <f>AW1073+AX1073</f>
        <v>0</v>
      </c>
      <c r="AW1073" s="27">
        <f>G1073*AO1073</f>
        <v>0</v>
      </c>
      <c r="AX1073" s="27">
        <f>G1073*AP1073</f>
        <v>0</v>
      </c>
      <c r="AY1073" s="29" t="s">
        <v>313</v>
      </c>
      <c r="AZ1073" s="29" t="s">
        <v>1626</v>
      </c>
      <c r="BA1073" s="9" t="s">
        <v>1391</v>
      </c>
      <c r="BC1073" s="27">
        <f>AW1073+AX1073</f>
        <v>0</v>
      </c>
      <c r="BD1073" s="27">
        <f>H1073/(100-BE1073)*100</f>
        <v>0</v>
      </c>
      <c r="BE1073" s="27">
        <v>0</v>
      </c>
      <c r="BF1073" s="27">
        <f>1073</f>
        <v>1073</v>
      </c>
      <c r="BH1073" s="27">
        <f>G1073*AO1073</f>
        <v>0</v>
      </c>
      <c r="BI1073" s="27">
        <f>G1073*AP1073</f>
        <v>0</v>
      </c>
      <c r="BJ1073" s="27">
        <f>G1073*H1073</f>
        <v>0</v>
      </c>
      <c r="BK1073" s="27"/>
      <c r="BL1073" s="27">
        <v>781</v>
      </c>
      <c r="BW1073" s="27">
        <v>21</v>
      </c>
    </row>
    <row r="1074" spans="1:12" ht="15">
      <c r="A1074" s="52"/>
      <c r="B1074" s="53"/>
      <c r="C1074" s="53"/>
      <c r="D1074" s="54" t="s">
        <v>60</v>
      </c>
      <c r="E1074" s="55" t="s">
        <v>52</v>
      </c>
      <c r="F1074" s="53"/>
      <c r="G1074" s="56">
        <v>2</v>
      </c>
      <c r="H1074" s="53"/>
      <c r="I1074" s="53"/>
      <c r="J1074" s="53"/>
      <c r="K1074" s="53"/>
      <c r="L1074" s="57"/>
    </row>
    <row r="1075" spans="1:75" ht="13.5" customHeight="1">
      <c r="A1075" s="66" t="s">
        <v>1630</v>
      </c>
      <c r="B1075" s="67" t="s">
        <v>1387</v>
      </c>
      <c r="C1075" s="67" t="s">
        <v>361</v>
      </c>
      <c r="D1075" s="181" t="s">
        <v>362</v>
      </c>
      <c r="E1075" s="182"/>
      <c r="F1075" s="67" t="s">
        <v>154</v>
      </c>
      <c r="G1075" s="68">
        <v>1</v>
      </c>
      <c r="H1075" s="68">
        <v>0</v>
      </c>
      <c r="I1075" s="68">
        <f>G1075*AO1075</f>
        <v>0</v>
      </c>
      <c r="J1075" s="68">
        <f>G1075*AP1075</f>
        <v>0</v>
      </c>
      <c r="K1075" s="68">
        <f>G1075*H1075</f>
        <v>0</v>
      </c>
      <c r="L1075" s="69" t="s">
        <v>137</v>
      </c>
      <c r="Z1075" s="27">
        <f>IF(AQ1075="5",BJ1075,0)</f>
        <v>0</v>
      </c>
      <c r="AB1075" s="27">
        <f>IF(AQ1075="1",BH1075,0)</f>
        <v>0</v>
      </c>
      <c r="AC1075" s="27">
        <f>IF(AQ1075="1",BI1075,0)</f>
        <v>0</v>
      </c>
      <c r="AD1075" s="27">
        <f>IF(AQ1075="7",BH1075,0)</f>
        <v>0</v>
      </c>
      <c r="AE1075" s="27">
        <f>IF(AQ1075="7",BI1075,0)</f>
        <v>0</v>
      </c>
      <c r="AF1075" s="27">
        <f>IF(AQ1075="2",BH1075,0)</f>
        <v>0</v>
      </c>
      <c r="AG1075" s="27">
        <f>IF(AQ1075="2",BI1075,0)</f>
        <v>0</v>
      </c>
      <c r="AH1075" s="27">
        <f>IF(AQ1075="0",BJ1075,0)</f>
        <v>0</v>
      </c>
      <c r="AI1075" s="9" t="s">
        <v>1387</v>
      </c>
      <c r="AJ1075" s="27">
        <f>IF(AN1075=0,K1075,0)</f>
        <v>0</v>
      </c>
      <c r="AK1075" s="27">
        <f>IF(AN1075=12,K1075,0)</f>
        <v>0</v>
      </c>
      <c r="AL1075" s="27">
        <f>IF(AN1075=21,K1075,0)</f>
        <v>0</v>
      </c>
      <c r="AN1075" s="27">
        <v>21</v>
      </c>
      <c r="AO1075" s="27">
        <f>H1075*0.058054711</f>
        <v>0</v>
      </c>
      <c r="AP1075" s="27">
        <f>H1075*(1-0.058054711)</f>
        <v>0</v>
      </c>
      <c r="AQ1075" s="29" t="s">
        <v>84</v>
      </c>
      <c r="AV1075" s="27">
        <f>AW1075+AX1075</f>
        <v>0</v>
      </c>
      <c r="AW1075" s="27">
        <f>G1075*AO1075</f>
        <v>0</v>
      </c>
      <c r="AX1075" s="27">
        <f>G1075*AP1075</f>
        <v>0</v>
      </c>
      <c r="AY1075" s="29" t="s">
        <v>313</v>
      </c>
      <c r="AZ1075" s="29" t="s">
        <v>1626</v>
      </c>
      <c r="BA1075" s="9" t="s">
        <v>1391</v>
      </c>
      <c r="BC1075" s="27">
        <f>AW1075+AX1075</f>
        <v>0</v>
      </c>
      <c r="BD1075" s="27">
        <f>H1075/(100-BE1075)*100</f>
        <v>0</v>
      </c>
      <c r="BE1075" s="27">
        <v>0</v>
      </c>
      <c r="BF1075" s="27">
        <f>1075</f>
        <v>1075</v>
      </c>
      <c r="BH1075" s="27">
        <f>G1075*AO1075</f>
        <v>0</v>
      </c>
      <c r="BI1075" s="27">
        <f>G1075*AP1075</f>
        <v>0</v>
      </c>
      <c r="BJ1075" s="27">
        <f>G1075*H1075</f>
        <v>0</v>
      </c>
      <c r="BK1075" s="27"/>
      <c r="BL1075" s="27">
        <v>781</v>
      </c>
      <c r="BW1075" s="27">
        <v>21</v>
      </c>
    </row>
    <row r="1076" spans="1:12" ht="15">
      <c r="A1076" s="52"/>
      <c r="B1076" s="53"/>
      <c r="C1076" s="53"/>
      <c r="D1076" s="54" t="s">
        <v>57</v>
      </c>
      <c r="E1076" s="55" t="s">
        <v>52</v>
      </c>
      <c r="F1076" s="53"/>
      <c r="G1076" s="56">
        <v>1</v>
      </c>
      <c r="H1076" s="53"/>
      <c r="I1076" s="53"/>
      <c r="J1076" s="53"/>
      <c r="K1076" s="53"/>
      <c r="L1076" s="57"/>
    </row>
    <row r="1077" spans="1:75" ht="13.5" customHeight="1">
      <c r="A1077" s="66" t="s">
        <v>1631</v>
      </c>
      <c r="B1077" s="67" t="s">
        <v>1387</v>
      </c>
      <c r="C1077" s="67" t="s">
        <v>350</v>
      </c>
      <c r="D1077" s="181" t="s">
        <v>351</v>
      </c>
      <c r="E1077" s="182"/>
      <c r="F1077" s="67" t="s">
        <v>109</v>
      </c>
      <c r="G1077" s="68">
        <v>2.25</v>
      </c>
      <c r="H1077" s="68">
        <v>0</v>
      </c>
      <c r="I1077" s="68">
        <f>G1077*AO1077</f>
        <v>0</v>
      </c>
      <c r="J1077" s="68">
        <f>G1077*AP1077</f>
        <v>0</v>
      </c>
      <c r="K1077" s="68">
        <f>G1077*H1077</f>
        <v>0</v>
      </c>
      <c r="L1077" s="69" t="s">
        <v>137</v>
      </c>
      <c r="Z1077" s="27">
        <f>IF(AQ1077="5",BJ1077,0)</f>
        <v>0</v>
      </c>
      <c r="AB1077" s="27">
        <f>IF(AQ1077="1",BH1077,0)</f>
        <v>0</v>
      </c>
      <c r="AC1077" s="27">
        <f>IF(AQ1077="1",BI1077,0)</f>
        <v>0</v>
      </c>
      <c r="AD1077" s="27">
        <f>IF(AQ1077="7",BH1077,0)</f>
        <v>0</v>
      </c>
      <c r="AE1077" s="27">
        <f>IF(AQ1077="7",BI1077,0)</f>
        <v>0</v>
      </c>
      <c r="AF1077" s="27">
        <f>IF(AQ1077="2",BH1077,0)</f>
        <v>0</v>
      </c>
      <c r="AG1077" s="27">
        <f>IF(AQ1077="2",BI1077,0)</f>
        <v>0</v>
      </c>
      <c r="AH1077" s="27">
        <f>IF(AQ1077="0",BJ1077,0)</f>
        <v>0</v>
      </c>
      <c r="AI1077" s="9" t="s">
        <v>1387</v>
      </c>
      <c r="AJ1077" s="27">
        <f>IF(AN1077=0,K1077,0)</f>
        <v>0</v>
      </c>
      <c r="AK1077" s="27">
        <f>IF(AN1077=12,K1077,0)</f>
        <v>0</v>
      </c>
      <c r="AL1077" s="27">
        <f>IF(AN1077=21,K1077,0)</f>
        <v>0</v>
      </c>
      <c r="AN1077" s="27">
        <v>21</v>
      </c>
      <c r="AO1077" s="27">
        <f>H1077*0</f>
        <v>0</v>
      </c>
      <c r="AP1077" s="27">
        <f>H1077*(1-0)</f>
        <v>0</v>
      </c>
      <c r="AQ1077" s="29" t="s">
        <v>84</v>
      </c>
      <c r="AV1077" s="27">
        <f>AW1077+AX1077</f>
        <v>0</v>
      </c>
      <c r="AW1077" s="27">
        <f>G1077*AO1077</f>
        <v>0</v>
      </c>
      <c r="AX1077" s="27">
        <f>G1077*AP1077</f>
        <v>0</v>
      </c>
      <c r="AY1077" s="29" t="s">
        <v>313</v>
      </c>
      <c r="AZ1077" s="29" t="s">
        <v>1626</v>
      </c>
      <c r="BA1077" s="9" t="s">
        <v>1391</v>
      </c>
      <c r="BC1077" s="27">
        <f>AW1077+AX1077</f>
        <v>0</v>
      </c>
      <c r="BD1077" s="27">
        <f>H1077/(100-BE1077)*100</f>
        <v>0</v>
      </c>
      <c r="BE1077" s="27">
        <v>0</v>
      </c>
      <c r="BF1077" s="27">
        <f>1077</f>
        <v>1077</v>
      </c>
      <c r="BH1077" s="27">
        <f>G1077*AO1077</f>
        <v>0</v>
      </c>
      <c r="BI1077" s="27">
        <f>G1077*AP1077</f>
        <v>0</v>
      </c>
      <c r="BJ1077" s="27">
        <f>G1077*H1077</f>
        <v>0</v>
      </c>
      <c r="BK1077" s="27"/>
      <c r="BL1077" s="27">
        <v>781</v>
      </c>
      <c r="BW1077" s="27">
        <v>21</v>
      </c>
    </row>
    <row r="1078" spans="1:12" ht="15">
      <c r="A1078" s="52"/>
      <c r="B1078" s="53"/>
      <c r="C1078" s="53"/>
      <c r="D1078" s="54" t="s">
        <v>1282</v>
      </c>
      <c r="E1078" s="55" t="s">
        <v>1035</v>
      </c>
      <c r="F1078" s="53"/>
      <c r="G1078" s="56">
        <v>2.25</v>
      </c>
      <c r="H1078" s="53"/>
      <c r="I1078" s="53"/>
      <c r="J1078" s="53"/>
      <c r="K1078" s="53"/>
      <c r="L1078" s="57"/>
    </row>
    <row r="1079" spans="1:75" ht="13.5" customHeight="1">
      <c r="A1079" s="80" t="s">
        <v>1632</v>
      </c>
      <c r="B1079" s="81" t="s">
        <v>1387</v>
      </c>
      <c r="C1079" s="81" t="s">
        <v>1049</v>
      </c>
      <c r="D1079" s="187" t="s">
        <v>1050</v>
      </c>
      <c r="E1079" s="188"/>
      <c r="F1079" s="81" t="s">
        <v>282</v>
      </c>
      <c r="G1079" s="82">
        <v>3.375</v>
      </c>
      <c r="H1079" s="82">
        <v>0</v>
      </c>
      <c r="I1079" s="82">
        <f>G1079*AO1079</f>
        <v>0</v>
      </c>
      <c r="J1079" s="82">
        <f>G1079*AP1079</f>
        <v>0</v>
      </c>
      <c r="K1079" s="82">
        <f>G1079*H1079</f>
        <v>0</v>
      </c>
      <c r="L1079" s="83" t="s">
        <v>137</v>
      </c>
      <c r="Z1079" s="27">
        <f>IF(AQ1079="5",BJ1079,0)</f>
        <v>0</v>
      </c>
      <c r="AB1079" s="27">
        <f>IF(AQ1079="1",BH1079,0)</f>
        <v>0</v>
      </c>
      <c r="AC1079" s="27">
        <f>IF(AQ1079="1",BI1079,0)</f>
        <v>0</v>
      </c>
      <c r="AD1079" s="27">
        <f>IF(AQ1079="7",BH1079,0)</f>
        <v>0</v>
      </c>
      <c r="AE1079" s="27">
        <f>IF(AQ1079="7",BI1079,0)</f>
        <v>0</v>
      </c>
      <c r="AF1079" s="27">
        <f>IF(AQ1079="2",BH1079,0)</f>
        <v>0</v>
      </c>
      <c r="AG1079" s="27">
        <f>IF(AQ1079="2",BI1079,0)</f>
        <v>0</v>
      </c>
      <c r="AH1079" s="27">
        <f>IF(AQ1079="0",BJ1079,0)</f>
        <v>0</v>
      </c>
      <c r="AI1079" s="9" t="s">
        <v>1387</v>
      </c>
      <c r="AJ1079" s="62">
        <f>IF(AN1079=0,K1079,0)</f>
        <v>0</v>
      </c>
      <c r="AK1079" s="62">
        <f>IF(AN1079=12,K1079,0)</f>
        <v>0</v>
      </c>
      <c r="AL1079" s="62">
        <f>IF(AN1079=21,K1079,0)</f>
        <v>0</v>
      </c>
      <c r="AN1079" s="27">
        <v>21</v>
      </c>
      <c r="AO1079" s="27">
        <f>H1079*1</f>
        <v>0</v>
      </c>
      <c r="AP1079" s="27">
        <f>H1079*(1-1)</f>
        <v>0</v>
      </c>
      <c r="AQ1079" s="64" t="s">
        <v>84</v>
      </c>
      <c r="AV1079" s="27">
        <f>AW1079+AX1079</f>
        <v>0</v>
      </c>
      <c r="AW1079" s="27">
        <f>G1079*AO1079</f>
        <v>0</v>
      </c>
      <c r="AX1079" s="27">
        <f>G1079*AP1079</f>
        <v>0</v>
      </c>
      <c r="AY1079" s="29" t="s">
        <v>313</v>
      </c>
      <c r="AZ1079" s="29" t="s">
        <v>1626</v>
      </c>
      <c r="BA1079" s="9" t="s">
        <v>1391</v>
      </c>
      <c r="BC1079" s="27">
        <f>AW1079+AX1079</f>
        <v>0</v>
      </c>
      <c r="BD1079" s="27">
        <f>H1079/(100-BE1079)*100</f>
        <v>0</v>
      </c>
      <c r="BE1079" s="27">
        <v>0</v>
      </c>
      <c r="BF1079" s="27">
        <f>1079</f>
        <v>1079</v>
      </c>
      <c r="BH1079" s="62">
        <f>G1079*AO1079</f>
        <v>0</v>
      </c>
      <c r="BI1079" s="62">
        <f>G1079*AP1079</f>
        <v>0</v>
      </c>
      <c r="BJ1079" s="62">
        <f>G1079*H1079</f>
        <v>0</v>
      </c>
      <c r="BK1079" s="62"/>
      <c r="BL1079" s="27">
        <v>781</v>
      </c>
      <c r="BW1079" s="27">
        <v>21</v>
      </c>
    </row>
    <row r="1080" spans="1:12" ht="15">
      <c r="A1080" s="52"/>
      <c r="B1080" s="53"/>
      <c r="C1080" s="53"/>
      <c r="D1080" s="54" t="s">
        <v>1290</v>
      </c>
      <c r="E1080" s="55" t="s">
        <v>1035</v>
      </c>
      <c r="F1080" s="53"/>
      <c r="G1080" s="56">
        <v>3.375</v>
      </c>
      <c r="H1080" s="53"/>
      <c r="I1080" s="53"/>
      <c r="J1080" s="53"/>
      <c r="K1080" s="53"/>
      <c r="L1080" s="57"/>
    </row>
    <row r="1081" spans="1:75" ht="13.5" customHeight="1">
      <c r="A1081" s="66" t="s">
        <v>1633</v>
      </c>
      <c r="B1081" s="67" t="s">
        <v>1387</v>
      </c>
      <c r="C1081" s="67" t="s">
        <v>1055</v>
      </c>
      <c r="D1081" s="181" t="s">
        <v>1056</v>
      </c>
      <c r="E1081" s="182"/>
      <c r="F1081" s="67" t="s">
        <v>109</v>
      </c>
      <c r="G1081" s="68">
        <v>2.4</v>
      </c>
      <c r="H1081" s="68">
        <v>0</v>
      </c>
      <c r="I1081" s="68">
        <f>G1081*AO1081</f>
        <v>0</v>
      </c>
      <c r="J1081" s="68">
        <f>G1081*AP1081</f>
        <v>0</v>
      </c>
      <c r="K1081" s="68">
        <f>G1081*H1081</f>
        <v>0</v>
      </c>
      <c r="L1081" s="69" t="s">
        <v>137</v>
      </c>
      <c r="Z1081" s="27">
        <f>IF(AQ1081="5",BJ1081,0)</f>
        <v>0</v>
      </c>
      <c r="AB1081" s="27">
        <f>IF(AQ1081="1",BH1081,0)</f>
        <v>0</v>
      </c>
      <c r="AC1081" s="27">
        <f>IF(AQ1081="1",BI1081,0)</f>
        <v>0</v>
      </c>
      <c r="AD1081" s="27">
        <f>IF(AQ1081="7",BH1081,0)</f>
        <v>0</v>
      </c>
      <c r="AE1081" s="27">
        <f>IF(AQ1081="7",BI1081,0)</f>
        <v>0</v>
      </c>
      <c r="AF1081" s="27">
        <f>IF(AQ1081="2",BH1081,0)</f>
        <v>0</v>
      </c>
      <c r="AG1081" s="27">
        <f>IF(AQ1081="2",BI1081,0)</f>
        <v>0</v>
      </c>
      <c r="AH1081" s="27">
        <f>IF(AQ1081="0",BJ1081,0)</f>
        <v>0</v>
      </c>
      <c r="AI1081" s="9" t="s">
        <v>1387</v>
      </c>
      <c r="AJ1081" s="27">
        <f>IF(AN1081=0,K1081,0)</f>
        <v>0</v>
      </c>
      <c r="AK1081" s="27">
        <f>IF(AN1081=12,K1081,0)</f>
        <v>0</v>
      </c>
      <c r="AL1081" s="27">
        <f>IF(AN1081=21,K1081,0)</f>
        <v>0</v>
      </c>
      <c r="AN1081" s="27">
        <v>21</v>
      </c>
      <c r="AO1081" s="27">
        <f>H1081*0</f>
        <v>0</v>
      </c>
      <c r="AP1081" s="27">
        <f>H1081*(1-0)</f>
        <v>0</v>
      </c>
      <c r="AQ1081" s="29" t="s">
        <v>84</v>
      </c>
      <c r="AV1081" s="27">
        <f>AW1081+AX1081</f>
        <v>0</v>
      </c>
      <c r="AW1081" s="27">
        <f>G1081*AO1081</f>
        <v>0</v>
      </c>
      <c r="AX1081" s="27">
        <f>G1081*AP1081</f>
        <v>0</v>
      </c>
      <c r="AY1081" s="29" t="s">
        <v>313</v>
      </c>
      <c r="AZ1081" s="29" t="s">
        <v>1626</v>
      </c>
      <c r="BA1081" s="9" t="s">
        <v>1391</v>
      </c>
      <c r="BC1081" s="27">
        <f>AW1081+AX1081</f>
        <v>0</v>
      </c>
      <c r="BD1081" s="27">
        <f>H1081/(100-BE1081)*100</f>
        <v>0</v>
      </c>
      <c r="BE1081" s="27">
        <v>0</v>
      </c>
      <c r="BF1081" s="27">
        <f>1081</f>
        <v>1081</v>
      </c>
      <c r="BH1081" s="27">
        <f>G1081*AO1081</f>
        <v>0</v>
      </c>
      <c r="BI1081" s="27">
        <f>G1081*AP1081</f>
        <v>0</v>
      </c>
      <c r="BJ1081" s="27">
        <f>G1081*H1081</f>
        <v>0</v>
      </c>
      <c r="BK1081" s="27"/>
      <c r="BL1081" s="27">
        <v>781</v>
      </c>
      <c r="BW1081" s="27">
        <v>21</v>
      </c>
    </row>
    <row r="1082" spans="1:12" ht="15">
      <c r="A1082" s="52"/>
      <c r="B1082" s="53"/>
      <c r="C1082" s="53"/>
      <c r="D1082" s="54" t="s">
        <v>1034</v>
      </c>
      <c r="E1082" s="55" t="s">
        <v>1035</v>
      </c>
      <c r="F1082" s="53"/>
      <c r="G1082" s="56">
        <v>2.4</v>
      </c>
      <c r="H1082" s="53"/>
      <c r="I1082" s="53"/>
      <c r="J1082" s="53"/>
      <c r="K1082" s="53"/>
      <c r="L1082" s="57"/>
    </row>
    <row r="1083" spans="1:75" ht="13.5" customHeight="1">
      <c r="A1083" s="101" t="s">
        <v>1634</v>
      </c>
      <c r="B1083" s="102" t="s">
        <v>1387</v>
      </c>
      <c r="C1083" s="102" t="s">
        <v>1635</v>
      </c>
      <c r="D1083" s="198" t="s">
        <v>1636</v>
      </c>
      <c r="E1083" s="199"/>
      <c r="F1083" s="102" t="s">
        <v>109</v>
      </c>
      <c r="G1083" s="103">
        <v>2.25</v>
      </c>
      <c r="H1083" s="103">
        <v>0</v>
      </c>
      <c r="I1083" s="103">
        <f>G1083*AO1083</f>
        <v>0</v>
      </c>
      <c r="J1083" s="103">
        <f>G1083*AP1083</f>
        <v>0</v>
      </c>
      <c r="K1083" s="103">
        <f>G1083*H1083</f>
        <v>0</v>
      </c>
      <c r="L1083" s="104" t="s">
        <v>137</v>
      </c>
      <c r="Z1083" s="27">
        <f>IF(AQ1083="5",BJ1083,0)</f>
        <v>0</v>
      </c>
      <c r="AB1083" s="27">
        <f>IF(AQ1083="1",BH1083,0)</f>
        <v>0</v>
      </c>
      <c r="AC1083" s="27">
        <f>IF(AQ1083="1",BI1083,0)</f>
        <v>0</v>
      </c>
      <c r="AD1083" s="27">
        <f>IF(AQ1083="7",BH1083,0)</f>
        <v>0</v>
      </c>
      <c r="AE1083" s="27">
        <f>IF(AQ1083="7",BI1083,0)</f>
        <v>0</v>
      </c>
      <c r="AF1083" s="27">
        <f>IF(AQ1083="2",BH1083,0)</f>
        <v>0</v>
      </c>
      <c r="AG1083" s="27">
        <f>IF(AQ1083="2",BI1083,0)</f>
        <v>0</v>
      </c>
      <c r="AH1083" s="27">
        <f>IF(AQ1083="0",BJ1083,0)</f>
        <v>0</v>
      </c>
      <c r="AI1083" s="9" t="s">
        <v>1387</v>
      </c>
      <c r="AJ1083" s="27">
        <f>IF(AN1083=0,K1083,0)</f>
        <v>0</v>
      </c>
      <c r="AK1083" s="27">
        <f>IF(AN1083=12,K1083,0)</f>
        <v>0</v>
      </c>
      <c r="AL1083" s="27">
        <f>IF(AN1083=21,K1083,0)</f>
        <v>0</v>
      </c>
      <c r="AN1083" s="27">
        <v>21</v>
      </c>
      <c r="AO1083" s="27">
        <f>H1083*0</f>
        <v>0</v>
      </c>
      <c r="AP1083" s="27">
        <f>H1083*(1-0)</f>
        <v>0</v>
      </c>
      <c r="AQ1083" s="29" t="s">
        <v>84</v>
      </c>
      <c r="AV1083" s="27">
        <f>AW1083+AX1083</f>
        <v>0</v>
      </c>
      <c r="AW1083" s="27">
        <f>G1083*AO1083</f>
        <v>0</v>
      </c>
      <c r="AX1083" s="27">
        <f>G1083*AP1083</f>
        <v>0</v>
      </c>
      <c r="AY1083" s="29" t="s">
        <v>313</v>
      </c>
      <c r="AZ1083" s="29" t="s">
        <v>1626</v>
      </c>
      <c r="BA1083" s="9" t="s">
        <v>1391</v>
      </c>
      <c r="BC1083" s="27">
        <f>AW1083+AX1083</f>
        <v>0</v>
      </c>
      <c r="BD1083" s="27">
        <f>H1083/(100-BE1083)*100</f>
        <v>0</v>
      </c>
      <c r="BE1083" s="27">
        <v>0</v>
      </c>
      <c r="BF1083" s="27">
        <f>1083</f>
        <v>1083</v>
      </c>
      <c r="BH1083" s="27">
        <f>G1083*AO1083</f>
        <v>0</v>
      </c>
      <c r="BI1083" s="27">
        <f>G1083*AP1083</f>
        <v>0</v>
      </c>
      <c r="BJ1083" s="27">
        <f>G1083*H1083</f>
        <v>0</v>
      </c>
      <c r="BK1083" s="27"/>
      <c r="BL1083" s="27">
        <v>781</v>
      </c>
      <c r="BW1083" s="27">
        <v>21</v>
      </c>
    </row>
    <row r="1084" spans="1:12" ht="15">
      <c r="A1084" s="30"/>
      <c r="D1084" s="32" t="s">
        <v>1637</v>
      </c>
      <c r="E1084" s="31" t="s">
        <v>1638</v>
      </c>
      <c r="G1084" s="33">
        <v>2.25</v>
      </c>
      <c r="L1084" s="34"/>
    </row>
    <row r="1085" spans="1:12" ht="13.5" customHeight="1">
      <c r="A1085" s="30"/>
      <c r="C1085" s="35" t="s">
        <v>102</v>
      </c>
      <c r="D1085" s="166" t="s">
        <v>354</v>
      </c>
      <c r="E1085" s="167"/>
      <c r="F1085" s="167"/>
      <c r="G1085" s="167"/>
      <c r="H1085" s="167"/>
      <c r="I1085" s="167"/>
      <c r="J1085" s="167"/>
      <c r="K1085" s="167"/>
      <c r="L1085" s="168"/>
    </row>
    <row r="1086" spans="1:75" ht="13.5" customHeight="1">
      <c r="A1086" s="2" t="s">
        <v>1639</v>
      </c>
      <c r="B1086" s="3" t="s">
        <v>1387</v>
      </c>
      <c r="C1086" s="3" t="s">
        <v>311</v>
      </c>
      <c r="D1086" s="148" t="s">
        <v>312</v>
      </c>
      <c r="E1086" s="143"/>
      <c r="F1086" s="3" t="s">
        <v>109</v>
      </c>
      <c r="G1086" s="27">
        <v>2.25</v>
      </c>
      <c r="H1086" s="27">
        <v>0</v>
      </c>
      <c r="I1086" s="27">
        <f>G1086*AO1086</f>
        <v>0</v>
      </c>
      <c r="J1086" s="27">
        <f>G1086*AP1086</f>
        <v>0</v>
      </c>
      <c r="K1086" s="27">
        <f>G1086*H1086</f>
        <v>0</v>
      </c>
      <c r="L1086" s="28" t="s">
        <v>137</v>
      </c>
      <c r="Z1086" s="27">
        <f>IF(AQ1086="5",BJ1086,0)</f>
        <v>0</v>
      </c>
      <c r="AB1086" s="27">
        <f>IF(AQ1086="1",BH1086,0)</f>
        <v>0</v>
      </c>
      <c r="AC1086" s="27">
        <f>IF(AQ1086="1",BI1086,0)</f>
        <v>0</v>
      </c>
      <c r="AD1086" s="27">
        <f>IF(AQ1086="7",BH1086,0)</f>
        <v>0</v>
      </c>
      <c r="AE1086" s="27">
        <f>IF(AQ1086="7",BI1086,0)</f>
        <v>0</v>
      </c>
      <c r="AF1086" s="27">
        <f>IF(AQ1086="2",BH1086,0)</f>
        <v>0</v>
      </c>
      <c r="AG1086" s="27">
        <f>IF(AQ1086="2",BI1086,0)</f>
        <v>0</v>
      </c>
      <c r="AH1086" s="27">
        <f>IF(AQ1086="0",BJ1086,0)</f>
        <v>0</v>
      </c>
      <c r="AI1086" s="9" t="s">
        <v>1387</v>
      </c>
      <c r="AJ1086" s="27">
        <f>IF(AN1086=0,K1086,0)</f>
        <v>0</v>
      </c>
      <c r="AK1086" s="27">
        <f>IF(AN1086=12,K1086,0)</f>
        <v>0</v>
      </c>
      <c r="AL1086" s="27">
        <f>IF(AN1086=21,K1086,0)</f>
        <v>0</v>
      </c>
      <c r="AN1086" s="27">
        <v>21</v>
      </c>
      <c r="AO1086" s="27">
        <f>H1086*0</f>
        <v>0</v>
      </c>
      <c r="AP1086" s="27">
        <f>H1086*(1-0)</f>
        <v>0</v>
      </c>
      <c r="AQ1086" s="29" t="s">
        <v>84</v>
      </c>
      <c r="AV1086" s="27">
        <f>AW1086+AX1086</f>
        <v>0</v>
      </c>
      <c r="AW1086" s="27">
        <f>G1086*AO1086</f>
        <v>0</v>
      </c>
      <c r="AX1086" s="27">
        <f>G1086*AP1086</f>
        <v>0</v>
      </c>
      <c r="AY1086" s="29" t="s">
        <v>313</v>
      </c>
      <c r="AZ1086" s="29" t="s">
        <v>1626</v>
      </c>
      <c r="BA1086" s="9" t="s">
        <v>1391</v>
      </c>
      <c r="BC1086" s="27">
        <f>AW1086+AX1086</f>
        <v>0</v>
      </c>
      <c r="BD1086" s="27">
        <f>H1086/(100-BE1086)*100</f>
        <v>0</v>
      </c>
      <c r="BE1086" s="27">
        <v>0</v>
      </c>
      <c r="BF1086" s="27">
        <f>1086</f>
        <v>1086</v>
      </c>
      <c r="BH1086" s="27">
        <f>G1086*AO1086</f>
        <v>0</v>
      </c>
      <c r="BI1086" s="27">
        <f>G1086*AP1086</f>
        <v>0</v>
      </c>
      <c r="BJ1086" s="27">
        <f>G1086*H1086</f>
        <v>0</v>
      </c>
      <c r="BK1086" s="27"/>
      <c r="BL1086" s="27">
        <v>781</v>
      </c>
      <c r="BW1086" s="27">
        <v>21</v>
      </c>
    </row>
    <row r="1087" spans="1:12" ht="15">
      <c r="A1087" s="30"/>
      <c r="D1087" s="32" t="s">
        <v>1637</v>
      </c>
      <c r="E1087" s="31" t="s">
        <v>1638</v>
      </c>
      <c r="G1087" s="33">
        <v>2.25</v>
      </c>
      <c r="L1087" s="34"/>
    </row>
    <row r="1088" spans="1:12" ht="13.5" customHeight="1">
      <c r="A1088" s="98"/>
      <c r="C1088" s="99" t="s">
        <v>102</v>
      </c>
      <c r="D1088" s="195" t="s">
        <v>316</v>
      </c>
      <c r="E1088" s="196"/>
      <c r="F1088" s="196"/>
      <c r="G1088" s="196"/>
      <c r="H1088" s="196"/>
      <c r="I1088" s="196"/>
      <c r="J1088" s="196"/>
      <c r="K1088" s="196"/>
      <c r="L1088" s="197"/>
    </row>
    <row r="1089" spans="1:75" ht="13.5" customHeight="1">
      <c r="A1089" s="41" t="s">
        <v>1640</v>
      </c>
      <c r="B1089" s="42" t="s">
        <v>1387</v>
      </c>
      <c r="C1089" s="42" t="s">
        <v>1058</v>
      </c>
      <c r="D1089" s="171" t="s">
        <v>1059</v>
      </c>
      <c r="E1089" s="172"/>
      <c r="F1089" s="42" t="s">
        <v>951</v>
      </c>
      <c r="G1089" s="43">
        <v>67.68</v>
      </c>
      <c r="H1089" s="43">
        <v>0</v>
      </c>
      <c r="I1089" s="43">
        <f>G1089*AO1089</f>
        <v>0</v>
      </c>
      <c r="J1089" s="43">
        <f>G1089*AP1089</f>
        <v>0</v>
      </c>
      <c r="K1089" s="43">
        <f>G1089*H1089</f>
        <v>0</v>
      </c>
      <c r="L1089" s="44" t="s">
        <v>137</v>
      </c>
      <c r="Z1089" s="27">
        <f>IF(AQ1089="5",BJ1089,0)</f>
        <v>0</v>
      </c>
      <c r="AB1089" s="27">
        <f>IF(AQ1089="1",BH1089,0)</f>
        <v>0</v>
      </c>
      <c r="AC1089" s="27">
        <f>IF(AQ1089="1",BI1089,0)</f>
        <v>0</v>
      </c>
      <c r="AD1089" s="27">
        <f>IF(AQ1089="7",BH1089,0)</f>
        <v>0</v>
      </c>
      <c r="AE1089" s="27">
        <f>IF(AQ1089="7",BI1089,0)</f>
        <v>0</v>
      </c>
      <c r="AF1089" s="27">
        <f>IF(AQ1089="2",BH1089,0)</f>
        <v>0</v>
      </c>
      <c r="AG1089" s="27">
        <f>IF(AQ1089="2",BI1089,0)</f>
        <v>0</v>
      </c>
      <c r="AH1089" s="27">
        <f>IF(AQ1089="0",BJ1089,0)</f>
        <v>0</v>
      </c>
      <c r="AI1089" s="9" t="s">
        <v>1387</v>
      </c>
      <c r="AJ1089" s="27">
        <f>IF(AN1089=0,K1089,0)</f>
        <v>0</v>
      </c>
      <c r="AK1089" s="27">
        <f>IF(AN1089=12,K1089,0)</f>
        <v>0</v>
      </c>
      <c r="AL1089" s="27">
        <f>IF(AN1089=21,K1089,0)</f>
        <v>0</v>
      </c>
      <c r="AN1089" s="27">
        <v>21</v>
      </c>
      <c r="AO1089" s="27">
        <f>H1089*0</f>
        <v>0</v>
      </c>
      <c r="AP1089" s="27">
        <f>H1089*(1-0)</f>
        <v>0</v>
      </c>
      <c r="AQ1089" s="29" t="s">
        <v>78</v>
      </c>
      <c r="AV1089" s="27">
        <f>AW1089+AX1089</f>
        <v>0</v>
      </c>
      <c r="AW1089" s="27">
        <f>G1089*AO1089</f>
        <v>0</v>
      </c>
      <c r="AX1089" s="27">
        <f>G1089*AP1089</f>
        <v>0</v>
      </c>
      <c r="AY1089" s="29" t="s">
        <v>313</v>
      </c>
      <c r="AZ1089" s="29" t="s">
        <v>1626</v>
      </c>
      <c r="BA1089" s="9" t="s">
        <v>1391</v>
      </c>
      <c r="BC1089" s="27">
        <f>AW1089+AX1089</f>
        <v>0</v>
      </c>
      <c r="BD1089" s="27">
        <f>H1089/(100-BE1089)*100</f>
        <v>0</v>
      </c>
      <c r="BE1089" s="27">
        <v>0</v>
      </c>
      <c r="BF1089" s="27">
        <f>1089</f>
        <v>1089</v>
      </c>
      <c r="BH1089" s="27">
        <f>G1089*AO1089</f>
        <v>0</v>
      </c>
      <c r="BI1089" s="27">
        <f>G1089*AP1089</f>
        <v>0</v>
      </c>
      <c r="BJ1089" s="27">
        <f>G1089*H1089</f>
        <v>0</v>
      </c>
      <c r="BK1089" s="27"/>
      <c r="BL1089" s="27">
        <v>781</v>
      </c>
      <c r="BW1089" s="27">
        <v>21</v>
      </c>
    </row>
    <row r="1090" spans="1:12" ht="15">
      <c r="A1090" s="52"/>
      <c r="B1090" s="53"/>
      <c r="C1090" s="53"/>
      <c r="D1090" s="54" t="s">
        <v>1641</v>
      </c>
      <c r="E1090" s="55" t="s">
        <v>52</v>
      </c>
      <c r="F1090" s="53"/>
      <c r="G1090" s="56">
        <v>67.68</v>
      </c>
      <c r="H1090" s="53"/>
      <c r="I1090" s="53"/>
      <c r="J1090" s="53"/>
      <c r="K1090" s="53"/>
      <c r="L1090" s="57"/>
    </row>
    <row r="1091" spans="1:47" ht="15">
      <c r="A1091" s="75" t="s">
        <v>52</v>
      </c>
      <c r="B1091" s="76" t="s">
        <v>1387</v>
      </c>
      <c r="C1091" s="76" t="s">
        <v>364</v>
      </c>
      <c r="D1091" s="185" t="s">
        <v>365</v>
      </c>
      <c r="E1091" s="186"/>
      <c r="F1091" s="77" t="s">
        <v>4</v>
      </c>
      <c r="G1091" s="77" t="s">
        <v>4</v>
      </c>
      <c r="H1091" s="77" t="s">
        <v>4</v>
      </c>
      <c r="I1091" s="78">
        <f>SUM(I1092:I1101)</f>
        <v>0</v>
      </c>
      <c r="J1091" s="78">
        <f>SUM(J1092:J1101)</f>
        <v>0</v>
      </c>
      <c r="K1091" s="78">
        <f>SUM(K1092:K1101)</f>
        <v>0</v>
      </c>
      <c r="L1091" s="79" t="s">
        <v>52</v>
      </c>
      <c r="AI1091" s="9" t="s">
        <v>1387</v>
      </c>
      <c r="AS1091" s="1">
        <f>SUM(AJ1092:AJ1101)</f>
        <v>0</v>
      </c>
      <c r="AT1091" s="1">
        <f>SUM(AK1092:AK1101)</f>
        <v>0</v>
      </c>
      <c r="AU1091" s="1">
        <f>SUM(AL1092:AL1101)</f>
        <v>0</v>
      </c>
    </row>
    <row r="1092" spans="1:75" ht="13.5" customHeight="1">
      <c r="A1092" s="66" t="s">
        <v>1642</v>
      </c>
      <c r="B1092" s="67" t="s">
        <v>1387</v>
      </c>
      <c r="C1092" s="67" t="s">
        <v>1062</v>
      </c>
      <c r="D1092" s="181" t="s">
        <v>1063</v>
      </c>
      <c r="E1092" s="182"/>
      <c r="F1092" s="67" t="s">
        <v>109</v>
      </c>
      <c r="G1092" s="68">
        <v>25</v>
      </c>
      <c r="H1092" s="68">
        <v>0</v>
      </c>
      <c r="I1092" s="68">
        <f>G1092*AO1092</f>
        <v>0</v>
      </c>
      <c r="J1092" s="68">
        <f>G1092*AP1092</f>
        <v>0</v>
      </c>
      <c r="K1092" s="68">
        <f>G1092*H1092</f>
        <v>0</v>
      </c>
      <c r="L1092" s="69" t="s">
        <v>137</v>
      </c>
      <c r="Z1092" s="27">
        <f>IF(AQ1092="5",BJ1092,0)</f>
        <v>0</v>
      </c>
      <c r="AB1092" s="27">
        <f>IF(AQ1092="1",BH1092,0)</f>
        <v>0</v>
      </c>
      <c r="AC1092" s="27">
        <f>IF(AQ1092="1",BI1092,0)</f>
        <v>0</v>
      </c>
      <c r="AD1092" s="27">
        <f>IF(AQ1092="7",BH1092,0)</f>
        <v>0</v>
      </c>
      <c r="AE1092" s="27">
        <f>IF(AQ1092="7",BI1092,0)</f>
        <v>0</v>
      </c>
      <c r="AF1092" s="27">
        <f>IF(AQ1092="2",BH1092,0)</f>
        <v>0</v>
      </c>
      <c r="AG1092" s="27">
        <f>IF(AQ1092="2",BI1092,0)</f>
        <v>0</v>
      </c>
      <c r="AH1092" s="27">
        <f>IF(AQ1092="0",BJ1092,0)</f>
        <v>0</v>
      </c>
      <c r="AI1092" s="9" t="s">
        <v>1387</v>
      </c>
      <c r="AJ1092" s="27">
        <f>IF(AN1092=0,K1092,0)</f>
        <v>0</v>
      </c>
      <c r="AK1092" s="27">
        <f>IF(AN1092=12,K1092,0)</f>
        <v>0</v>
      </c>
      <c r="AL1092" s="27">
        <f>IF(AN1092=21,K1092,0)</f>
        <v>0</v>
      </c>
      <c r="AN1092" s="27">
        <v>21</v>
      </c>
      <c r="AO1092" s="27">
        <f>H1092*0.424730053</f>
        <v>0</v>
      </c>
      <c r="AP1092" s="27">
        <f>H1092*(1-0.424730053)</f>
        <v>0</v>
      </c>
      <c r="AQ1092" s="29" t="s">
        <v>84</v>
      </c>
      <c r="AV1092" s="27">
        <f>AW1092+AX1092</f>
        <v>0</v>
      </c>
      <c r="AW1092" s="27">
        <f>G1092*AO1092</f>
        <v>0</v>
      </c>
      <c r="AX1092" s="27">
        <f>G1092*AP1092</f>
        <v>0</v>
      </c>
      <c r="AY1092" s="29" t="s">
        <v>369</v>
      </c>
      <c r="AZ1092" s="29" t="s">
        <v>1626</v>
      </c>
      <c r="BA1092" s="9" t="s">
        <v>1391</v>
      </c>
      <c r="BC1092" s="27">
        <f>AW1092+AX1092</f>
        <v>0</v>
      </c>
      <c r="BD1092" s="27">
        <f>H1092/(100-BE1092)*100</f>
        <v>0</v>
      </c>
      <c r="BE1092" s="27">
        <v>0</v>
      </c>
      <c r="BF1092" s="27">
        <f>1092</f>
        <v>1092</v>
      </c>
      <c r="BH1092" s="27">
        <f>G1092*AO1092</f>
        <v>0</v>
      </c>
      <c r="BI1092" s="27">
        <f>G1092*AP1092</f>
        <v>0</v>
      </c>
      <c r="BJ1092" s="27">
        <f>G1092*H1092</f>
        <v>0</v>
      </c>
      <c r="BK1092" s="27"/>
      <c r="BL1092" s="27">
        <v>783</v>
      </c>
      <c r="BW1092" s="27">
        <v>21</v>
      </c>
    </row>
    <row r="1093" spans="1:12" ht="15">
      <c r="A1093" s="52"/>
      <c r="B1093" s="53"/>
      <c r="C1093" s="53"/>
      <c r="D1093" s="54" t="s">
        <v>221</v>
      </c>
      <c r="E1093" s="55" t="s">
        <v>52</v>
      </c>
      <c r="F1093" s="53"/>
      <c r="G1093" s="56">
        <v>25</v>
      </c>
      <c r="H1093" s="53"/>
      <c r="I1093" s="53"/>
      <c r="J1093" s="53"/>
      <c r="K1093" s="53"/>
      <c r="L1093" s="57"/>
    </row>
    <row r="1094" spans="1:75" ht="13.5" customHeight="1">
      <c r="A1094" s="66" t="s">
        <v>1643</v>
      </c>
      <c r="B1094" s="67" t="s">
        <v>1387</v>
      </c>
      <c r="C1094" s="67" t="s">
        <v>1065</v>
      </c>
      <c r="D1094" s="181" t="s">
        <v>1066</v>
      </c>
      <c r="E1094" s="182"/>
      <c r="F1094" s="67" t="s">
        <v>126</v>
      </c>
      <c r="G1094" s="68">
        <v>18.6</v>
      </c>
      <c r="H1094" s="68">
        <v>0</v>
      </c>
      <c r="I1094" s="68">
        <f>G1094*AO1094</f>
        <v>0</v>
      </c>
      <c r="J1094" s="68">
        <f>G1094*AP1094</f>
        <v>0</v>
      </c>
      <c r="K1094" s="68">
        <f>G1094*H1094</f>
        <v>0</v>
      </c>
      <c r="L1094" s="69" t="s">
        <v>137</v>
      </c>
      <c r="Z1094" s="27">
        <f>IF(AQ1094="5",BJ1094,0)</f>
        <v>0</v>
      </c>
      <c r="AB1094" s="27">
        <f>IF(AQ1094="1",BH1094,0)</f>
        <v>0</v>
      </c>
      <c r="AC1094" s="27">
        <f>IF(AQ1094="1",BI1094,0)</f>
        <v>0</v>
      </c>
      <c r="AD1094" s="27">
        <f>IF(AQ1094="7",BH1094,0)</f>
        <v>0</v>
      </c>
      <c r="AE1094" s="27">
        <f>IF(AQ1094="7",BI1094,0)</f>
        <v>0</v>
      </c>
      <c r="AF1094" s="27">
        <f>IF(AQ1094="2",BH1094,0)</f>
        <v>0</v>
      </c>
      <c r="AG1094" s="27">
        <f>IF(AQ1094="2",BI1094,0)</f>
        <v>0</v>
      </c>
      <c r="AH1094" s="27">
        <f>IF(AQ1094="0",BJ1094,0)</f>
        <v>0</v>
      </c>
      <c r="AI1094" s="9" t="s">
        <v>1387</v>
      </c>
      <c r="AJ1094" s="27">
        <f>IF(AN1094=0,K1094,0)</f>
        <v>0</v>
      </c>
      <c r="AK1094" s="27">
        <f>IF(AN1094=12,K1094,0)</f>
        <v>0</v>
      </c>
      <c r="AL1094" s="27">
        <f>IF(AN1094=21,K1094,0)</f>
        <v>0</v>
      </c>
      <c r="AN1094" s="27">
        <v>21</v>
      </c>
      <c r="AO1094" s="27">
        <f>H1094*0.217722367</f>
        <v>0</v>
      </c>
      <c r="AP1094" s="27">
        <f>H1094*(1-0.217722367)</f>
        <v>0</v>
      </c>
      <c r="AQ1094" s="29" t="s">
        <v>84</v>
      </c>
      <c r="AV1094" s="27">
        <f>AW1094+AX1094</f>
        <v>0</v>
      </c>
      <c r="AW1094" s="27">
        <f>G1094*AO1094</f>
        <v>0</v>
      </c>
      <c r="AX1094" s="27">
        <f>G1094*AP1094</f>
        <v>0</v>
      </c>
      <c r="AY1094" s="29" t="s">
        <v>369</v>
      </c>
      <c r="AZ1094" s="29" t="s">
        <v>1626</v>
      </c>
      <c r="BA1094" s="9" t="s">
        <v>1391</v>
      </c>
      <c r="BC1094" s="27">
        <f>AW1094+AX1094</f>
        <v>0</v>
      </c>
      <c r="BD1094" s="27">
        <f>H1094/(100-BE1094)*100</f>
        <v>0</v>
      </c>
      <c r="BE1094" s="27">
        <v>0</v>
      </c>
      <c r="BF1094" s="27">
        <f>1094</f>
        <v>1094</v>
      </c>
      <c r="BH1094" s="27">
        <f>G1094*AO1094</f>
        <v>0</v>
      </c>
      <c r="BI1094" s="27">
        <f>G1094*AP1094</f>
        <v>0</v>
      </c>
      <c r="BJ1094" s="27">
        <f>G1094*H1094</f>
        <v>0</v>
      </c>
      <c r="BK1094" s="27"/>
      <c r="BL1094" s="27">
        <v>783</v>
      </c>
      <c r="BW1094" s="27">
        <v>21</v>
      </c>
    </row>
    <row r="1095" spans="1:12" ht="15">
      <c r="A1095" s="52"/>
      <c r="B1095" s="53"/>
      <c r="C1095" s="53"/>
      <c r="D1095" s="54" t="s">
        <v>1644</v>
      </c>
      <c r="E1095" s="55" t="s">
        <v>52</v>
      </c>
      <c r="F1095" s="53"/>
      <c r="G1095" s="56">
        <v>18.6</v>
      </c>
      <c r="H1095" s="53"/>
      <c r="I1095" s="53"/>
      <c r="J1095" s="53"/>
      <c r="K1095" s="53"/>
      <c r="L1095" s="57"/>
    </row>
    <row r="1096" spans="1:75" ht="13.5" customHeight="1">
      <c r="A1096" s="66" t="s">
        <v>1645</v>
      </c>
      <c r="B1096" s="67" t="s">
        <v>1387</v>
      </c>
      <c r="C1096" s="67" t="s">
        <v>1069</v>
      </c>
      <c r="D1096" s="181" t="s">
        <v>1070</v>
      </c>
      <c r="E1096" s="182"/>
      <c r="F1096" s="67" t="s">
        <v>109</v>
      </c>
      <c r="G1096" s="68">
        <v>25</v>
      </c>
      <c r="H1096" s="68">
        <v>0</v>
      </c>
      <c r="I1096" s="68">
        <f>G1096*AO1096</f>
        <v>0</v>
      </c>
      <c r="J1096" s="68">
        <f>G1096*AP1096</f>
        <v>0</v>
      </c>
      <c r="K1096" s="68">
        <f>G1096*H1096</f>
        <v>0</v>
      </c>
      <c r="L1096" s="69" t="s">
        <v>137</v>
      </c>
      <c r="Z1096" s="27">
        <f>IF(AQ1096="5",BJ1096,0)</f>
        <v>0</v>
      </c>
      <c r="AB1096" s="27">
        <f>IF(AQ1096="1",BH1096,0)</f>
        <v>0</v>
      </c>
      <c r="AC1096" s="27">
        <f>IF(AQ1096="1",BI1096,0)</f>
        <v>0</v>
      </c>
      <c r="AD1096" s="27">
        <f>IF(AQ1096="7",BH1096,0)</f>
        <v>0</v>
      </c>
      <c r="AE1096" s="27">
        <f>IF(AQ1096="7",BI1096,0)</f>
        <v>0</v>
      </c>
      <c r="AF1096" s="27">
        <f>IF(AQ1096="2",BH1096,0)</f>
        <v>0</v>
      </c>
      <c r="AG1096" s="27">
        <f>IF(AQ1096="2",BI1096,0)</f>
        <v>0</v>
      </c>
      <c r="AH1096" s="27">
        <f>IF(AQ1096="0",BJ1096,0)</f>
        <v>0</v>
      </c>
      <c r="AI1096" s="9" t="s">
        <v>1387</v>
      </c>
      <c r="AJ1096" s="27">
        <f>IF(AN1096=0,K1096,0)</f>
        <v>0</v>
      </c>
      <c r="AK1096" s="27">
        <f>IF(AN1096=12,K1096,0)</f>
        <v>0</v>
      </c>
      <c r="AL1096" s="27">
        <f>IF(AN1096=21,K1096,0)</f>
        <v>0</v>
      </c>
      <c r="AN1096" s="27">
        <v>21</v>
      </c>
      <c r="AO1096" s="27">
        <f>H1096*0.103076923</f>
        <v>0</v>
      </c>
      <c r="AP1096" s="27">
        <f>H1096*(1-0.103076923)</f>
        <v>0</v>
      </c>
      <c r="AQ1096" s="29" t="s">
        <v>84</v>
      </c>
      <c r="AV1096" s="27">
        <f>AW1096+AX1096</f>
        <v>0</v>
      </c>
      <c r="AW1096" s="27">
        <f>G1096*AO1096</f>
        <v>0</v>
      </c>
      <c r="AX1096" s="27">
        <f>G1096*AP1096</f>
        <v>0</v>
      </c>
      <c r="AY1096" s="29" t="s">
        <v>369</v>
      </c>
      <c r="AZ1096" s="29" t="s">
        <v>1626</v>
      </c>
      <c r="BA1096" s="9" t="s">
        <v>1391</v>
      </c>
      <c r="BC1096" s="27">
        <f>AW1096+AX1096</f>
        <v>0</v>
      </c>
      <c r="BD1096" s="27">
        <f>H1096/(100-BE1096)*100</f>
        <v>0</v>
      </c>
      <c r="BE1096" s="27">
        <v>0</v>
      </c>
      <c r="BF1096" s="27">
        <f>1096</f>
        <v>1096</v>
      </c>
      <c r="BH1096" s="27">
        <f>G1096*AO1096</f>
        <v>0</v>
      </c>
      <c r="BI1096" s="27">
        <f>G1096*AP1096</f>
        <v>0</v>
      </c>
      <c r="BJ1096" s="27">
        <f>G1096*H1096</f>
        <v>0</v>
      </c>
      <c r="BK1096" s="27"/>
      <c r="BL1096" s="27">
        <v>783</v>
      </c>
      <c r="BW1096" s="27">
        <v>21</v>
      </c>
    </row>
    <row r="1097" spans="1:12" ht="13.5" customHeight="1">
      <c r="A1097" s="45"/>
      <c r="D1097" s="173" t="s">
        <v>1298</v>
      </c>
      <c r="E1097" s="174"/>
      <c r="F1097" s="174"/>
      <c r="G1097" s="174"/>
      <c r="H1097" s="174"/>
      <c r="I1097" s="174"/>
      <c r="J1097" s="174"/>
      <c r="K1097" s="174"/>
      <c r="L1097" s="175"/>
    </row>
    <row r="1098" spans="1:12" ht="15">
      <c r="A1098" s="46"/>
      <c r="B1098" s="47"/>
      <c r="C1098" s="47"/>
      <c r="D1098" s="48" t="s">
        <v>221</v>
      </c>
      <c r="E1098" s="49" t="s">
        <v>52</v>
      </c>
      <c r="F1098" s="47"/>
      <c r="G1098" s="50">
        <v>25</v>
      </c>
      <c r="H1098" s="47"/>
      <c r="I1098" s="47"/>
      <c r="J1098" s="47"/>
      <c r="K1098" s="47"/>
      <c r="L1098" s="51"/>
    </row>
    <row r="1099" spans="1:75" ht="13.5" customHeight="1">
      <c r="A1099" s="66" t="s">
        <v>1646</v>
      </c>
      <c r="B1099" s="67" t="s">
        <v>1387</v>
      </c>
      <c r="C1099" s="67" t="s">
        <v>1134</v>
      </c>
      <c r="D1099" s="181" t="s">
        <v>1135</v>
      </c>
      <c r="E1099" s="182"/>
      <c r="F1099" s="67" t="s">
        <v>126</v>
      </c>
      <c r="G1099" s="68">
        <v>18.6</v>
      </c>
      <c r="H1099" s="68">
        <v>0</v>
      </c>
      <c r="I1099" s="68">
        <f>G1099*AO1099</f>
        <v>0</v>
      </c>
      <c r="J1099" s="68">
        <f>G1099*AP1099</f>
        <v>0</v>
      </c>
      <c r="K1099" s="68">
        <f>G1099*H1099</f>
        <v>0</v>
      </c>
      <c r="L1099" s="69" t="s">
        <v>137</v>
      </c>
      <c r="Z1099" s="27">
        <f>IF(AQ1099="5",BJ1099,0)</f>
        <v>0</v>
      </c>
      <c r="AB1099" s="27">
        <f>IF(AQ1099="1",BH1099,0)</f>
        <v>0</v>
      </c>
      <c r="AC1099" s="27">
        <f>IF(AQ1099="1",BI1099,0)</f>
        <v>0</v>
      </c>
      <c r="AD1099" s="27">
        <f>IF(AQ1099="7",BH1099,0)</f>
        <v>0</v>
      </c>
      <c r="AE1099" s="27">
        <f>IF(AQ1099="7",BI1099,0)</f>
        <v>0</v>
      </c>
      <c r="AF1099" s="27">
        <f>IF(AQ1099="2",BH1099,0)</f>
        <v>0</v>
      </c>
      <c r="AG1099" s="27">
        <f>IF(AQ1099="2",BI1099,0)</f>
        <v>0</v>
      </c>
      <c r="AH1099" s="27">
        <f>IF(AQ1099="0",BJ1099,0)</f>
        <v>0</v>
      </c>
      <c r="AI1099" s="9" t="s">
        <v>1387</v>
      </c>
      <c r="AJ1099" s="27">
        <f>IF(AN1099=0,K1099,0)</f>
        <v>0</v>
      </c>
      <c r="AK1099" s="27">
        <f>IF(AN1099=12,K1099,0)</f>
        <v>0</v>
      </c>
      <c r="AL1099" s="27">
        <f>IF(AN1099=21,K1099,0)</f>
        <v>0</v>
      </c>
      <c r="AN1099" s="27">
        <v>21</v>
      </c>
      <c r="AO1099" s="27">
        <f>H1099*0</f>
        <v>0</v>
      </c>
      <c r="AP1099" s="27">
        <f>H1099*(1-0)</f>
        <v>0</v>
      </c>
      <c r="AQ1099" s="29" t="s">
        <v>60</v>
      </c>
      <c r="AV1099" s="27">
        <f>AW1099+AX1099</f>
        <v>0</v>
      </c>
      <c r="AW1099" s="27">
        <f>G1099*AO1099</f>
        <v>0</v>
      </c>
      <c r="AX1099" s="27">
        <f>G1099*AP1099</f>
        <v>0</v>
      </c>
      <c r="AY1099" s="29" t="s">
        <v>369</v>
      </c>
      <c r="AZ1099" s="29" t="s">
        <v>1626</v>
      </c>
      <c r="BA1099" s="9" t="s">
        <v>1391</v>
      </c>
      <c r="BC1099" s="27">
        <f>AW1099+AX1099</f>
        <v>0</v>
      </c>
      <c r="BD1099" s="27">
        <f>H1099/(100-BE1099)*100</f>
        <v>0</v>
      </c>
      <c r="BE1099" s="27">
        <v>0</v>
      </c>
      <c r="BF1099" s="27">
        <f>1099</f>
        <v>1099</v>
      </c>
      <c r="BH1099" s="27">
        <f>G1099*AO1099</f>
        <v>0</v>
      </c>
      <c r="BI1099" s="27">
        <f>G1099*AP1099</f>
        <v>0</v>
      </c>
      <c r="BJ1099" s="27">
        <f>G1099*H1099</f>
        <v>0</v>
      </c>
      <c r="BK1099" s="27"/>
      <c r="BL1099" s="27">
        <v>783</v>
      </c>
      <c r="BW1099" s="27">
        <v>21</v>
      </c>
    </row>
    <row r="1100" spans="1:12" ht="15">
      <c r="A1100" s="52"/>
      <c r="B1100" s="53"/>
      <c r="C1100" s="53"/>
      <c r="D1100" s="54" t="s">
        <v>1644</v>
      </c>
      <c r="E1100" s="55" t="s">
        <v>52</v>
      </c>
      <c r="F1100" s="53"/>
      <c r="G1100" s="56">
        <v>18.6</v>
      </c>
      <c r="H1100" s="53"/>
      <c r="I1100" s="53"/>
      <c r="J1100" s="53"/>
      <c r="K1100" s="53"/>
      <c r="L1100" s="57"/>
    </row>
    <row r="1101" spans="1:75" ht="13.5" customHeight="1">
      <c r="A1101" s="66" t="s">
        <v>1647</v>
      </c>
      <c r="B1101" s="67" t="s">
        <v>1387</v>
      </c>
      <c r="C1101" s="67" t="s">
        <v>367</v>
      </c>
      <c r="D1101" s="181" t="s">
        <v>1073</v>
      </c>
      <c r="E1101" s="182"/>
      <c r="F1101" s="67" t="s">
        <v>109</v>
      </c>
      <c r="G1101" s="68">
        <v>1.2375</v>
      </c>
      <c r="H1101" s="68">
        <v>0</v>
      </c>
      <c r="I1101" s="68">
        <f>G1101*AO1101</f>
        <v>0</v>
      </c>
      <c r="J1101" s="68">
        <f>G1101*AP1101</f>
        <v>0</v>
      </c>
      <c r="K1101" s="68">
        <f>G1101*H1101</f>
        <v>0</v>
      </c>
      <c r="L1101" s="69" t="s">
        <v>137</v>
      </c>
      <c r="Z1101" s="27">
        <f>IF(AQ1101="5",BJ1101,0)</f>
        <v>0</v>
      </c>
      <c r="AB1101" s="27">
        <f>IF(AQ1101="1",BH1101,0)</f>
        <v>0</v>
      </c>
      <c r="AC1101" s="27">
        <f>IF(AQ1101="1",BI1101,0)</f>
        <v>0</v>
      </c>
      <c r="AD1101" s="27">
        <f>IF(AQ1101="7",BH1101,0)</f>
        <v>0</v>
      </c>
      <c r="AE1101" s="27">
        <f>IF(AQ1101="7",BI1101,0)</f>
        <v>0</v>
      </c>
      <c r="AF1101" s="27">
        <f>IF(AQ1101="2",BH1101,0)</f>
        <v>0</v>
      </c>
      <c r="AG1101" s="27">
        <f>IF(AQ1101="2",BI1101,0)</f>
        <v>0</v>
      </c>
      <c r="AH1101" s="27">
        <f>IF(AQ1101="0",BJ1101,0)</f>
        <v>0</v>
      </c>
      <c r="AI1101" s="9" t="s">
        <v>1387</v>
      </c>
      <c r="AJ1101" s="27">
        <f>IF(AN1101=0,K1101,0)</f>
        <v>0</v>
      </c>
      <c r="AK1101" s="27">
        <f>IF(AN1101=12,K1101,0)</f>
        <v>0</v>
      </c>
      <c r="AL1101" s="27">
        <f>IF(AN1101=21,K1101,0)</f>
        <v>0</v>
      </c>
      <c r="AN1101" s="27">
        <v>21</v>
      </c>
      <c r="AO1101" s="27">
        <f>H1101*0.196672317</f>
        <v>0</v>
      </c>
      <c r="AP1101" s="27">
        <f>H1101*(1-0.196672317)</f>
        <v>0</v>
      </c>
      <c r="AQ1101" s="29" t="s">
        <v>84</v>
      </c>
      <c r="AV1101" s="27">
        <f>AW1101+AX1101</f>
        <v>0</v>
      </c>
      <c r="AW1101" s="27">
        <f>G1101*AO1101</f>
        <v>0</v>
      </c>
      <c r="AX1101" s="27">
        <f>G1101*AP1101</f>
        <v>0</v>
      </c>
      <c r="AY1101" s="29" t="s">
        <v>369</v>
      </c>
      <c r="AZ1101" s="29" t="s">
        <v>1626</v>
      </c>
      <c r="BA1101" s="9" t="s">
        <v>1391</v>
      </c>
      <c r="BC1101" s="27">
        <f>AW1101+AX1101</f>
        <v>0</v>
      </c>
      <c r="BD1101" s="27">
        <f>H1101/(100-BE1101)*100</f>
        <v>0</v>
      </c>
      <c r="BE1101" s="27">
        <v>0</v>
      </c>
      <c r="BF1101" s="27">
        <f>1101</f>
        <v>1101</v>
      </c>
      <c r="BH1101" s="27">
        <f>G1101*AO1101</f>
        <v>0</v>
      </c>
      <c r="BI1101" s="27">
        <f>G1101*AP1101</f>
        <v>0</v>
      </c>
      <c r="BJ1101" s="27">
        <f>G1101*H1101</f>
        <v>0</v>
      </c>
      <c r="BK1101" s="27"/>
      <c r="BL1101" s="27">
        <v>783</v>
      </c>
      <c r="BW1101" s="27">
        <v>21</v>
      </c>
    </row>
    <row r="1102" spans="1:12" ht="13.5" customHeight="1">
      <c r="A1102" s="45"/>
      <c r="D1102" s="173" t="s">
        <v>1074</v>
      </c>
      <c r="E1102" s="174"/>
      <c r="F1102" s="174"/>
      <c r="G1102" s="174"/>
      <c r="H1102" s="174"/>
      <c r="I1102" s="174"/>
      <c r="J1102" s="174"/>
      <c r="K1102" s="174"/>
      <c r="L1102" s="175"/>
    </row>
    <row r="1103" spans="1:12" ht="15">
      <c r="A1103" s="46"/>
      <c r="B1103" s="47"/>
      <c r="C1103" s="47"/>
      <c r="D1103" s="48" t="s">
        <v>1648</v>
      </c>
      <c r="E1103" s="49" t="s">
        <v>52</v>
      </c>
      <c r="F1103" s="47"/>
      <c r="G1103" s="50">
        <v>1.2375</v>
      </c>
      <c r="H1103" s="47"/>
      <c r="I1103" s="47"/>
      <c r="J1103" s="47"/>
      <c r="K1103" s="47"/>
      <c r="L1103" s="51"/>
    </row>
    <row r="1104" spans="1:47" ht="15">
      <c r="A1104" s="75" t="s">
        <v>52</v>
      </c>
      <c r="B1104" s="76" t="s">
        <v>1387</v>
      </c>
      <c r="C1104" s="76" t="s">
        <v>374</v>
      </c>
      <c r="D1104" s="185" t="s">
        <v>375</v>
      </c>
      <c r="E1104" s="186"/>
      <c r="F1104" s="77" t="s">
        <v>4</v>
      </c>
      <c r="G1104" s="77" t="s">
        <v>4</v>
      </c>
      <c r="H1104" s="77" t="s">
        <v>4</v>
      </c>
      <c r="I1104" s="78">
        <f>SUM(I1105:I1123)</f>
        <v>0</v>
      </c>
      <c r="J1104" s="78">
        <f>SUM(J1105:J1123)</f>
        <v>0</v>
      </c>
      <c r="K1104" s="78">
        <f>SUM(K1105:K1123)</f>
        <v>0</v>
      </c>
      <c r="L1104" s="79" t="s">
        <v>52</v>
      </c>
      <c r="AI1104" s="9" t="s">
        <v>1387</v>
      </c>
      <c r="AS1104" s="1">
        <f>SUM(AJ1105:AJ1123)</f>
        <v>0</v>
      </c>
      <c r="AT1104" s="1">
        <f>SUM(AK1105:AK1123)</f>
        <v>0</v>
      </c>
      <c r="AU1104" s="1">
        <f>SUM(AL1105:AL1123)</f>
        <v>0</v>
      </c>
    </row>
    <row r="1105" spans="1:75" ht="13.5" customHeight="1">
      <c r="A1105" s="66" t="s">
        <v>1649</v>
      </c>
      <c r="B1105" s="67" t="s">
        <v>1387</v>
      </c>
      <c r="C1105" s="67" t="s">
        <v>1077</v>
      </c>
      <c r="D1105" s="181" t="s">
        <v>1078</v>
      </c>
      <c r="E1105" s="182"/>
      <c r="F1105" s="67" t="s">
        <v>154</v>
      </c>
      <c r="G1105" s="68">
        <v>50</v>
      </c>
      <c r="H1105" s="68">
        <v>0</v>
      </c>
      <c r="I1105" s="68">
        <f>G1105*AO1105</f>
        <v>0</v>
      </c>
      <c r="J1105" s="68">
        <f>G1105*AP1105</f>
        <v>0</v>
      </c>
      <c r="K1105" s="68">
        <f>G1105*H1105</f>
        <v>0</v>
      </c>
      <c r="L1105" s="69" t="s">
        <v>137</v>
      </c>
      <c r="Z1105" s="27">
        <f>IF(AQ1105="5",BJ1105,0)</f>
        <v>0</v>
      </c>
      <c r="AB1105" s="27">
        <f>IF(AQ1105="1",BH1105,0)</f>
        <v>0</v>
      </c>
      <c r="AC1105" s="27">
        <f>IF(AQ1105="1",BI1105,0)</f>
        <v>0</v>
      </c>
      <c r="AD1105" s="27">
        <f>IF(AQ1105="7",BH1105,0)</f>
        <v>0</v>
      </c>
      <c r="AE1105" s="27">
        <f>IF(AQ1105="7",BI1105,0)</f>
        <v>0</v>
      </c>
      <c r="AF1105" s="27">
        <f>IF(AQ1105="2",BH1105,0)</f>
        <v>0</v>
      </c>
      <c r="AG1105" s="27">
        <f>IF(AQ1105="2",BI1105,0)</f>
        <v>0</v>
      </c>
      <c r="AH1105" s="27">
        <f>IF(AQ1105="0",BJ1105,0)</f>
        <v>0</v>
      </c>
      <c r="AI1105" s="9" t="s">
        <v>1387</v>
      </c>
      <c r="AJ1105" s="27">
        <f>IF(AN1105=0,K1105,0)</f>
        <v>0</v>
      </c>
      <c r="AK1105" s="27">
        <f>IF(AN1105=12,K1105,0)</f>
        <v>0</v>
      </c>
      <c r="AL1105" s="27">
        <f>IF(AN1105=21,K1105,0)</f>
        <v>0</v>
      </c>
      <c r="AN1105" s="27">
        <v>21</v>
      </c>
      <c r="AO1105" s="27">
        <f>H1105*0.137539432</f>
        <v>0</v>
      </c>
      <c r="AP1105" s="27">
        <f>H1105*(1-0.137539432)</f>
        <v>0</v>
      </c>
      <c r="AQ1105" s="29" t="s">
        <v>84</v>
      </c>
      <c r="AV1105" s="27">
        <f>AW1105+AX1105</f>
        <v>0</v>
      </c>
      <c r="AW1105" s="27">
        <f>G1105*AO1105</f>
        <v>0</v>
      </c>
      <c r="AX1105" s="27">
        <f>G1105*AP1105</f>
        <v>0</v>
      </c>
      <c r="AY1105" s="29" t="s">
        <v>379</v>
      </c>
      <c r="AZ1105" s="29" t="s">
        <v>1626</v>
      </c>
      <c r="BA1105" s="9" t="s">
        <v>1391</v>
      </c>
      <c r="BC1105" s="27">
        <f>AW1105+AX1105</f>
        <v>0</v>
      </c>
      <c r="BD1105" s="27">
        <f>H1105/(100-BE1105)*100</f>
        <v>0</v>
      </c>
      <c r="BE1105" s="27">
        <v>0</v>
      </c>
      <c r="BF1105" s="27">
        <f>1105</f>
        <v>1105</v>
      </c>
      <c r="BH1105" s="27">
        <f>G1105*AO1105</f>
        <v>0</v>
      </c>
      <c r="BI1105" s="27">
        <f>G1105*AP1105</f>
        <v>0</v>
      </c>
      <c r="BJ1105" s="27">
        <f>G1105*H1105</f>
        <v>0</v>
      </c>
      <c r="BK1105" s="27"/>
      <c r="BL1105" s="27">
        <v>784</v>
      </c>
      <c r="BW1105" s="27">
        <v>21</v>
      </c>
    </row>
    <row r="1106" spans="1:12" ht="27" customHeight="1">
      <c r="A1106" s="45"/>
      <c r="D1106" s="173" t="s">
        <v>1079</v>
      </c>
      <c r="E1106" s="174"/>
      <c r="F1106" s="174"/>
      <c r="G1106" s="174"/>
      <c r="H1106" s="174"/>
      <c r="I1106" s="174"/>
      <c r="J1106" s="174"/>
      <c r="K1106" s="174"/>
      <c r="L1106" s="175"/>
    </row>
    <row r="1107" spans="1:12" ht="15">
      <c r="A1107" s="46"/>
      <c r="B1107" s="47"/>
      <c r="C1107" s="47"/>
      <c r="D1107" s="48" t="s">
        <v>360</v>
      </c>
      <c r="E1107" s="49" t="s">
        <v>52</v>
      </c>
      <c r="F1107" s="47"/>
      <c r="G1107" s="50">
        <v>50</v>
      </c>
      <c r="H1107" s="47"/>
      <c r="I1107" s="47"/>
      <c r="J1107" s="47"/>
      <c r="K1107" s="47"/>
      <c r="L1107" s="51"/>
    </row>
    <row r="1108" spans="1:75" ht="13.5" customHeight="1">
      <c r="A1108" s="66" t="s">
        <v>1650</v>
      </c>
      <c r="B1108" s="67" t="s">
        <v>1387</v>
      </c>
      <c r="C1108" s="67" t="s">
        <v>1081</v>
      </c>
      <c r="D1108" s="181" t="s">
        <v>1082</v>
      </c>
      <c r="E1108" s="182"/>
      <c r="F1108" s="67" t="s">
        <v>109</v>
      </c>
      <c r="G1108" s="68">
        <v>143.282</v>
      </c>
      <c r="H1108" s="68">
        <v>0</v>
      </c>
      <c r="I1108" s="68">
        <f>G1108*AO1108</f>
        <v>0</v>
      </c>
      <c r="J1108" s="68">
        <f>G1108*AP1108</f>
        <v>0</v>
      </c>
      <c r="K1108" s="68">
        <f>G1108*H1108</f>
        <v>0</v>
      </c>
      <c r="L1108" s="69" t="s">
        <v>137</v>
      </c>
      <c r="Z1108" s="27">
        <f>IF(AQ1108="5",BJ1108,0)</f>
        <v>0</v>
      </c>
      <c r="AB1108" s="27">
        <f>IF(AQ1108="1",BH1108,0)</f>
        <v>0</v>
      </c>
      <c r="AC1108" s="27">
        <f>IF(AQ1108="1",BI1108,0)</f>
        <v>0</v>
      </c>
      <c r="AD1108" s="27">
        <f>IF(AQ1108="7",BH1108,0)</f>
        <v>0</v>
      </c>
      <c r="AE1108" s="27">
        <f>IF(AQ1108="7",BI1108,0)</f>
        <v>0</v>
      </c>
      <c r="AF1108" s="27">
        <f>IF(AQ1108="2",BH1108,0)</f>
        <v>0</v>
      </c>
      <c r="AG1108" s="27">
        <f>IF(AQ1108="2",BI1108,0)</f>
        <v>0</v>
      </c>
      <c r="AH1108" s="27">
        <f>IF(AQ1108="0",BJ1108,0)</f>
        <v>0</v>
      </c>
      <c r="AI1108" s="9" t="s">
        <v>1387</v>
      </c>
      <c r="AJ1108" s="27">
        <f>IF(AN1108=0,K1108,0)</f>
        <v>0</v>
      </c>
      <c r="AK1108" s="27">
        <f>IF(AN1108=12,K1108,0)</f>
        <v>0</v>
      </c>
      <c r="AL1108" s="27">
        <f>IF(AN1108=21,K1108,0)</f>
        <v>0</v>
      </c>
      <c r="AN1108" s="27">
        <v>21</v>
      </c>
      <c r="AO1108" s="27">
        <f>H1108*0</f>
        <v>0</v>
      </c>
      <c r="AP1108" s="27">
        <f>H1108*(1-0)</f>
        <v>0</v>
      </c>
      <c r="AQ1108" s="29" t="s">
        <v>84</v>
      </c>
      <c r="AV1108" s="27">
        <f>AW1108+AX1108</f>
        <v>0</v>
      </c>
      <c r="AW1108" s="27">
        <f>G1108*AO1108</f>
        <v>0</v>
      </c>
      <c r="AX1108" s="27">
        <f>G1108*AP1108</f>
        <v>0</v>
      </c>
      <c r="AY1108" s="29" t="s">
        <v>379</v>
      </c>
      <c r="AZ1108" s="29" t="s">
        <v>1626</v>
      </c>
      <c r="BA1108" s="9" t="s">
        <v>1391</v>
      </c>
      <c r="BC1108" s="27">
        <f>AW1108+AX1108</f>
        <v>0</v>
      </c>
      <c r="BD1108" s="27">
        <f>H1108/(100-BE1108)*100</f>
        <v>0</v>
      </c>
      <c r="BE1108" s="27">
        <v>0</v>
      </c>
      <c r="BF1108" s="27">
        <f>1108</f>
        <v>1108</v>
      </c>
      <c r="BH1108" s="27">
        <f>G1108*AO1108</f>
        <v>0</v>
      </c>
      <c r="BI1108" s="27">
        <f>G1108*AP1108</f>
        <v>0</v>
      </c>
      <c r="BJ1108" s="27">
        <f>G1108*H1108</f>
        <v>0</v>
      </c>
      <c r="BK1108" s="27"/>
      <c r="BL1108" s="27">
        <v>784</v>
      </c>
      <c r="BW1108" s="27">
        <v>21</v>
      </c>
    </row>
    <row r="1109" spans="1:12" ht="15">
      <c r="A1109" s="52"/>
      <c r="B1109" s="53"/>
      <c r="C1109" s="53"/>
      <c r="D1109" s="54" t="s">
        <v>1651</v>
      </c>
      <c r="E1109" s="55" t="s">
        <v>1084</v>
      </c>
      <c r="F1109" s="53"/>
      <c r="G1109" s="56">
        <v>106.887</v>
      </c>
      <c r="H1109" s="53"/>
      <c r="I1109" s="53"/>
      <c r="J1109" s="53"/>
      <c r="K1109" s="53"/>
      <c r="L1109" s="57"/>
    </row>
    <row r="1110" spans="1:12" ht="15">
      <c r="A1110" s="52"/>
      <c r="B1110" s="53"/>
      <c r="C1110" s="53"/>
      <c r="D1110" s="54" t="s">
        <v>1430</v>
      </c>
      <c r="E1110" s="55" t="s">
        <v>1086</v>
      </c>
      <c r="F1110" s="53"/>
      <c r="G1110" s="56">
        <v>42.99</v>
      </c>
      <c r="H1110" s="53"/>
      <c r="I1110" s="53"/>
      <c r="J1110" s="53"/>
      <c r="K1110" s="53"/>
      <c r="L1110" s="57"/>
    </row>
    <row r="1111" spans="1:12" ht="15">
      <c r="A1111" s="52"/>
      <c r="B1111" s="53"/>
      <c r="C1111" s="53"/>
      <c r="D1111" s="54" t="s">
        <v>1652</v>
      </c>
      <c r="E1111" s="55" t="s">
        <v>1088</v>
      </c>
      <c r="F1111" s="53"/>
      <c r="G1111" s="56">
        <v>5.64</v>
      </c>
      <c r="H1111" s="53"/>
      <c r="I1111" s="53"/>
      <c r="J1111" s="53"/>
      <c r="K1111" s="53"/>
      <c r="L1111" s="57"/>
    </row>
    <row r="1112" spans="1:12" ht="15">
      <c r="A1112" s="52"/>
      <c r="B1112" s="53"/>
      <c r="C1112" s="53"/>
      <c r="D1112" s="54" t="s">
        <v>1653</v>
      </c>
      <c r="E1112" s="55" t="s">
        <v>1090</v>
      </c>
      <c r="F1112" s="53"/>
      <c r="G1112" s="56">
        <v>-12.235</v>
      </c>
      <c r="H1112" s="53"/>
      <c r="I1112" s="53"/>
      <c r="J1112" s="53"/>
      <c r="K1112" s="53"/>
      <c r="L1112" s="57"/>
    </row>
    <row r="1113" spans="1:75" ht="13.5" customHeight="1">
      <c r="A1113" s="66" t="s">
        <v>1654</v>
      </c>
      <c r="B1113" s="67" t="s">
        <v>1387</v>
      </c>
      <c r="C1113" s="67" t="s">
        <v>1093</v>
      </c>
      <c r="D1113" s="181" t="s">
        <v>1311</v>
      </c>
      <c r="E1113" s="182"/>
      <c r="F1113" s="67" t="s">
        <v>109</v>
      </c>
      <c r="G1113" s="68">
        <v>143.282</v>
      </c>
      <c r="H1113" s="68">
        <v>0</v>
      </c>
      <c r="I1113" s="68">
        <f>G1113*AO1113</f>
        <v>0</v>
      </c>
      <c r="J1113" s="68">
        <f>G1113*AP1113</f>
        <v>0</v>
      </c>
      <c r="K1113" s="68">
        <f>G1113*H1113</f>
        <v>0</v>
      </c>
      <c r="L1113" s="69" t="s">
        <v>137</v>
      </c>
      <c r="Z1113" s="27">
        <f>IF(AQ1113="5",BJ1113,0)</f>
        <v>0</v>
      </c>
      <c r="AB1113" s="27">
        <f>IF(AQ1113="1",BH1113,0)</f>
        <v>0</v>
      </c>
      <c r="AC1113" s="27">
        <f>IF(AQ1113="1",BI1113,0)</f>
        <v>0</v>
      </c>
      <c r="AD1113" s="27">
        <f>IF(AQ1113="7",BH1113,0)</f>
        <v>0</v>
      </c>
      <c r="AE1113" s="27">
        <f>IF(AQ1113="7",BI1113,0)</f>
        <v>0</v>
      </c>
      <c r="AF1113" s="27">
        <f>IF(AQ1113="2",BH1113,0)</f>
        <v>0</v>
      </c>
      <c r="AG1113" s="27">
        <f>IF(AQ1113="2",BI1113,0)</f>
        <v>0</v>
      </c>
      <c r="AH1113" s="27">
        <f>IF(AQ1113="0",BJ1113,0)</f>
        <v>0</v>
      </c>
      <c r="AI1113" s="9" t="s">
        <v>1387</v>
      </c>
      <c r="AJ1113" s="27">
        <f>IF(AN1113=0,K1113,0)</f>
        <v>0</v>
      </c>
      <c r="AK1113" s="27">
        <f>IF(AN1113=12,K1113,0)</f>
        <v>0</v>
      </c>
      <c r="AL1113" s="27">
        <f>IF(AN1113=21,K1113,0)</f>
        <v>0</v>
      </c>
      <c r="AN1113" s="27">
        <v>21</v>
      </c>
      <c r="AO1113" s="27">
        <f>H1113*0.289961687</f>
        <v>0</v>
      </c>
      <c r="AP1113" s="27">
        <f>H1113*(1-0.289961687)</f>
        <v>0</v>
      </c>
      <c r="AQ1113" s="29" t="s">
        <v>84</v>
      </c>
      <c r="AV1113" s="27">
        <f>AW1113+AX1113</f>
        <v>0</v>
      </c>
      <c r="AW1113" s="27">
        <f>G1113*AO1113</f>
        <v>0</v>
      </c>
      <c r="AX1113" s="27">
        <f>G1113*AP1113</f>
        <v>0</v>
      </c>
      <c r="AY1113" s="29" t="s">
        <v>379</v>
      </c>
      <c r="AZ1113" s="29" t="s">
        <v>1626</v>
      </c>
      <c r="BA1113" s="9" t="s">
        <v>1391</v>
      </c>
      <c r="BC1113" s="27">
        <f>AW1113+AX1113</f>
        <v>0</v>
      </c>
      <c r="BD1113" s="27">
        <f>H1113/(100-BE1113)*100</f>
        <v>0</v>
      </c>
      <c r="BE1113" s="27">
        <v>0</v>
      </c>
      <c r="BF1113" s="27">
        <f>1113</f>
        <v>1113</v>
      </c>
      <c r="BH1113" s="27">
        <f>G1113*AO1113</f>
        <v>0</v>
      </c>
      <c r="BI1113" s="27">
        <f>G1113*AP1113</f>
        <v>0</v>
      </c>
      <c r="BJ1113" s="27">
        <f>G1113*H1113</f>
        <v>0</v>
      </c>
      <c r="BK1113" s="27"/>
      <c r="BL1113" s="27">
        <v>784</v>
      </c>
      <c r="BW1113" s="27">
        <v>21</v>
      </c>
    </row>
    <row r="1114" spans="1:12" ht="15">
      <c r="A1114" s="52"/>
      <c r="B1114" s="53"/>
      <c r="C1114" s="53"/>
      <c r="D1114" s="54" t="s">
        <v>1417</v>
      </c>
      <c r="E1114" s="55" t="s">
        <v>1096</v>
      </c>
      <c r="F1114" s="53"/>
      <c r="G1114" s="56">
        <v>143.282</v>
      </c>
      <c r="H1114" s="53"/>
      <c r="I1114" s="53"/>
      <c r="J1114" s="53"/>
      <c r="K1114" s="53"/>
      <c r="L1114" s="57"/>
    </row>
    <row r="1115" spans="1:75" ht="13.5" customHeight="1">
      <c r="A1115" s="66" t="s">
        <v>1655</v>
      </c>
      <c r="B1115" s="67" t="s">
        <v>1387</v>
      </c>
      <c r="C1115" s="67" t="s">
        <v>388</v>
      </c>
      <c r="D1115" s="181" t="s">
        <v>1099</v>
      </c>
      <c r="E1115" s="182"/>
      <c r="F1115" s="67" t="s">
        <v>109</v>
      </c>
      <c r="G1115" s="68">
        <v>143.282</v>
      </c>
      <c r="H1115" s="68">
        <v>0</v>
      </c>
      <c r="I1115" s="68">
        <f>G1115*AO1115</f>
        <v>0</v>
      </c>
      <c r="J1115" s="68">
        <f>G1115*AP1115</f>
        <v>0</v>
      </c>
      <c r="K1115" s="68">
        <f>G1115*H1115</f>
        <v>0</v>
      </c>
      <c r="L1115" s="69" t="s">
        <v>137</v>
      </c>
      <c r="Z1115" s="27">
        <f>IF(AQ1115="5",BJ1115,0)</f>
        <v>0</v>
      </c>
      <c r="AB1115" s="27">
        <f>IF(AQ1115="1",BH1115,0)</f>
        <v>0</v>
      </c>
      <c r="AC1115" s="27">
        <f>IF(AQ1115="1",BI1115,0)</f>
        <v>0</v>
      </c>
      <c r="AD1115" s="27">
        <f>IF(AQ1115="7",BH1115,0)</f>
        <v>0</v>
      </c>
      <c r="AE1115" s="27">
        <f>IF(AQ1115="7",BI1115,0)</f>
        <v>0</v>
      </c>
      <c r="AF1115" s="27">
        <f>IF(AQ1115="2",BH1115,0)</f>
        <v>0</v>
      </c>
      <c r="AG1115" s="27">
        <f>IF(AQ1115="2",BI1115,0)</f>
        <v>0</v>
      </c>
      <c r="AH1115" s="27">
        <f>IF(AQ1115="0",BJ1115,0)</f>
        <v>0</v>
      </c>
      <c r="AI1115" s="9" t="s">
        <v>1387</v>
      </c>
      <c r="AJ1115" s="27">
        <f>IF(AN1115=0,K1115,0)</f>
        <v>0</v>
      </c>
      <c r="AK1115" s="27">
        <f>IF(AN1115=12,K1115,0)</f>
        <v>0</v>
      </c>
      <c r="AL1115" s="27">
        <f>IF(AN1115=21,K1115,0)</f>
        <v>0</v>
      </c>
      <c r="AN1115" s="27">
        <v>21</v>
      </c>
      <c r="AO1115" s="27">
        <f>H1115*0.104361421</f>
        <v>0</v>
      </c>
      <c r="AP1115" s="27">
        <f>H1115*(1-0.104361421)</f>
        <v>0</v>
      </c>
      <c r="AQ1115" s="29" t="s">
        <v>84</v>
      </c>
      <c r="AV1115" s="27">
        <f>AW1115+AX1115</f>
        <v>0</v>
      </c>
      <c r="AW1115" s="27">
        <f>G1115*AO1115</f>
        <v>0</v>
      </c>
      <c r="AX1115" s="27">
        <f>G1115*AP1115</f>
        <v>0</v>
      </c>
      <c r="AY1115" s="29" t="s">
        <v>379</v>
      </c>
      <c r="AZ1115" s="29" t="s">
        <v>1626</v>
      </c>
      <c r="BA1115" s="9" t="s">
        <v>1391</v>
      </c>
      <c r="BC1115" s="27">
        <f>AW1115+AX1115</f>
        <v>0</v>
      </c>
      <c r="BD1115" s="27">
        <f>H1115/(100-BE1115)*100</f>
        <v>0</v>
      </c>
      <c r="BE1115" s="27">
        <v>0</v>
      </c>
      <c r="BF1115" s="27">
        <f>1115</f>
        <v>1115</v>
      </c>
      <c r="BH1115" s="27">
        <f>G1115*AO1115</f>
        <v>0</v>
      </c>
      <c r="BI1115" s="27">
        <f>G1115*AP1115</f>
        <v>0</v>
      </c>
      <c r="BJ1115" s="27">
        <f>G1115*H1115</f>
        <v>0</v>
      </c>
      <c r="BK1115" s="27"/>
      <c r="BL1115" s="27">
        <v>784</v>
      </c>
      <c r="BW1115" s="27">
        <v>21</v>
      </c>
    </row>
    <row r="1116" spans="1:12" ht="15">
      <c r="A1116" s="52"/>
      <c r="B1116" s="53"/>
      <c r="C1116" s="53"/>
      <c r="D1116" s="54" t="s">
        <v>1417</v>
      </c>
      <c r="E1116" s="55" t="s">
        <v>1096</v>
      </c>
      <c r="F1116" s="53"/>
      <c r="G1116" s="56">
        <v>143.282</v>
      </c>
      <c r="H1116" s="53"/>
      <c r="I1116" s="53"/>
      <c r="J1116" s="53"/>
      <c r="K1116" s="53"/>
      <c r="L1116" s="57"/>
    </row>
    <row r="1117" spans="1:75" ht="13.5" customHeight="1">
      <c r="A1117" s="66" t="s">
        <v>1656</v>
      </c>
      <c r="B1117" s="67" t="s">
        <v>1387</v>
      </c>
      <c r="C1117" s="67" t="s">
        <v>1101</v>
      </c>
      <c r="D1117" s="181" t="s">
        <v>1102</v>
      </c>
      <c r="E1117" s="182"/>
      <c r="F1117" s="67" t="s">
        <v>109</v>
      </c>
      <c r="G1117" s="68">
        <v>52.185</v>
      </c>
      <c r="H1117" s="68">
        <v>0</v>
      </c>
      <c r="I1117" s="68">
        <f>G1117*AO1117</f>
        <v>0</v>
      </c>
      <c r="J1117" s="68">
        <f>G1117*AP1117</f>
        <v>0</v>
      </c>
      <c r="K1117" s="68">
        <f>G1117*H1117</f>
        <v>0</v>
      </c>
      <c r="L1117" s="69" t="s">
        <v>137</v>
      </c>
      <c r="Z1117" s="27">
        <f>IF(AQ1117="5",BJ1117,0)</f>
        <v>0</v>
      </c>
      <c r="AB1117" s="27">
        <f>IF(AQ1117="1",BH1117,0)</f>
        <v>0</v>
      </c>
      <c r="AC1117" s="27">
        <f>IF(AQ1117="1",BI1117,0)</f>
        <v>0</v>
      </c>
      <c r="AD1117" s="27">
        <f>IF(AQ1117="7",BH1117,0)</f>
        <v>0</v>
      </c>
      <c r="AE1117" s="27">
        <f>IF(AQ1117="7",BI1117,0)</f>
        <v>0</v>
      </c>
      <c r="AF1117" s="27">
        <f>IF(AQ1117="2",BH1117,0)</f>
        <v>0</v>
      </c>
      <c r="AG1117" s="27">
        <f>IF(AQ1117="2",BI1117,0)</f>
        <v>0</v>
      </c>
      <c r="AH1117" s="27">
        <f>IF(AQ1117="0",BJ1117,0)</f>
        <v>0</v>
      </c>
      <c r="AI1117" s="9" t="s">
        <v>1387</v>
      </c>
      <c r="AJ1117" s="27">
        <f>IF(AN1117=0,K1117,0)</f>
        <v>0</v>
      </c>
      <c r="AK1117" s="27">
        <f>IF(AN1117=12,K1117,0)</f>
        <v>0</v>
      </c>
      <c r="AL1117" s="27">
        <f>IF(AN1117=21,K1117,0)</f>
        <v>0</v>
      </c>
      <c r="AN1117" s="27">
        <v>21</v>
      </c>
      <c r="AO1117" s="27">
        <f>H1117*0.642233607</f>
        <v>0</v>
      </c>
      <c r="AP1117" s="27">
        <f>H1117*(1-0.642233607)</f>
        <v>0</v>
      </c>
      <c r="AQ1117" s="29" t="s">
        <v>84</v>
      </c>
      <c r="AV1117" s="27">
        <f>AW1117+AX1117</f>
        <v>0</v>
      </c>
      <c r="AW1117" s="27">
        <f>G1117*AO1117</f>
        <v>0</v>
      </c>
      <c r="AX1117" s="27">
        <f>G1117*AP1117</f>
        <v>0</v>
      </c>
      <c r="AY1117" s="29" t="s">
        <v>379</v>
      </c>
      <c r="AZ1117" s="29" t="s">
        <v>1626</v>
      </c>
      <c r="BA1117" s="9" t="s">
        <v>1391</v>
      </c>
      <c r="BC1117" s="27">
        <f>AW1117+AX1117</f>
        <v>0</v>
      </c>
      <c r="BD1117" s="27">
        <f>H1117/(100-BE1117)*100</f>
        <v>0</v>
      </c>
      <c r="BE1117" s="27">
        <v>0</v>
      </c>
      <c r="BF1117" s="27">
        <f>1117</f>
        <v>1117</v>
      </c>
      <c r="BH1117" s="27">
        <f>G1117*AO1117</f>
        <v>0</v>
      </c>
      <c r="BI1117" s="27">
        <f>G1117*AP1117</f>
        <v>0</v>
      </c>
      <c r="BJ1117" s="27">
        <f>G1117*H1117</f>
        <v>0</v>
      </c>
      <c r="BK1117" s="27"/>
      <c r="BL1117" s="27">
        <v>784</v>
      </c>
      <c r="BW1117" s="27">
        <v>21</v>
      </c>
    </row>
    <row r="1118" spans="1:12" ht="13.5" customHeight="1">
      <c r="A1118" s="45"/>
      <c r="D1118" s="173" t="s">
        <v>1103</v>
      </c>
      <c r="E1118" s="174"/>
      <c r="F1118" s="174"/>
      <c r="G1118" s="174"/>
      <c r="H1118" s="174"/>
      <c r="I1118" s="174"/>
      <c r="J1118" s="174"/>
      <c r="K1118" s="174"/>
      <c r="L1118" s="175"/>
    </row>
    <row r="1119" spans="1:12" ht="15">
      <c r="A1119" s="46"/>
      <c r="B1119" s="47"/>
      <c r="C1119" s="47"/>
      <c r="D1119" s="48" t="s">
        <v>1657</v>
      </c>
      <c r="E1119" s="49" t="s">
        <v>1658</v>
      </c>
      <c r="F1119" s="47"/>
      <c r="G1119" s="50">
        <v>52.185</v>
      </c>
      <c r="H1119" s="47"/>
      <c r="I1119" s="47"/>
      <c r="J1119" s="47"/>
      <c r="K1119" s="47"/>
      <c r="L1119" s="51"/>
    </row>
    <row r="1120" spans="1:75" ht="13.5" customHeight="1">
      <c r="A1120" s="66" t="s">
        <v>1659</v>
      </c>
      <c r="B1120" s="67" t="s">
        <v>1387</v>
      </c>
      <c r="C1120" s="67" t="s">
        <v>1105</v>
      </c>
      <c r="D1120" s="181" t="s">
        <v>1106</v>
      </c>
      <c r="E1120" s="182"/>
      <c r="F1120" s="67" t="s">
        <v>109</v>
      </c>
      <c r="G1120" s="68">
        <v>4.5</v>
      </c>
      <c r="H1120" s="68">
        <v>0</v>
      </c>
      <c r="I1120" s="68">
        <f>G1120*AO1120</f>
        <v>0</v>
      </c>
      <c r="J1120" s="68">
        <f>G1120*AP1120</f>
        <v>0</v>
      </c>
      <c r="K1120" s="68">
        <f>G1120*H1120</f>
        <v>0</v>
      </c>
      <c r="L1120" s="69" t="s">
        <v>137</v>
      </c>
      <c r="Z1120" s="27">
        <f>IF(AQ1120="5",BJ1120,0)</f>
        <v>0</v>
      </c>
      <c r="AB1120" s="27">
        <f>IF(AQ1120="1",BH1120,0)</f>
        <v>0</v>
      </c>
      <c r="AC1120" s="27">
        <f>IF(AQ1120="1",BI1120,0)</f>
        <v>0</v>
      </c>
      <c r="AD1120" s="27">
        <f>IF(AQ1120="7",BH1120,0)</f>
        <v>0</v>
      </c>
      <c r="AE1120" s="27">
        <f>IF(AQ1120="7",BI1120,0)</f>
        <v>0</v>
      </c>
      <c r="AF1120" s="27">
        <f>IF(AQ1120="2",BH1120,0)</f>
        <v>0</v>
      </c>
      <c r="AG1120" s="27">
        <f>IF(AQ1120="2",BI1120,0)</f>
        <v>0</v>
      </c>
      <c r="AH1120" s="27">
        <f>IF(AQ1120="0",BJ1120,0)</f>
        <v>0</v>
      </c>
      <c r="AI1120" s="9" t="s">
        <v>1387</v>
      </c>
      <c r="AJ1120" s="27">
        <f>IF(AN1120=0,K1120,0)</f>
        <v>0</v>
      </c>
      <c r="AK1120" s="27">
        <f>IF(AN1120=12,K1120,0)</f>
        <v>0</v>
      </c>
      <c r="AL1120" s="27">
        <f>IF(AN1120=21,K1120,0)</f>
        <v>0</v>
      </c>
      <c r="AN1120" s="27">
        <v>21</v>
      </c>
      <c r="AO1120" s="27">
        <f>H1120*0.248584906</f>
        <v>0</v>
      </c>
      <c r="AP1120" s="27">
        <f>H1120*(1-0.248584906)</f>
        <v>0</v>
      </c>
      <c r="AQ1120" s="29" t="s">
        <v>84</v>
      </c>
      <c r="AV1120" s="27">
        <f>AW1120+AX1120</f>
        <v>0</v>
      </c>
      <c r="AW1120" s="27">
        <f>G1120*AO1120</f>
        <v>0</v>
      </c>
      <c r="AX1120" s="27">
        <f>G1120*AP1120</f>
        <v>0</v>
      </c>
      <c r="AY1120" s="29" t="s">
        <v>379</v>
      </c>
      <c r="AZ1120" s="29" t="s">
        <v>1626</v>
      </c>
      <c r="BA1120" s="9" t="s">
        <v>1391</v>
      </c>
      <c r="BC1120" s="27">
        <f>AW1120+AX1120</f>
        <v>0</v>
      </c>
      <c r="BD1120" s="27">
        <f>H1120/(100-BE1120)*100</f>
        <v>0</v>
      </c>
      <c r="BE1120" s="27">
        <v>0</v>
      </c>
      <c r="BF1120" s="27">
        <f>1120</f>
        <v>1120</v>
      </c>
      <c r="BH1120" s="27">
        <f>G1120*AO1120</f>
        <v>0</v>
      </c>
      <c r="BI1120" s="27">
        <f>G1120*AP1120</f>
        <v>0</v>
      </c>
      <c r="BJ1120" s="27">
        <f>G1120*H1120</f>
        <v>0</v>
      </c>
      <c r="BK1120" s="27"/>
      <c r="BL1120" s="27">
        <v>784</v>
      </c>
      <c r="BW1120" s="27">
        <v>21</v>
      </c>
    </row>
    <row r="1121" spans="1:12" ht="13.5" customHeight="1">
      <c r="A1121" s="45"/>
      <c r="D1121" s="173" t="s">
        <v>1107</v>
      </c>
      <c r="E1121" s="174"/>
      <c r="F1121" s="174"/>
      <c r="G1121" s="174"/>
      <c r="H1121" s="174"/>
      <c r="I1121" s="174"/>
      <c r="J1121" s="174"/>
      <c r="K1121" s="174"/>
      <c r="L1121" s="175"/>
    </row>
    <row r="1122" spans="1:12" ht="15">
      <c r="A1122" s="46"/>
      <c r="B1122" s="47"/>
      <c r="C1122" s="47"/>
      <c r="D1122" s="48" t="s">
        <v>1660</v>
      </c>
      <c r="E1122" s="49" t="s">
        <v>52</v>
      </c>
      <c r="F1122" s="47"/>
      <c r="G1122" s="50">
        <v>4.5</v>
      </c>
      <c r="H1122" s="47"/>
      <c r="I1122" s="47"/>
      <c r="J1122" s="47"/>
      <c r="K1122" s="47"/>
      <c r="L1122" s="51"/>
    </row>
    <row r="1123" spans="1:75" ht="13.5" customHeight="1">
      <c r="A1123" s="101" t="s">
        <v>1661</v>
      </c>
      <c r="B1123" s="102" t="s">
        <v>1387</v>
      </c>
      <c r="C1123" s="102" t="s">
        <v>394</v>
      </c>
      <c r="D1123" s="198" t="s">
        <v>395</v>
      </c>
      <c r="E1123" s="199"/>
      <c r="F1123" s="102" t="s">
        <v>109</v>
      </c>
      <c r="G1123" s="103">
        <v>143.282</v>
      </c>
      <c r="H1123" s="103">
        <v>0</v>
      </c>
      <c r="I1123" s="103">
        <f>G1123*AO1123</f>
        <v>0</v>
      </c>
      <c r="J1123" s="103">
        <f>G1123*AP1123</f>
        <v>0</v>
      </c>
      <c r="K1123" s="103">
        <f>G1123*H1123</f>
        <v>0</v>
      </c>
      <c r="L1123" s="104" t="s">
        <v>137</v>
      </c>
      <c r="Z1123" s="27">
        <f>IF(AQ1123="5",BJ1123,0)</f>
        <v>0</v>
      </c>
      <c r="AB1123" s="27">
        <f>IF(AQ1123="1",BH1123,0)</f>
        <v>0</v>
      </c>
      <c r="AC1123" s="27">
        <f>IF(AQ1123="1",BI1123,0)</f>
        <v>0</v>
      </c>
      <c r="AD1123" s="27">
        <f>IF(AQ1123="7",BH1123,0)</f>
        <v>0</v>
      </c>
      <c r="AE1123" s="27">
        <f>IF(AQ1123="7",BI1123,0)</f>
        <v>0</v>
      </c>
      <c r="AF1123" s="27">
        <f>IF(AQ1123="2",BH1123,0)</f>
        <v>0</v>
      </c>
      <c r="AG1123" s="27">
        <f>IF(AQ1123="2",BI1123,0)</f>
        <v>0</v>
      </c>
      <c r="AH1123" s="27">
        <f>IF(AQ1123="0",BJ1123,0)</f>
        <v>0</v>
      </c>
      <c r="AI1123" s="9" t="s">
        <v>1387</v>
      </c>
      <c r="AJ1123" s="27">
        <f>IF(AN1123=0,K1123,0)</f>
        <v>0</v>
      </c>
      <c r="AK1123" s="27">
        <f>IF(AN1123=12,K1123,0)</f>
        <v>0</v>
      </c>
      <c r="AL1123" s="27">
        <f>IF(AN1123=21,K1123,0)</f>
        <v>0</v>
      </c>
      <c r="AN1123" s="27">
        <v>21</v>
      </c>
      <c r="AO1123" s="27">
        <f>H1123*0.00421456</f>
        <v>0</v>
      </c>
      <c r="AP1123" s="27">
        <f>H1123*(1-0.00421456)</f>
        <v>0</v>
      </c>
      <c r="AQ1123" s="29" t="s">
        <v>84</v>
      </c>
      <c r="AV1123" s="27">
        <f>AW1123+AX1123</f>
        <v>0</v>
      </c>
      <c r="AW1123" s="27">
        <f>G1123*AO1123</f>
        <v>0</v>
      </c>
      <c r="AX1123" s="27">
        <f>G1123*AP1123</f>
        <v>0</v>
      </c>
      <c r="AY1123" s="29" t="s">
        <v>379</v>
      </c>
      <c r="AZ1123" s="29" t="s">
        <v>1626</v>
      </c>
      <c r="BA1123" s="9" t="s">
        <v>1391</v>
      </c>
      <c r="BC1123" s="27">
        <f>AW1123+AX1123</f>
        <v>0</v>
      </c>
      <c r="BD1123" s="27">
        <f>H1123/(100-BE1123)*100</f>
        <v>0</v>
      </c>
      <c r="BE1123" s="27">
        <v>0</v>
      </c>
      <c r="BF1123" s="27">
        <f>1123</f>
        <v>1123</v>
      </c>
      <c r="BH1123" s="27">
        <f>G1123*AO1123</f>
        <v>0</v>
      </c>
      <c r="BI1123" s="27">
        <f>G1123*AP1123</f>
        <v>0</v>
      </c>
      <c r="BJ1123" s="27">
        <f>G1123*H1123</f>
        <v>0</v>
      </c>
      <c r="BK1123" s="27"/>
      <c r="BL1123" s="27">
        <v>784</v>
      </c>
      <c r="BW1123" s="27">
        <v>21</v>
      </c>
    </row>
    <row r="1124" spans="1:12" ht="15">
      <c r="A1124" s="30"/>
      <c r="D1124" s="32" t="s">
        <v>1417</v>
      </c>
      <c r="E1124" s="31" t="s">
        <v>1096</v>
      </c>
      <c r="G1124" s="33">
        <v>143.282</v>
      </c>
      <c r="L1124" s="34"/>
    </row>
    <row r="1125" spans="1:12" ht="13.5" customHeight="1">
      <c r="A1125" s="30"/>
      <c r="C1125" s="35" t="s">
        <v>102</v>
      </c>
      <c r="D1125" s="166" t="s">
        <v>396</v>
      </c>
      <c r="E1125" s="167"/>
      <c r="F1125" s="167"/>
      <c r="G1125" s="167"/>
      <c r="H1125" s="167"/>
      <c r="I1125" s="167"/>
      <c r="J1125" s="167"/>
      <c r="K1125" s="167"/>
      <c r="L1125" s="168"/>
    </row>
    <row r="1126" spans="1:47" ht="15">
      <c r="A1126" s="23" t="s">
        <v>52</v>
      </c>
      <c r="B1126" s="24" t="s">
        <v>1387</v>
      </c>
      <c r="C1126" s="24" t="s">
        <v>1662</v>
      </c>
      <c r="D1126" s="164" t="s">
        <v>1663</v>
      </c>
      <c r="E1126" s="165"/>
      <c r="F1126" s="25" t="s">
        <v>4</v>
      </c>
      <c r="G1126" s="25" t="s">
        <v>4</v>
      </c>
      <c r="H1126" s="25" t="s">
        <v>4</v>
      </c>
      <c r="I1126" s="1">
        <f>SUM(I1127:I1131)</f>
        <v>0</v>
      </c>
      <c r="J1126" s="1">
        <f>SUM(J1127:J1131)</f>
        <v>0</v>
      </c>
      <c r="K1126" s="1">
        <f>SUM(K1127:K1131)</f>
        <v>0</v>
      </c>
      <c r="L1126" s="26" t="s">
        <v>52</v>
      </c>
      <c r="AI1126" s="9" t="s">
        <v>1387</v>
      </c>
      <c r="AS1126" s="1">
        <f>SUM(AJ1127:AJ1131)</f>
        <v>0</v>
      </c>
      <c r="AT1126" s="1">
        <f>SUM(AK1127:AK1131)</f>
        <v>0</v>
      </c>
      <c r="AU1126" s="1">
        <f>SUM(AL1127:AL1131)</f>
        <v>0</v>
      </c>
    </row>
    <row r="1127" spans="1:75" ht="13.5" customHeight="1">
      <c r="A1127" s="2" t="s">
        <v>1664</v>
      </c>
      <c r="B1127" s="3" t="s">
        <v>1387</v>
      </c>
      <c r="C1127" s="3" t="s">
        <v>1665</v>
      </c>
      <c r="D1127" s="148" t="s">
        <v>1666</v>
      </c>
      <c r="E1127" s="143"/>
      <c r="F1127" s="3" t="s">
        <v>1667</v>
      </c>
      <c r="G1127" s="27">
        <v>2</v>
      </c>
      <c r="H1127" s="27">
        <v>0</v>
      </c>
      <c r="I1127" s="27">
        <f>G1127*AO1127</f>
        <v>0</v>
      </c>
      <c r="J1127" s="27">
        <f>G1127*AP1127</f>
        <v>0</v>
      </c>
      <c r="K1127" s="27">
        <f>G1127*H1127</f>
        <v>0</v>
      </c>
      <c r="L1127" s="28" t="s">
        <v>137</v>
      </c>
      <c r="Z1127" s="27">
        <f>IF(AQ1127="5",BJ1127,0)</f>
        <v>0</v>
      </c>
      <c r="AB1127" s="27">
        <f>IF(AQ1127="1",BH1127,0)</f>
        <v>0</v>
      </c>
      <c r="AC1127" s="27">
        <f>IF(AQ1127="1",BI1127,0)</f>
        <v>0</v>
      </c>
      <c r="AD1127" s="27">
        <f>IF(AQ1127="7",BH1127,0)</f>
        <v>0</v>
      </c>
      <c r="AE1127" s="27">
        <f>IF(AQ1127="7",BI1127,0)</f>
        <v>0</v>
      </c>
      <c r="AF1127" s="27">
        <f>IF(AQ1127="2",BH1127,0)</f>
        <v>0</v>
      </c>
      <c r="AG1127" s="27">
        <f>IF(AQ1127="2",BI1127,0)</f>
        <v>0</v>
      </c>
      <c r="AH1127" s="27">
        <f>IF(AQ1127="0",BJ1127,0)</f>
        <v>0</v>
      </c>
      <c r="AI1127" s="9" t="s">
        <v>1387</v>
      </c>
      <c r="AJ1127" s="27">
        <f>IF(AN1127=0,K1127,0)</f>
        <v>0</v>
      </c>
      <c r="AK1127" s="27">
        <f>IF(AN1127=12,K1127,0)</f>
        <v>0</v>
      </c>
      <c r="AL1127" s="27">
        <f>IF(AN1127=21,K1127,0)</f>
        <v>0</v>
      </c>
      <c r="AN1127" s="27">
        <v>21</v>
      </c>
      <c r="AO1127" s="27">
        <f>H1127*0.56342122</f>
        <v>0</v>
      </c>
      <c r="AP1127" s="27">
        <f>H1127*(1-0.56342122)</f>
        <v>0</v>
      </c>
      <c r="AQ1127" s="29" t="s">
        <v>84</v>
      </c>
      <c r="AV1127" s="27">
        <f>AW1127+AX1127</f>
        <v>0</v>
      </c>
      <c r="AW1127" s="27">
        <f>G1127*AO1127</f>
        <v>0</v>
      </c>
      <c r="AX1127" s="27">
        <f>G1127*AP1127</f>
        <v>0</v>
      </c>
      <c r="AY1127" s="29" t="s">
        <v>1668</v>
      </c>
      <c r="AZ1127" s="29" t="s">
        <v>1626</v>
      </c>
      <c r="BA1127" s="9" t="s">
        <v>1391</v>
      </c>
      <c r="BC1127" s="27">
        <f>AW1127+AX1127</f>
        <v>0</v>
      </c>
      <c r="BD1127" s="27">
        <f>H1127/(100-BE1127)*100</f>
        <v>0</v>
      </c>
      <c r="BE1127" s="27">
        <v>0</v>
      </c>
      <c r="BF1127" s="27">
        <f>1127</f>
        <v>1127</v>
      </c>
      <c r="BH1127" s="27">
        <f>G1127*AO1127</f>
        <v>0</v>
      </c>
      <c r="BI1127" s="27">
        <f>G1127*AP1127</f>
        <v>0</v>
      </c>
      <c r="BJ1127" s="27">
        <f>G1127*H1127</f>
        <v>0</v>
      </c>
      <c r="BK1127" s="27"/>
      <c r="BL1127" s="27">
        <v>786</v>
      </c>
      <c r="BW1127" s="27">
        <v>21</v>
      </c>
    </row>
    <row r="1128" spans="1:12" ht="13.5" customHeight="1">
      <c r="A1128" s="30"/>
      <c r="D1128" s="166" t="s">
        <v>1669</v>
      </c>
      <c r="E1128" s="167"/>
      <c r="F1128" s="167"/>
      <c r="G1128" s="167"/>
      <c r="H1128" s="167"/>
      <c r="I1128" s="167"/>
      <c r="J1128" s="167"/>
      <c r="K1128" s="167"/>
      <c r="L1128" s="168"/>
    </row>
    <row r="1129" spans="1:12" ht="15">
      <c r="A1129" s="30"/>
      <c r="D1129" s="32" t="s">
        <v>60</v>
      </c>
      <c r="E1129" s="31" t="s">
        <v>1670</v>
      </c>
      <c r="G1129" s="33">
        <v>2</v>
      </c>
      <c r="L1129" s="34"/>
    </row>
    <row r="1130" spans="1:12" ht="54" customHeight="1">
      <c r="A1130" s="30"/>
      <c r="C1130" s="35" t="s">
        <v>102</v>
      </c>
      <c r="D1130" s="166" t="s">
        <v>1671</v>
      </c>
      <c r="E1130" s="167"/>
      <c r="F1130" s="167"/>
      <c r="G1130" s="167"/>
      <c r="H1130" s="167"/>
      <c r="I1130" s="167"/>
      <c r="J1130" s="167"/>
      <c r="K1130" s="167"/>
      <c r="L1130" s="168"/>
    </row>
    <row r="1131" spans="1:75" ht="13.5" customHeight="1">
      <c r="A1131" s="2" t="s">
        <v>1672</v>
      </c>
      <c r="B1131" s="3" t="s">
        <v>1387</v>
      </c>
      <c r="C1131" s="3" t="s">
        <v>1673</v>
      </c>
      <c r="D1131" s="148" t="s">
        <v>1674</v>
      </c>
      <c r="E1131" s="143"/>
      <c r="F1131" s="3" t="s">
        <v>951</v>
      </c>
      <c r="G1131" s="27">
        <v>741.11</v>
      </c>
      <c r="H1131" s="27">
        <v>0</v>
      </c>
      <c r="I1131" s="27">
        <f>G1131*AO1131</f>
        <v>0</v>
      </c>
      <c r="J1131" s="27">
        <f>G1131*AP1131</f>
        <v>0</v>
      </c>
      <c r="K1131" s="27">
        <f>G1131*H1131</f>
        <v>0</v>
      </c>
      <c r="L1131" s="28" t="s">
        <v>137</v>
      </c>
      <c r="Z1131" s="27">
        <f>IF(AQ1131="5",BJ1131,0)</f>
        <v>0</v>
      </c>
      <c r="AB1131" s="27">
        <f>IF(AQ1131="1",BH1131,0)</f>
        <v>0</v>
      </c>
      <c r="AC1131" s="27">
        <f>IF(AQ1131="1",BI1131,0)</f>
        <v>0</v>
      </c>
      <c r="AD1131" s="27">
        <f>IF(AQ1131="7",BH1131,0)</f>
        <v>0</v>
      </c>
      <c r="AE1131" s="27">
        <f>IF(AQ1131="7",BI1131,0)</f>
        <v>0</v>
      </c>
      <c r="AF1131" s="27">
        <f>IF(AQ1131="2",BH1131,0)</f>
        <v>0</v>
      </c>
      <c r="AG1131" s="27">
        <f>IF(AQ1131="2",BI1131,0)</f>
        <v>0</v>
      </c>
      <c r="AH1131" s="27">
        <f>IF(AQ1131="0",BJ1131,0)</f>
        <v>0</v>
      </c>
      <c r="AI1131" s="9" t="s">
        <v>1387</v>
      </c>
      <c r="AJ1131" s="27">
        <f>IF(AN1131=0,K1131,0)</f>
        <v>0</v>
      </c>
      <c r="AK1131" s="27">
        <f>IF(AN1131=12,K1131,0)</f>
        <v>0</v>
      </c>
      <c r="AL1131" s="27">
        <f>IF(AN1131=21,K1131,0)</f>
        <v>0</v>
      </c>
      <c r="AN1131" s="27">
        <v>21</v>
      </c>
      <c r="AO1131" s="27">
        <f>H1131*0</f>
        <v>0</v>
      </c>
      <c r="AP1131" s="27">
        <f>H1131*(1-0)</f>
        <v>0</v>
      </c>
      <c r="AQ1131" s="29" t="s">
        <v>78</v>
      </c>
      <c r="AV1131" s="27">
        <f>AW1131+AX1131</f>
        <v>0</v>
      </c>
      <c r="AW1131" s="27">
        <f>G1131*AO1131</f>
        <v>0</v>
      </c>
      <c r="AX1131" s="27">
        <f>G1131*AP1131</f>
        <v>0</v>
      </c>
      <c r="AY1131" s="29" t="s">
        <v>1668</v>
      </c>
      <c r="AZ1131" s="29" t="s">
        <v>1626</v>
      </c>
      <c r="BA1131" s="9" t="s">
        <v>1391</v>
      </c>
      <c r="BC1131" s="27">
        <f>AW1131+AX1131</f>
        <v>0</v>
      </c>
      <c r="BD1131" s="27">
        <f>H1131/(100-BE1131)*100</f>
        <v>0</v>
      </c>
      <c r="BE1131" s="27">
        <v>0</v>
      </c>
      <c r="BF1131" s="27">
        <f>1131</f>
        <v>1131</v>
      </c>
      <c r="BH1131" s="27">
        <f>G1131*AO1131</f>
        <v>0</v>
      </c>
      <c r="BI1131" s="27">
        <f>G1131*AP1131</f>
        <v>0</v>
      </c>
      <c r="BJ1131" s="27">
        <f>G1131*H1131</f>
        <v>0</v>
      </c>
      <c r="BK1131" s="27"/>
      <c r="BL1131" s="27">
        <v>786</v>
      </c>
      <c r="BW1131" s="27">
        <v>21</v>
      </c>
    </row>
    <row r="1132" spans="1:12" ht="15">
      <c r="A1132" s="98"/>
      <c r="D1132" s="105" t="s">
        <v>1675</v>
      </c>
      <c r="E1132" s="100" t="s">
        <v>52</v>
      </c>
      <c r="G1132" s="106">
        <v>741.11</v>
      </c>
      <c r="L1132" s="107"/>
    </row>
    <row r="1133" spans="1:47" ht="15">
      <c r="A1133" s="70" t="s">
        <v>52</v>
      </c>
      <c r="B1133" s="71" t="s">
        <v>1387</v>
      </c>
      <c r="C1133" s="71" t="s">
        <v>409</v>
      </c>
      <c r="D1133" s="183" t="s">
        <v>410</v>
      </c>
      <c r="E1133" s="184"/>
      <c r="F1133" s="72" t="s">
        <v>4</v>
      </c>
      <c r="G1133" s="72" t="s">
        <v>4</v>
      </c>
      <c r="H1133" s="72" t="s">
        <v>4</v>
      </c>
      <c r="I1133" s="73">
        <f>SUM(I1134:I1145)</f>
        <v>0</v>
      </c>
      <c r="J1133" s="73">
        <f>SUM(J1134:J1145)</f>
        <v>0</v>
      </c>
      <c r="K1133" s="73">
        <f>SUM(K1134:K1145)</f>
        <v>0</v>
      </c>
      <c r="L1133" s="74" t="s">
        <v>52</v>
      </c>
      <c r="AI1133" s="9" t="s">
        <v>1387</v>
      </c>
      <c r="AS1133" s="1">
        <f>SUM(AJ1134:AJ1145)</f>
        <v>0</v>
      </c>
      <c r="AT1133" s="1">
        <f>SUM(AK1134:AK1145)</f>
        <v>0</v>
      </c>
      <c r="AU1133" s="1">
        <f>SUM(AL1134:AL1145)</f>
        <v>0</v>
      </c>
    </row>
    <row r="1134" spans="1:75" ht="13.5" customHeight="1">
      <c r="A1134" s="66" t="s">
        <v>1676</v>
      </c>
      <c r="B1134" s="67" t="s">
        <v>1387</v>
      </c>
      <c r="C1134" s="67" t="s">
        <v>412</v>
      </c>
      <c r="D1134" s="181" t="s">
        <v>413</v>
      </c>
      <c r="E1134" s="182"/>
      <c r="F1134" s="67" t="s">
        <v>109</v>
      </c>
      <c r="G1134" s="68">
        <v>42.99</v>
      </c>
      <c r="H1134" s="68">
        <v>0</v>
      </c>
      <c r="I1134" s="68">
        <f>G1134*AO1134</f>
        <v>0</v>
      </c>
      <c r="J1134" s="68">
        <f>G1134*AP1134</f>
        <v>0</v>
      </c>
      <c r="K1134" s="68">
        <f>G1134*H1134</f>
        <v>0</v>
      </c>
      <c r="L1134" s="69" t="s">
        <v>137</v>
      </c>
      <c r="Z1134" s="27">
        <f>IF(AQ1134="5",BJ1134,0)</f>
        <v>0</v>
      </c>
      <c r="AB1134" s="27">
        <f>IF(AQ1134="1",BH1134,0)</f>
        <v>0</v>
      </c>
      <c r="AC1134" s="27">
        <f>IF(AQ1134="1",BI1134,0)</f>
        <v>0</v>
      </c>
      <c r="AD1134" s="27">
        <f>IF(AQ1134="7",BH1134,0)</f>
        <v>0</v>
      </c>
      <c r="AE1134" s="27">
        <f>IF(AQ1134="7",BI1134,0)</f>
        <v>0</v>
      </c>
      <c r="AF1134" s="27">
        <f>IF(AQ1134="2",BH1134,0)</f>
        <v>0</v>
      </c>
      <c r="AG1134" s="27">
        <f>IF(AQ1134="2",BI1134,0)</f>
        <v>0</v>
      </c>
      <c r="AH1134" s="27">
        <f>IF(AQ1134="0",BJ1134,0)</f>
        <v>0</v>
      </c>
      <c r="AI1134" s="9" t="s">
        <v>1387</v>
      </c>
      <c r="AJ1134" s="27">
        <f>IF(AN1134=0,K1134,0)</f>
        <v>0</v>
      </c>
      <c r="AK1134" s="27">
        <f>IF(AN1134=12,K1134,0)</f>
        <v>0</v>
      </c>
      <c r="AL1134" s="27">
        <f>IF(AN1134=21,K1134,0)</f>
        <v>0</v>
      </c>
      <c r="AN1134" s="27">
        <v>21</v>
      </c>
      <c r="AO1134" s="27">
        <f>H1134*0.407753675</f>
        <v>0</v>
      </c>
      <c r="AP1134" s="27">
        <f>H1134*(1-0.407753675)</f>
        <v>0</v>
      </c>
      <c r="AQ1134" s="29" t="s">
        <v>57</v>
      </c>
      <c r="AV1134" s="27">
        <f>AW1134+AX1134</f>
        <v>0</v>
      </c>
      <c r="AW1134" s="27">
        <f>G1134*AO1134</f>
        <v>0</v>
      </c>
      <c r="AX1134" s="27">
        <f>G1134*AP1134</f>
        <v>0</v>
      </c>
      <c r="AY1134" s="29" t="s">
        <v>414</v>
      </c>
      <c r="AZ1134" s="29" t="s">
        <v>1677</v>
      </c>
      <c r="BA1134" s="9" t="s">
        <v>1391</v>
      </c>
      <c r="BC1134" s="27">
        <f>AW1134+AX1134</f>
        <v>0</v>
      </c>
      <c r="BD1134" s="27">
        <f>H1134/(100-BE1134)*100</f>
        <v>0</v>
      </c>
      <c r="BE1134" s="27">
        <v>0</v>
      </c>
      <c r="BF1134" s="27">
        <f>1134</f>
        <v>1134</v>
      </c>
      <c r="BH1134" s="27">
        <f>G1134*AO1134</f>
        <v>0</v>
      </c>
      <c r="BI1134" s="27">
        <f>G1134*AP1134</f>
        <v>0</v>
      </c>
      <c r="BJ1134" s="27">
        <f>G1134*H1134</f>
        <v>0</v>
      </c>
      <c r="BK1134" s="27"/>
      <c r="BL1134" s="27">
        <v>94</v>
      </c>
      <c r="BW1134" s="27">
        <v>21</v>
      </c>
    </row>
    <row r="1135" spans="1:12" ht="13.5" customHeight="1">
      <c r="A1135" s="45"/>
      <c r="D1135" s="173" t="s">
        <v>415</v>
      </c>
      <c r="E1135" s="174"/>
      <c r="F1135" s="174"/>
      <c r="G1135" s="174"/>
      <c r="H1135" s="174"/>
      <c r="I1135" s="174"/>
      <c r="J1135" s="174"/>
      <c r="K1135" s="174"/>
      <c r="L1135" s="175"/>
    </row>
    <row r="1136" spans="1:12" ht="15">
      <c r="A1136" s="46"/>
      <c r="B1136" s="47"/>
      <c r="C1136" s="47"/>
      <c r="D1136" s="48" t="s">
        <v>1430</v>
      </c>
      <c r="E1136" s="49" t="s">
        <v>421</v>
      </c>
      <c r="F1136" s="47"/>
      <c r="G1136" s="50">
        <v>42.99</v>
      </c>
      <c r="H1136" s="47"/>
      <c r="I1136" s="47"/>
      <c r="J1136" s="47"/>
      <c r="K1136" s="47"/>
      <c r="L1136" s="51"/>
    </row>
    <row r="1137" spans="1:75" ht="13.5" customHeight="1">
      <c r="A1137" s="101" t="s">
        <v>1678</v>
      </c>
      <c r="B1137" s="102" t="s">
        <v>1387</v>
      </c>
      <c r="C1137" s="102" t="s">
        <v>1679</v>
      </c>
      <c r="D1137" s="198" t="s">
        <v>1680</v>
      </c>
      <c r="E1137" s="199"/>
      <c r="F1137" s="102" t="s">
        <v>940</v>
      </c>
      <c r="G1137" s="103">
        <v>1</v>
      </c>
      <c r="H1137" s="103">
        <v>0</v>
      </c>
      <c r="I1137" s="103">
        <f>G1137*AO1137</f>
        <v>0</v>
      </c>
      <c r="J1137" s="103">
        <f>G1137*AP1137</f>
        <v>0</v>
      </c>
      <c r="K1137" s="103">
        <f>G1137*H1137</f>
        <v>0</v>
      </c>
      <c r="L1137" s="104" t="s">
        <v>137</v>
      </c>
      <c r="Z1137" s="27">
        <f>IF(AQ1137="5",BJ1137,0)</f>
        <v>0</v>
      </c>
      <c r="AB1137" s="27">
        <f>IF(AQ1137="1",BH1137,0)</f>
        <v>0</v>
      </c>
      <c r="AC1137" s="27">
        <f>IF(AQ1137="1",BI1137,0)</f>
        <v>0</v>
      </c>
      <c r="AD1137" s="27">
        <f>IF(AQ1137="7",BH1137,0)</f>
        <v>0</v>
      </c>
      <c r="AE1137" s="27">
        <f>IF(AQ1137="7",BI1137,0)</f>
        <v>0</v>
      </c>
      <c r="AF1137" s="27">
        <f>IF(AQ1137="2",BH1137,0)</f>
        <v>0</v>
      </c>
      <c r="AG1137" s="27">
        <f>IF(AQ1137="2",BI1137,0)</f>
        <v>0</v>
      </c>
      <c r="AH1137" s="27">
        <f>IF(AQ1137="0",BJ1137,0)</f>
        <v>0</v>
      </c>
      <c r="AI1137" s="9" t="s">
        <v>1387</v>
      </c>
      <c r="AJ1137" s="27">
        <f>IF(AN1137=0,K1137,0)</f>
        <v>0</v>
      </c>
      <c r="AK1137" s="27">
        <f>IF(AN1137=12,K1137,0)</f>
        <v>0</v>
      </c>
      <c r="AL1137" s="27">
        <f>IF(AN1137=21,K1137,0)</f>
        <v>0</v>
      </c>
      <c r="AN1137" s="27">
        <v>21</v>
      </c>
      <c r="AO1137" s="27">
        <f>H1137*0</f>
        <v>0</v>
      </c>
      <c r="AP1137" s="27">
        <f>H1137*(1-0)</f>
        <v>0</v>
      </c>
      <c r="AQ1137" s="29" t="s">
        <v>57</v>
      </c>
      <c r="AV1137" s="27">
        <f>AW1137+AX1137</f>
        <v>0</v>
      </c>
      <c r="AW1137" s="27">
        <f>G1137*AO1137</f>
        <v>0</v>
      </c>
      <c r="AX1137" s="27">
        <f>G1137*AP1137</f>
        <v>0</v>
      </c>
      <c r="AY1137" s="29" t="s">
        <v>414</v>
      </c>
      <c r="AZ1137" s="29" t="s">
        <v>1677</v>
      </c>
      <c r="BA1137" s="9" t="s">
        <v>1391</v>
      </c>
      <c r="BC1137" s="27">
        <f>AW1137+AX1137</f>
        <v>0</v>
      </c>
      <c r="BD1137" s="27">
        <f>H1137/(100-BE1137)*100</f>
        <v>0</v>
      </c>
      <c r="BE1137" s="27">
        <v>0</v>
      </c>
      <c r="BF1137" s="27">
        <f>1137</f>
        <v>1137</v>
      </c>
      <c r="BH1137" s="27">
        <f>G1137*AO1137</f>
        <v>0</v>
      </c>
      <c r="BI1137" s="27">
        <f>G1137*AP1137</f>
        <v>0</v>
      </c>
      <c r="BJ1137" s="27">
        <f>G1137*H1137</f>
        <v>0</v>
      </c>
      <c r="BK1137" s="27"/>
      <c r="BL1137" s="27">
        <v>94</v>
      </c>
      <c r="BW1137" s="27">
        <v>21</v>
      </c>
    </row>
    <row r="1138" spans="1:12" ht="13.5" customHeight="1">
      <c r="A1138" s="30"/>
      <c r="D1138" s="166" t="s">
        <v>1681</v>
      </c>
      <c r="E1138" s="167"/>
      <c r="F1138" s="167"/>
      <c r="G1138" s="167"/>
      <c r="H1138" s="167"/>
      <c r="I1138" s="167"/>
      <c r="J1138" s="167"/>
      <c r="K1138" s="167"/>
      <c r="L1138" s="168"/>
    </row>
    <row r="1139" spans="1:12" ht="15">
      <c r="A1139" s="30"/>
      <c r="D1139" s="32" t="s">
        <v>57</v>
      </c>
      <c r="E1139" s="31" t="s">
        <v>1682</v>
      </c>
      <c r="G1139" s="33">
        <v>1</v>
      </c>
      <c r="L1139" s="34"/>
    </row>
    <row r="1140" spans="1:12" ht="13.5" customHeight="1">
      <c r="A1140" s="30"/>
      <c r="C1140" s="35" t="s">
        <v>102</v>
      </c>
      <c r="D1140" s="166" t="s">
        <v>1683</v>
      </c>
      <c r="E1140" s="167"/>
      <c r="F1140" s="167"/>
      <c r="G1140" s="167"/>
      <c r="H1140" s="167"/>
      <c r="I1140" s="167"/>
      <c r="J1140" s="167"/>
      <c r="K1140" s="167"/>
      <c r="L1140" s="168"/>
    </row>
    <row r="1141" spans="1:75" ht="13.5" customHeight="1">
      <c r="A1141" s="2" t="s">
        <v>1684</v>
      </c>
      <c r="B1141" s="3" t="s">
        <v>1387</v>
      </c>
      <c r="C1141" s="3" t="s">
        <v>1685</v>
      </c>
      <c r="D1141" s="148" t="s">
        <v>1686</v>
      </c>
      <c r="E1141" s="143"/>
      <c r="F1141" s="3" t="s">
        <v>1687</v>
      </c>
      <c r="G1141" s="27">
        <v>7</v>
      </c>
      <c r="H1141" s="27">
        <v>0</v>
      </c>
      <c r="I1141" s="27">
        <f>G1141*AO1141</f>
        <v>0</v>
      </c>
      <c r="J1141" s="27">
        <f>G1141*AP1141</f>
        <v>0</v>
      </c>
      <c r="K1141" s="27">
        <f>G1141*H1141</f>
        <v>0</v>
      </c>
      <c r="L1141" s="28" t="s">
        <v>137</v>
      </c>
      <c r="Z1141" s="27">
        <f>IF(AQ1141="5",BJ1141,0)</f>
        <v>0</v>
      </c>
      <c r="AB1141" s="27">
        <f>IF(AQ1141="1",BH1141,0)</f>
        <v>0</v>
      </c>
      <c r="AC1141" s="27">
        <f>IF(AQ1141="1",BI1141,0)</f>
        <v>0</v>
      </c>
      <c r="AD1141" s="27">
        <f>IF(AQ1141="7",BH1141,0)</f>
        <v>0</v>
      </c>
      <c r="AE1141" s="27">
        <f>IF(AQ1141="7",BI1141,0)</f>
        <v>0</v>
      </c>
      <c r="AF1141" s="27">
        <f>IF(AQ1141="2",BH1141,0)</f>
        <v>0</v>
      </c>
      <c r="AG1141" s="27">
        <f>IF(AQ1141="2",BI1141,0)</f>
        <v>0</v>
      </c>
      <c r="AH1141" s="27">
        <f>IF(AQ1141="0",BJ1141,0)</f>
        <v>0</v>
      </c>
      <c r="AI1141" s="9" t="s">
        <v>1387</v>
      </c>
      <c r="AJ1141" s="27">
        <f>IF(AN1141=0,K1141,0)</f>
        <v>0</v>
      </c>
      <c r="AK1141" s="27">
        <f>IF(AN1141=12,K1141,0)</f>
        <v>0</v>
      </c>
      <c r="AL1141" s="27">
        <f>IF(AN1141=21,K1141,0)</f>
        <v>0</v>
      </c>
      <c r="AN1141" s="27">
        <v>21</v>
      </c>
      <c r="AO1141" s="27">
        <f>H1141*0</f>
        <v>0</v>
      </c>
      <c r="AP1141" s="27">
        <f>H1141*(1-0)</f>
        <v>0</v>
      </c>
      <c r="AQ1141" s="29" t="s">
        <v>57</v>
      </c>
      <c r="AV1141" s="27">
        <f>AW1141+AX1141</f>
        <v>0</v>
      </c>
      <c r="AW1141" s="27">
        <f>G1141*AO1141</f>
        <v>0</v>
      </c>
      <c r="AX1141" s="27">
        <f>G1141*AP1141</f>
        <v>0</v>
      </c>
      <c r="AY1141" s="29" t="s">
        <v>414</v>
      </c>
      <c r="AZ1141" s="29" t="s">
        <v>1677</v>
      </c>
      <c r="BA1141" s="9" t="s">
        <v>1391</v>
      </c>
      <c r="BC1141" s="27">
        <f>AW1141+AX1141</f>
        <v>0</v>
      </c>
      <c r="BD1141" s="27">
        <f>H1141/(100-BE1141)*100</f>
        <v>0</v>
      </c>
      <c r="BE1141" s="27">
        <v>0</v>
      </c>
      <c r="BF1141" s="27">
        <f>1141</f>
        <v>1141</v>
      </c>
      <c r="BH1141" s="27">
        <f>G1141*AO1141</f>
        <v>0</v>
      </c>
      <c r="BI1141" s="27">
        <f>G1141*AP1141</f>
        <v>0</v>
      </c>
      <c r="BJ1141" s="27">
        <f>G1141*H1141</f>
        <v>0</v>
      </c>
      <c r="BK1141" s="27"/>
      <c r="BL1141" s="27">
        <v>94</v>
      </c>
      <c r="BW1141" s="27">
        <v>21</v>
      </c>
    </row>
    <row r="1142" spans="1:12" ht="13.5" customHeight="1">
      <c r="A1142" s="30"/>
      <c r="D1142" s="166" t="s">
        <v>1681</v>
      </c>
      <c r="E1142" s="167"/>
      <c r="F1142" s="167"/>
      <c r="G1142" s="167"/>
      <c r="H1142" s="167"/>
      <c r="I1142" s="167"/>
      <c r="J1142" s="167"/>
      <c r="K1142" s="167"/>
      <c r="L1142" s="168"/>
    </row>
    <row r="1143" spans="1:12" ht="15">
      <c r="A1143" s="30"/>
      <c r="D1143" s="32" t="s">
        <v>84</v>
      </c>
      <c r="E1143" s="31" t="s">
        <v>1682</v>
      </c>
      <c r="G1143" s="33">
        <v>7</v>
      </c>
      <c r="L1143" s="34"/>
    </row>
    <row r="1144" spans="1:12" ht="13.5" customHeight="1">
      <c r="A1144" s="30"/>
      <c r="C1144" s="35" t="s">
        <v>102</v>
      </c>
      <c r="D1144" s="166" t="s">
        <v>1688</v>
      </c>
      <c r="E1144" s="167"/>
      <c r="F1144" s="167"/>
      <c r="G1144" s="167"/>
      <c r="H1144" s="167"/>
      <c r="I1144" s="167"/>
      <c r="J1144" s="167"/>
      <c r="K1144" s="167"/>
      <c r="L1144" s="168"/>
    </row>
    <row r="1145" spans="1:75" ht="13.5" customHeight="1">
      <c r="A1145" s="2" t="s">
        <v>1689</v>
      </c>
      <c r="B1145" s="3" t="s">
        <v>1387</v>
      </c>
      <c r="C1145" s="3" t="s">
        <v>1690</v>
      </c>
      <c r="D1145" s="148" t="s">
        <v>1691</v>
      </c>
      <c r="E1145" s="143"/>
      <c r="F1145" s="3" t="s">
        <v>940</v>
      </c>
      <c r="G1145" s="27">
        <v>1</v>
      </c>
      <c r="H1145" s="27">
        <v>0</v>
      </c>
      <c r="I1145" s="27">
        <f>G1145*AO1145</f>
        <v>0</v>
      </c>
      <c r="J1145" s="27">
        <f>G1145*AP1145</f>
        <v>0</v>
      </c>
      <c r="K1145" s="27">
        <f>G1145*H1145</f>
        <v>0</v>
      </c>
      <c r="L1145" s="28" t="s">
        <v>137</v>
      </c>
      <c r="Z1145" s="27">
        <f>IF(AQ1145="5",BJ1145,0)</f>
        <v>0</v>
      </c>
      <c r="AB1145" s="27">
        <f>IF(AQ1145="1",BH1145,0)</f>
        <v>0</v>
      </c>
      <c r="AC1145" s="27">
        <f>IF(AQ1145="1",BI1145,0)</f>
        <v>0</v>
      </c>
      <c r="AD1145" s="27">
        <f>IF(AQ1145="7",BH1145,0)</f>
        <v>0</v>
      </c>
      <c r="AE1145" s="27">
        <f>IF(AQ1145="7",BI1145,0)</f>
        <v>0</v>
      </c>
      <c r="AF1145" s="27">
        <f>IF(AQ1145="2",BH1145,0)</f>
        <v>0</v>
      </c>
      <c r="AG1145" s="27">
        <f>IF(AQ1145="2",BI1145,0)</f>
        <v>0</v>
      </c>
      <c r="AH1145" s="27">
        <f>IF(AQ1145="0",BJ1145,0)</f>
        <v>0</v>
      </c>
      <c r="AI1145" s="9" t="s">
        <v>1387</v>
      </c>
      <c r="AJ1145" s="27">
        <f>IF(AN1145=0,K1145,0)</f>
        <v>0</v>
      </c>
      <c r="AK1145" s="27">
        <f>IF(AN1145=12,K1145,0)</f>
        <v>0</v>
      </c>
      <c r="AL1145" s="27">
        <f>IF(AN1145=21,K1145,0)</f>
        <v>0</v>
      </c>
      <c r="AN1145" s="27">
        <v>21</v>
      </c>
      <c r="AO1145" s="27">
        <f>H1145*0</f>
        <v>0</v>
      </c>
      <c r="AP1145" s="27">
        <f>H1145*(1-0)</f>
        <v>0</v>
      </c>
      <c r="AQ1145" s="29" t="s">
        <v>57</v>
      </c>
      <c r="AV1145" s="27">
        <f>AW1145+AX1145</f>
        <v>0</v>
      </c>
      <c r="AW1145" s="27">
        <f>G1145*AO1145</f>
        <v>0</v>
      </c>
      <c r="AX1145" s="27">
        <f>G1145*AP1145</f>
        <v>0</v>
      </c>
      <c r="AY1145" s="29" t="s">
        <v>414</v>
      </c>
      <c r="AZ1145" s="29" t="s">
        <v>1677</v>
      </c>
      <c r="BA1145" s="9" t="s">
        <v>1391</v>
      </c>
      <c r="BC1145" s="27">
        <f>AW1145+AX1145</f>
        <v>0</v>
      </c>
      <c r="BD1145" s="27">
        <f>H1145/(100-BE1145)*100</f>
        <v>0</v>
      </c>
      <c r="BE1145" s="27">
        <v>0</v>
      </c>
      <c r="BF1145" s="27">
        <f>1145</f>
        <v>1145</v>
      </c>
      <c r="BH1145" s="27">
        <f>G1145*AO1145</f>
        <v>0</v>
      </c>
      <c r="BI1145" s="27">
        <f>G1145*AP1145</f>
        <v>0</v>
      </c>
      <c r="BJ1145" s="27">
        <f>G1145*H1145</f>
        <v>0</v>
      </c>
      <c r="BK1145" s="27"/>
      <c r="BL1145" s="27">
        <v>94</v>
      </c>
      <c r="BW1145" s="27">
        <v>21</v>
      </c>
    </row>
    <row r="1146" spans="1:12" ht="13.5" customHeight="1">
      <c r="A1146" s="30"/>
      <c r="D1146" s="166" t="s">
        <v>1692</v>
      </c>
      <c r="E1146" s="167"/>
      <c r="F1146" s="167"/>
      <c r="G1146" s="167"/>
      <c r="H1146" s="167"/>
      <c r="I1146" s="167"/>
      <c r="J1146" s="167"/>
      <c r="K1146" s="167"/>
      <c r="L1146" s="168"/>
    </row>
    <row r="1147" spans="1:12" ht="15">
      <c r="A1147" s="30"/>
      <c r="D1147" s="32" t="s">
        <v>57</v>
      </c>
      <c r="E1147" s="31" t="s">
        <v>1682</v>
      </c>
      <c r="G1147" s="33">
        <v>1</v>
      </c>
      <c r="L1147" s="34"/>
    </row>
    <row r="1148" spans="1:12" ht="13.5" customHeight="1">
      <c r="A1148" s="98"/>
      <c r="C1148" s="99" t="s">
        <v>102</v>
      </c>
      <c r="D1148" s="195" t="s">
        <v>1693</v>
      </c>
      <c r="E1148" s="196"/>
      <c r="F1148" s="196"/>
      <c r="G1148" s="196"/>
      <c r="H1148" s="196"/>
      <c r="I1148" s="196"/>
      <c r="J1148" s="196"/>
      <c r="K1148" s="196"/>
      <c r="L1148" s="197"/>
    </row>
    <row r="1149" spans="1:47" ht="15">
      <c r="A1149" s="70" t="s">
        <v>52</v>
      </c>
      <c r="B1149" s="71" t="s">
        <v>1387</v>
      </c>
      <c r="C1149" s="71" t="s">
        <v>422</v>
      </c>
      <c r="D1149" s="183" t="s">
        <v>423</v>
      </c>
      <c r="E1149" s="184"/>
      <c r="F1149" s="72" t="s">
        <v>4</v>
      </c>
      <c r="G1149" s="72" t="s">
        <v>4</v>
      </c>
      <c r="H1149" s="72" t="s">
        <v>4</v>
      </c>
      <c r="I1149" s="73">
        <f>SUM(I1150:I1152)</f>
        <v>0</v>
      </c>
      <c r="J1149" s="73">
        <f>SUM(J1150:J1152)</f>
        <v>0</v>
      </c>
      <c r="K1149" s="73">
        <f>SUM(K1150:K1152)</f>
        <v>0</v>
      </c>
      <c r="L1149" s="74" t="s">
        <v>52</v>
      </c>
      <c r="AI1149" s="9" t="s">
        <v>1387</v>
      </c>
      <c r="AS1149" s="1">
        <f>SUM(AJ1150:AJ1152)</f>
        <v>0</v>
      </c>
      <c r="AT1149" s="1">
        <f>SUM(AK1150:AK1152)</f>
        <v>0</v>
      </c>
      <c r="AU1149" s="1">
        <f>SUM(AL1150:AL1152)</f>
        <v>0</v>
      </c>
    </row>
    <row r="1150" spans="1:75" ht="13.5" customHeight="1">
      <c r="A1150" s="66" t="s">
        <v>1694</v>
      </c>
      <c r="B1150" s="67" t="s">
        <v>1387</v>
      </c>
      <c r="C1150" s="67" t="s">
        <v>432</v>
      </c>
      <c r="D1150" s="181" t="s">
        <v>433</v>
      </c>
      <c r="E1150" s="182"/>
      <c r="F1150" s="67" t="s">
        <v>109</v>
      </c>
      <c r="G1150" s="68">
        <v>42.99</v>
      </c>
      <c r="H1150" s="68">
        <v>0</v>
      </c>
      <c r="I1150" s="68">
        <f>G1150*AO1150</f>
        <v>0</v>
      </c>
      <c r="J1150" s="68">
        <f>G1150*AP1150</f>
        <v>0</v>
      </c>
      <c r="K1150" s="68">
        <f>G1150*H1150</f>
        <v>0</v>
      </c>
      <c r="L1150" s="69" t="s">
        <v>137</v>
      </c>
      <c r="Z1150" s="27">
        <f>IF(AQ1150="5",BJ1150,0)</f>
        <v>0</v>
      </c>
      <c r="AB1150" s="27">
        <f>IF(AQ1150="1",BH1150,0)</f>
        <v>0</v>
      </c>
      <c r="AC1150" s="27">
        <f>IF(AQ1150="1",BI1150,0)</f>
        <v>0</v>
      </c>
      <c r="AD1150" s="27">
        <f>IF(AQ1150="7",BH1150,0)</f>
        <v>0</v>
      </c>
      <c r="AE1150" s="27">
        <f>IF(AQ1150="7",BI1150,0)</f>
        <v>0</v>
      </c>
      <c r="AF1150" s="27">
        <f>IF(AQ1150="2",BH1150,0)</f>
        <v>0</v>
      </c>
      <c r="AG1150" s="27">
        <f>IF(AQ1150="2",BI1150,0)</f>
        <v>0</v>
      </c>
      <c r="AH1150" s="27">
        <f>IF(AQ1150="0",BJ1150,0)</f>
        <v>0</v>
      </c>
      <c r="AI1150" s="9" t="s">
        <v>1387</v>
      </c>
      <c r="AJ1150" s="27">
        <f>IF(AN1150=0,K1150,0)</f>
        <v>0</v>
      </c>
      <c r="AK1150" s="27">
        <f>IF(AN1150=12,K1150,0)</f>
        <v>0</v>
      </c>
      <c r="AL1150" s="27">
        <f>IF(AN1150=21,K1150,0)</f>
        <v>0</v>
      </c>
      <c r="AN1150" s="27">
        <v>21</v>
      </c>
      <c r="AO1150" s="27">
        <f>H1150*0.013885891</f>
        <v>0</v>
      </c>
      <c r="AP1150" s="27">
        <f>H1150*(1-0.013885891)</f>
        <v>0</v>
      </c>
      <c r="AQ1150" s="29" t="s">
        <v>57</v>
      </c>
      <c r="AV1150" s="27">
        <f>AW1150+AX1150</f>
        <v>0</v>
      </c>
      <c r="AW1150" s="27">
        <f>G1150*AO1150</f>
        <v>0</v>
      </c>
      <c r="AX1150" s="27">
        <f>G1150*AP1150</f>
        <v>0</v>
      </c>
      <c r="AY1150" s="29" t="s">
        <v>427</v>
      </c>
      <c r="AZ1150" s="29" t="s">
        <v>1677</v>
      </c>
      <c r="BA1150" s="9" t="s">
        <v>1391</v>
      </c>
      <c r="BC1150" s="27">
        <f>AW1150+AX1150</f>
        <v>0</v>
      </c>
      <c r="BD1150" s="27">
        <f>H1150/(100-BE1150)*100</f>
        <v>0</v>
      </c>
      <c r="BE1150" s="27">
        <v>0</v>
      </c>
      <c r="BF1150" s="27">
        <f>1150</f>
        <v>1150</v>
      </c>
      <c r="BH1150" s="27">
        <f>G1150*AO1150</f>
        <v>0</v>
      </c>
      <c r="BI1150" s="27">
        <f>G1150*AP1150</f>
        <v>0</v>
      </c>
      <c r="BJ1150" s="27">
        <f>G1150*H1150</f>
        <v>0</v>
      </c>
      <c r="BK1150" s="27"/>
      <c r="BL1150" s="27">
        <v>95</v>
      </c>
      <c r="BW1150" s="27">
        <v>21</v>
      </c>
    </row>
    <row r="1151" spans="1:12" ht="15">
      <c r="A1151" s="52"/>
      <c r="B1151" s="53"/>
      <c r="C1151" s="53"/>
      <c r="D1151" s="54" t="s">
        <v>1430</v>
      </c>
      <c r="E1151" s="55" t="s">
        <v>52</v>
      </c>
      <c r="F1151" s="53"/>
      <c r="G1151" s="56">
        <v>42.99</v>
      </c>
      <c r="H1151" s="53"/>
      <c r="I1151" s="53"/>
      <c r="J1151" s="53"/>
      <c r="K1151" s="53"/>
      <c r="L1151" s="57"/>
    </row>
    <row r="1152" spans="1:75" ht="13.5" customHeight="1">
      <c r="A1152" s="66" t="s">
        <v>1695</v>
      </c>
      <c r="B1152" s="67" t="s">
        <v>1387</v>
      </c>
      <c r="C1152" s="67" t="s">
        <v>1696</v>
      </c>
      <c r="D1152" s="181" t="s">
        <v>1697</v>
      </c>
      <c r="E1152" s="182"/>
      <c r="F1152" s="67" t="s">
        <v>126</v>
      </c>
      <c r="G1152" s="68">
        <v>2.3</v>
      </c>
      <c r="H1152" s="68">
        <v>0</v>
      </c>
      <c r="I1152" s="68">
        <f>G1152*AO1152</f>
        <v>0</v>
      </c>
      <c r="J1152" s="68">
        <f>G1152*AP1152</f>
        <v>0</v>
      </c>
      <c r="K1152" s="68">
        <f>G1152*H1152</f>
        <v>0</v>
      </c>
      <c r="L1152" s="69" t="s">
        <v>137</v>
      </c>
      <c r="Z1152" s="27">
        <f>IF(AQ1152="5",BJ1152,0)</f>
        <v>0</v>
      </c>
      <c r="AB1152" s="27">
        <f>IF(AQ1152="1",BH1152,0)</f>
        <v>0</v>
      </c>
      <c r="AC1152" s="27">
        <f>IF(AQ1152="1",BI1152,0)</f>
        <v>0</v>
      </c>
      <c r="AD1152" s="27">
        <f>IF(AQ1152="7",BH1152,0)</f>
        <v>0</v>
      </c>
      <c r="AE1152" s="27">
        <f>IF(AQ1152="7",BI1152,0)</f>
        <v>0</v>
      </c>
      <c r="AF1152" s="27">
        <f>IF(AQ1152="2",BH1152,0)</f>
        <v>0</v>
      </c>
      <c r="AG1152" s="27">
        <f>IF(AQ1152="2",BI1152,0)</f>
        <v>0</v>
      </c>
      <c r="AH1152" s="27">
        <f>IF(AQ1152="0",BJ1152,0)</f>
        <v>0</v>
      </c>
      <c r="AI1152" s="9" t="s">
        <v>1387</v>
      </c>
      <c r="AJ1152" s="27">
        <f>IF(AN1152=0,K1152,0)</f>
        <v>0</v>
      </c>
      <c r="AK1152" s="27">
        <f>IF(AN1152=12,K1152,0)</f>
        <v>0</v>
      </c>
      <c r="AL1152" s="27">
        <f>IF(AN1152=21,K1152,0)</f>
        <v>0</v>
      </c>
      <c r="AN1152" s="27">
        <v>21</v>
      </c>
      <c r="AO1152" s="27">
        <f>H1152*0.6372109</f>
        <v>0</v>
      </c>
      <c r="AP1152" s="27">
        <f>H1152*(1-0.6372109)</f>
        <v>0</v>
      </c>
      <c r="AQ1152" s="29" t="s">
        <v>57</v>
      </c>
      <c r="AV1152" s="27">
        <f>AW1152+AX1152</f>
        <v>0</v>
      </c>
      <c r="AW1152" s="27">
        <f>G1152*AO1152</f>
        <v>0</v>
      </c>
      <c r="AX1152" s="27">
        <f>G1152*AP1152</f>
        <v>0</v>
      </c>
      <c r="AY1152" s="29" t="s">
        <v>427</v>
      </c>
      <c r="AZ1152" s="29" t="s">
        <v>1677</v>
      </c>
      <c r="BA1152" s="9" t="s">
        <v>1391</v>
      </c>
      <c r="BC1152" s="27">
        <f>AW1152+AX1152</f>
        <v>0</v>
      </c>
      <c r="BD1152" s="27">
        <f>H1152/(100-BE1152)*100</f>
        <v>0</v>
      </c>
      <c r="BE1152" s="27">
        <v>0</v>
      </c>
      <c r="BF1152" s="27">
        <f>1152</f>
        <v>1152</v>
      </c>
      <c r="BH1152" s="27">
        <f>G1152*AO1152</f>
        <v>0</v>
      </c>
      <c r="BI1152" s="27">
        <f>G1152*AP1152</f>
        <v>0</v>
      </c>
      <c r="BJ1152" s="27">
        <f>G1152*H1152</f>
        <v>0</v>
      </c>
      <c r="BK1152" s="27"/>
      <c r="BL1152" s="27">
        <v>95</v>
      </c>
      <c r="BW1152" s="27">
        <v>21</v>
      </c>
    </row>
    <row r="1153" spans="1:12" ht="15">
      <c r="A1153" s="52"/>
      <c r="B1153" s="53"/>
      <c r="C1153" s="53"/>
      <c r="D1153" s="54" t="s">
        <v>1698</v>
      </c>
      <c r="E1153" s="55" t="s">
        <v>1699</v>
      </c>
      <c r="F1153" s="53"/>
      <c r="G1153" s="56">
        <v>2.3</v>
      </c>
      <c r="H1153" s="53"/>
      <c r="I1153" s="53"/>
      <c r="J1153" s="53"/>
      <c r="K1153" s="53"/>
      <c r="L1153" s="57"/>
    </row>
    <row r="1154" spans="1:12" ht="13.5" customHeight="1">
      <c r="A1154" s="45"/>
      <c r="C1154" s="65" t="s">
        <v>102</v>
      </c>
      <c r="D1154" s="173" t="s">
        <v>1700</v>
      </c>
      <c r="E1154" s="174"/>
      <c r="F1154" s="174"/>
      <c r="G1154" s="174"/>
      <c r="H1154" s="174"/>
      <c r="I1154" s="174"/>
      <c r="J1154" s="174"/>
      <c r="K1154" s="174"/>
      <c r="L1154" s="175"/>
    </row>
    <row r="1155" spans="1:47" ht="15">
      <c r="A1155" s="70" t="s">
        <v>52</v>
      </c>
      <c r="B1155" s="71" t="s">
        <v>1387</v>
      </c>
      <c r="C1155" s="71" t="s">
        <v>434</v>
      </c>
      <c r="D1155" s="183" t="s">
        <v>435</v>
      </c>
      <c r="E1155" s="184"/>
      <c r="F1155" s="72" t="s">
        <v>4</v>
      </c>
      <c r="G1155" s="72" t="s">
        <v>4</v>
      </c>
      <c r="H1155" s="72" t="s">
        <v>4</v>
      </c>
      <c r="I1155" s="73">
        <f>SUM(I1156:I1164)</f>
        <v>0</v>
      </c>
      <c r="J1155" s="73">
        <f>SUM(J1156:J1164)</f>
        <v>0</v>
      </c>
      <c r="K1155" s="73">
        <f>SUM(K1156:K1164)</f>
        <v>0</v>
      </c>
      <c r="L1155" s="74" t="s">
        <v>52</v>
      </c>
      <c r="AI1155" s="9" t="s">
        <v>1387</v>
      </c>
      <c r="AS1155" s="1">
        <f>SUM(AJ1156:AJ1164)</f>
        <v>0</v>
      </c>
      <c r="AT1155" s="1">
        <f>SUM(AK1156:AK1164)</f>
        <v>0</v>
      </c>
      <c r="AU1155" s="1">
        <f>SUM(AL1156:AL1164)</f>
        <v>0</v>
      </c>
    </row>
    <row r="1156" spans="1:75" ht="13.5" customHeight="1">
      <c r="A1156" s="66" t="s">
        <v>1701</v>
      </c>
      <c r="B1156" s="67" t="s">
        <v>1387</v>
      </c>
      <c r="C1156" s="67" t="s">
        <v>447</v>
      </c>
      <c r="D1156" s="181" t="s">
        <v>1120</v>
      </c>
      <c r="E1156" s="182"/>
      <c r="F1156" s="67" t="s">
        <v>154</v>
      </c>
      <c r="G1156" s="68">
        <v>3</v>
      </c>
      <c r="H1156" s="68">
        <v>0</v>
      </c>
      <c r="I1156" s="68">
        <f>G1156*AO1156</f>
        <v>0</v>
      </c>
      <c r="J1156" s="68">
        <f>G1156*AP1156</f>
        <v>0</v>
      </c>
      <c r="K1156" s="68">
        <f>G1156*H1156</f>
        <v>0</v>
      </c>
      <c r="L1156" s="69" t="s">
        <v>137</v>
      </c>
      <c r="Z1156" s="27">
        <f>IF(AQ1156="5",BJ1156,0)</f>
        <v>0</v>
      </c>
      <c r="AB1156" s="27">
        <f>IF(AQ1156="1",BH1156,0)</f>
        <v>0</v>
      </c>
      <c r="AC1156" s="27">
        <f>IF(AQ1156="1",BI1156,0)</f>
        <v>0</v>
      </c>
      <c r="AD1156" s="27">
        <f>IF(AQ1156="7",BH1156,0)</f>
        <v>0</v>
      </c>
      <c r="AE1156" s="27">
        <f>IF(AQ1156="7",BI1156,0)</f>
        <v>0</v>
      </c>
      <c r="AF1156" s="27">
        <f>IF(AQ1156="2",BH1156,0)</f>
        <v>0</v>
      </c>
      <c r="AG1156" s="27">
        <f>IF(AQ1156="2",BI1156,0)</f>
        <v>0</v>
      </c>
      <c r="AH1156" s="27">
        <f>IF(AQ1156="0",BJ1156,0)</f>
        <v>0</v>
      </c>
      <c r="AI1156" s="9" t="s">
        <v>1387</v>
      </c>
      <c r="AJ1156" s="27">
        <f>IF(AN1156=0,K1156,0)</f>
        <v>0</v>
      </c>
      <c r="AK1156" s="27">
        <f>IF(AN1156=12,K1156,0)</f>
        <v>0</v>
      </c>
      <c r="AL1156" s="27">
        <f>IF(AN1156=21,K1156,0)</f>
        <v>0</v>
      </c>
      <c r="AN1156" s="27">
        <v>21</v>
      </c>
      <c r="AO1156" s="27">
        <f>H1156*0</f>
        <v>0</v>
      </c>
      <c r="AP1156" s="27">
        <f>H1156*(1-0)</f>
        <v>0</v>
      </c>
      <c r="AQ1156" s="29" t="s">
        <v>57</v>
      </c>
      <c r="AV1156" s="27">
        <f>AW1156+AX1156</f>
        <v>0</v>
      </c>
      <c r="AW1156" s="27">
        <f>G1156*AO1156</f>
        <v>0</v>
      </c>
      <c r="AX1156" s="27">
        <f>G1156*AP1156</f>
        <v>0</v>
      </c>
      <c r="AY1156" s="29" t="s">
        <v>438</v>
      </c>
      <c r="AZ1156" s="29" t="s">
        <v>1677</v>
      </c>
      <c r="BA1156" s="9" t="s">
        <v>1391</v>
      </c>
      <c r="BC1156" s="27">
        <f>AW1156+AX1156</f>
        <v>0</v>
      </c>
      <c r="BD1156" s="27">
        <f>H1156/(100-BE1156)*100</f>
        <v>0</v>
      </c>
      <c r="BE1156" s="27">
        <v>0</v>
      </c>
      <c r="BF1156" s="27">
        <f>1156</f>
        <v>1156</v>
      </c>
      <c r="BH1156" s="27">
        <f>G1156*AO1156</f>
        <v>0</v>
      </c>
      <c r="BI1156" s="27">
        <f>G1156*AP1156</f>
        <v>0</v>
      </c>
      <c r="BJ1156" s="27">
        <f>G1156*H1156</f>
        <v>0</v>
      </c>
      <c r="BK1156" s="27"/>
      <c r="BL1156" s="27">
        <v>96</v>
      </c>
      <c r="BW1156" s="27">
        <v>21</v>
      </c>
    </row>
    <row r="1157" spans="1:12" ht="15">
      <c r="A1157" s="52"/>
      <c r="B1157" s="53"/>
      <c r="C1157" s="53"/>
      <c r="D1157" s="54" t="s">
        <v>72</v>
      </c>
      <c r="E1157" s="55" t="s">
        <v>1702</v>
      </c>
      <c r="F1157" s="53"/>
      <c r="G1157" s="56">
        <v>3</v>
      </c>
      <c r="H1157" s="53"/>
      <c r="I1157" s="53"/>
      <c r="J1157" s="53"/>
      <c r="K1157" s="53"/>
      <c r="L1157" s="57"/>
    </row>
    <row r="1158" spans="1:75" ht="13.5" customHeight="1">
      <c r="A1158" s="101" t="s">
        <v>1703</v>
      </c>
      <c r="B1158" s="102" t="s">
        <v>1387</v>
      </c>
      <c r="C1158" s="102" t="s">
        <v>451</v>
      </c>
      <c r="D1158" s="198" t="s">
        <v>1704</v>
      </c>
      <c r="E1158" s="199"/>
      <c r="F1158" s="102" t="s">
        <v>109</v>
      </c>
      <c r="G1158" s="103">
        <v>3.6</v>
      </c>
      <c r="H1158" s="103">
        <v>0</v>
      </c>
      <c r="I1158" s="103">
        <f>G1158*AO1158</f>
        <v>0</v>
      </c>
      <c r="J1158" s="103">
        <f>G1158*AP1158</f>
        <v>0</v>
      </c>
      <c r="K1158" s="103">
        <f>G1158*H1158</f>
        <v>0</v>
      </c>
      <c r="L1158" s="104" t="s">
        <v>137</v>
      </c>
      <c r="Z1158" s="27">
        <f>IF(AQ1158="5",BJ1158,0)</f>
        <v>0</v>
      </c>
      <c r="AB1158" s="27">
        <f>IF(AQ1158="1",BH1158,0)</f>
        <v>0</v>
      </c>
      <c r="AC1158" s="27">
        <f>IF(AQ1158="1",BI1158,0)</f>
        <v>0</v>
      </c>
      <c r="AD1158" s="27">
        <f>IF(AQ1158="7",BH1158,0)</f>
        <v>0</v>
      </c>
      <c r="AE1158" s="27">
        <f>IF(AQ1158="7",BI1158,0)</f>
        <v>0</v>
      </c>
      <c r="AF1158" s="27">
        <f>IF(AQ1158="2",BH1158,0)</f>
        <v>0</v>
      </c>
      <c r="AG1158" s="27">
        <f>IF(AQ1158="2",BI1158,0)</f>
        <v>0</v>
      </c>
      <c r="AH1158" s="27">
        <f>IF(AQ1158="0",BJ1158,0)</f>
        <v>0</v>
      </c>
      <c r="AI1158" s="9" t="s">
        <v>1387</v>
      </c>
      <c r="AJ1158" s="27">
        <f>IF(AN1158=0,K1158,0)</f>
        <v>0</v>
      </c>
      <c r="AK1158" s="27">
        <f>IF(AN1158=12,K1158,0)</f>
        <v>0</v>
      </c>
      <c r="AL1158" s="27">
        <f>IF(AN1158=21,K1158,0)</f>
        <v>0</v>
      </c>
      <c r="AN1158" s="27">
        <v>21</v>
      </c>
      <c r="AO1158" s="27">
        <f>H1158*0.074770241</f>
        <v>0</v>
      </c>
      <c r="AP1158" s="27">
        <f>H1158*(1-0.074770241)</f>
        <v>0</v>
      </c>
      <c r="AQ1158" s="29" t="s">
        <v>57</v>
      </c>
      <c r="AV1158" s="27">
        <f>AW1158+AX1158</f>
        <v>0</v>
      </c>
      <c r="AW1158" s="27">
        <f>G1158*AO1158</f>
        <v>0</v>
      </c>
      <c r="AX1158" s="27">
        <f>G1158*AP1158</f>
        <v>0</v>
      </c>
      <c r="AY1158" s="29" t="s">
        <v>438</v>
      </c>
      <c r="AZ1158" s="29" t="s">
        <v>1677</v>
      </c>
      <c r="BA1158" s="9" t="s">
        <v>1391</v>
      </c>
      <c r="BC1158" s="27">
        <f>AW1158+AX1158</f>
        <v>0</v>
      </c>
      <c r="BD1158" s="27">
        <f>H1158/(100-BE1158)*100</f>
        <v>0</v>
      </c>
      <c r="BE1158" s="27">
        <v>0</v>
      </c>
      <c r="BF1158" s="27">
        <f>1158</f>
        <v>1158</v>
      </c>
      <c r="BH1158" s="27">
        <f>G1158*AO1158</f>
        <v>0</v>
      </c>
      <c r="BI1158" s="27">
        <f>G1158*AP1158</f>
        <v>0</v>
      </c>
      <c r="BJ1158" s="27">
        <f>G1158*H1158</f>
        <v>0</v>
      </c>
      <c r="BK1158" s="27"/>
      <c r="BL1158" s="27">
        <v>96</v>
      </c>
      <c r="BW1158" s="27">
        <v>21</v>
      </c>
    </row>
    <row r="1159" spans="1:12" ht="15">
      <c r="A1159" s="30"/>
      <c r="D1159" s="32" t="s">
        <v>1705</v>
      </c>
      <c r="E1159" s="31" t="s">
        <v>1706</v>
      </c>
      <c r="G1159" s="33">
        <v>3.6</v>
      </c>
      <c r="L1159" s="34"/>
    </row>
    <row r="1160" spans="1:12" ht="27" customHeight="1">
      <c r="A1160" s="30"/>
      <c r="C1160" s="35" t="s">
        <v>102</v>
      </c>
      <c r="D1160" s="166" t="s">
        <v>454</v>
      </c>
      <c r="E1160" s="167"/>
      <c r="F1160" s="167"/>
      <c r="G1160" s="167"/>
      <c r="H1160" s="167"/>
      <c r="I1160" s="167"/>
      <c r="J1160" s="167"/>
      <c r="K1160" s="167"/>
      <c r="L1160" s="168"/>
    </row>
    <row r="1161" spans="1:75" ht="13.5" customHeight="1">
      <c r="A1161" s="2" t="s">
        <v>1707</v>
      </c>
      <c r="B1161" s="3" t="s">
        <v>1387</v>
      </c>
      <c r="C1161" s="3" t="s">
        <v>1708</v>
      </c>
      <c r="D1161" s="148" t="s">
        <v>1709</v>
      </c>
      <c r="E1161" s="143"/>
      <c r="F1161" s="3" t="s">
        <v>109</v>
      </c>
      <c r="G1161" s="27">
        <v>20.5519</v>
      </c>
      <c r="H1161" s="27">
        <v>0</v>
      </c>
      <c r="I1161" s="27">
        <f>G1161*AO1161</f>
        <v>0</v>
      </c>
      <c r="J1161" s="27">
        <f>G1161*AP1161</f>
        <v>0</v>
      </c>
      <c r="K1161" s="27">
        <f>G1161*H1161</f>
        <v>0</v>
      </c>
      <c r="L1161" s="28" t="s">
        <v>137</v>
      </c>
      <c r="Z1161" s="27">
        <f>IF(AQ1161="5",BJ1161,0)</f>
        <v>0</v>
      </c>
      <c r="AB1161" s="27">
        <f>IF(AQ1161="1",BH1161,0)</f>
        <v>0</v>
      </c>
      <c r="AC1161" s="27">
        <f>IF(AQ1161="1",BI1161,0)</f>
        <v>0</v>
      </c>
      <c r="AD1161" s="27">
        <f>IF(AQ1161="7",BH1161,0)</f>
        <v>0</v>
      </c>
      <c r="AE1161" s="27">
        <f>IF(AQ1161="7",BI1161,0)</f>
        <v>0</v>
      </c>
      <c r="AF1161" s="27">
        <f>IF(AQ1161="2",BH1161,0)</f>
        <v>0</v>
      </c>
      <c r="AG1161" s="27">
        <f>IF(AQ1161="2",BI1161,0)</f>
        <v>0</v>
      </c>
      <c r="AH1161" s="27">
        <f>IF(AQ1161="0",BJ1161,0)</f>
        <v>0</v>
      </c>
      <c r="AI1161" s="9" t="s">
        <v>1387</v>
      </c>
      <c r="AJ1161" s="27">
        <f>IF(AN1161=0,K1161,0)</f>
        <v>0</v>
      </c>
      <c r="AK1161" s="27">
        <f>IF(AN1161=12,K1161,0)</f>
        <v>0</v>
      </c>
      <c r="AL1161" s="27">
        <f>IF(AN1161=21,K1161,0)</f>
        <v>0</v>
      </c>
      <c r="AN1161" s="27">
        <v>21</v>
      </c>
      <c r="AO1161" s="27">
        <f>H1161*0.045626444</f>
        <v>0</v>
      </c>
      <c r="AP1161" s="27">
        <f>H1161*(1-0.045626444)</f>
        <v>0</v>
      </c>
      <c r="AQ1161" s="29" t="s">
        <v>57</v>
      </c>
      <c r="AV1161" s="27">
        <f>AW1161+AX1161</f>
        <v>0</v>
      </c>
      <c r="AW1161" s="27">
        <f>G1161*AO1161</f>
        <v>0</v>
      </c>
      <c r="AX1161" s="27">
        <f>G1161*AP1161</f>
        <v>0</v>
      </c>
      <c r="AY1161" s="29" t="s">
        <v>438</v>
      </c>
      <c r="AZ1161" s="29" t="s">
        <v>1677</v>
      </c>
      <c r="BA1161" s="9" t="s">
        <v>1391</v>
      </c>
      <c r="BC1161" s="27">
        <f>AW1161+AX1161</f>
        <v>0</v>
      </c>
      <c r="BD1161" s="27">
        <f>H1161/(100-BE1161)*100</f>
        <v>0</v>
      </c>
      <c r="BE1161" s="27">
        <v>0</v>
      </c>
      <c r="BF1161" s="27">
        <f>1161</f>
        <v>1161</v>
      </c>
      <c r="BH1161" s="27">
        <f>G1161*AO1161</f>
        <v>0</v>
      </c>
      <c r="BI1161" s="27">
        <f>G1161*AP1161</f>
        <v>0</v>
      </c>
      <c r="BJ1161" s="27">
        <f>G1161*H1161</f>
        <v>0</v>
      </c>
      <c r="BK1161" s="27"/>
      <c r="BL1161" s="27">
        <v>96</v>
      </c>
      <c r="BW1161" s="27">
        <v>21</v>
      </c>
    </row>
    <row r="1162" spans="1:12" ht="15">
      <c r="A1162" s="30"/>
      <c r="D1162" s="32" t="s">
        <v>1710</v>
      </c>
      <c r="E1162" s="31" t="s">
        <v>1711</v>
      </c>
      <c r="G1162" s="33">
        <v>20.5519</v>
      </c>
      <c r="L1162" s="34"/>
    </row>
    <row r="1163" spans="1:12" ht="13.5" customHeight="1">
      <c r="A1163" s="30"/>
      <c r="C1163" s="35" t="s">
        <v>102</v>
      </c>
      <c r="D1163" s="166" t="s">
        <v>1712</v>
      </c>
      <c r="E1163" s="167"/>
      <c r="F1163" s="167"/>
      <c r="G1163" s="167"/>
      <c r="H1163" s="167"/>
      <c r="I1163" s="167"/>
      <c r="J1163" s="167"/>
      <c r="K1163" s="167"/>
      <c r="L1163" s="168"/>
    </row>
    <row r="1164" spans="1:75" ht="13.5" customHeight="1">
      <c r="A1164" s="2" t="s">
        <v>1713</v>
      </c>
      <c r="B1164" s="3" t="s">
        <v>1387</v>
      </c>
      <c r="C1164" s="3" t="s">
        <v>1714</v>
      </c>
      <c r="D1164" s="148" t="s">
        <v>1715</v>
      </c>
      <c r="E1164" s="143"/>
      <c r="F1164" s="3" t="s">
        <v>1422</v>
      </c>
      <c r="G1164" s="27">
        <v>1.2657</v>
      </c>
      <c r="H1164" s="27">
        <v>0</v>
      </c>
      <c r="I1164" s="27">
        <f>G1164*AO1164</f>
        <v>0</v>
      </c>
      <c r="J1164" s="27">
        <f>G1164*AP1164</f>
        <v>0</v>
      </c>
      <c r="K1164" s="27">
        <f>G1164*H1164</f>
        <v>0</v>
      </c>
      <c r="L1164" s="28" t="s">
        <v>137</v>
      </c>
      <c r="Z1164" s="27">
        <f>IF(AQ1164="5",BJ1164,0)</f>
        <v>0</v>
      </c>
      <c r="AB1164" s="27">
        <f>IF(AQ1164="1",BH1164,0)</f>
        <v>0</v>
      </c>
      <c r="AC1164" s="27">
        <f>IF(AQ1164="1",BI1164,0)</f>
        <v>0</v>
      </c>
      <c r="AD1164" s="27">
        <f>IF(AQ1164="7",BH1164,0)</f>
        <v>0</v>
      </c>
      <c r="AE1164" s="27">
        <f>IF(AQ1164="7",BI1164,0)</f>
        <v>0</v>
      </c>
      <c r="AF1164" s="27">
        <f>IF(AQ1164="2",BH1164,0)</f>
        <v>0</v>
      </c>
      <c r="AG1164" s="27">
        <f>IF(AQ1164="2",BI1164,0)</f>
        <v>0</v>
      </c>
      <c r="AH1164" s="27">
        <f>IF(AQ1164="0",BJ1164,0)</f>
        <v>0</v>
      </c>
      <c r="AI1164" s="9" t="s">
        <v>1387</v>
      </c>
      <c r="AJ1164" s="27">
        <f>IF(AN1164=0,K1164,0)</f>
        <v>0</v>
      </c>
      <c r="AK1164" s="27">
        <f>IF(AN1164=12,K1164,0)</f>
        <v>0</v>
      </c>
      <c r="AL1164" s="27">
        <f>IF(AN1164=21,K1164,0)</f>
        <v>0</v>
      </c>
      <c r="AN1164" s="27">
        <v>21</v>
      </c>
      <c r="AO1164" s="27">
        <f>H1164*0</f>
        <v>0</v>
      </c>
      <c r="AP1164" s="27">
        <f>H1164*(1-0)</f>
        <v>0</v>
      </c>
      <c r="AQ1164" s="29" t="s">
        <v>57</v>
      </c>
      <c r="AV1164" s="27">
        <f>AW1164+AX1164</f>
        <v>0</v>
      </c>
      <c r="AW1164" s="27">
        <f>G1164*AO1164</f>
        <v>0</v>
      </c>
      <c r="AX1164" s="27">
        <f>G1164*AP1164</f>
        <v>0</v>
      </c>
      <c r="AY1164" s="29" t="s">
        <v>438</v>
      </c>
      <c r="AZ1164" s="29" t="s">
        <v>1677</v>
      </c>
      <c r="BA1164" s="9" t="s">
        <v>1391</v>
      </c>
      <c r="BC1164" s="27">
        <f>AW1164+AX1164</f>
        <v>0</v>
      </c>
      <c r="BD1164" s="27">
        <f>H1164/(100-BE1164)*100</f>
        <v>0</v>
      </c>
      <c r="BE1164" s="27">
        <v>0</v>
      </c>
      <c r="BF1164" s="27">
        <f>1164</f>
        <v>1164</v>
      </c>
      <c r="BH1164" s="27">
        <f>G1164*AO1164</f>
        <v>0</v>
      </c>
      <c r="BI1164" s="27">
        <f>G1164*AP1164</f>
        <v>0</v>
      </c>
      <c r="BJ1164" s="27">
        <f>G1164*H1164</f>
        <v>0</v>
      </c>
      <c r="BK1164" s="27"/>
      <c r="BL1164" s="27">
        <v>96</v>
      </c>
      <c r="BW1164" s="27">
        <v>21</v>
      </c>
    </row>
    <row r="1165" spans="1:12" ht="15">
      <c r="A1165" s="30"/>
      <c r="D1165" s="32" t="s">
        <v>1716</v>
      </c>
      <c r="E1165" s="31" t="s">
        <v>1454</v>
      </c>
      <c r="G1165" s="33">
        <v>1.2657</v>
      </c>
      <c r="L1165" s="34"/>
    </row>
    <row r="1166" spans="1:12" ht="13.5" customHeight="1">
      <c r="A1166" s="98"/>
      <c r="C1166" s="99" t="s">
        <v>102</v>
      </c>
      <c r="D1166" s="195" t="s">
        <v>1717</v>
      </c>
      <c r="E1166" s="196"/>
      <c r="F1166" s="196"/>
      <c r="G1166" s="196"/>
      <c r="H1166" s="196"/>
      <c r="I1166" s="196"/>
      <c r="J1166" s="196"/>
      <c r="K1166" s="196"/>
      <c r="L1166" s="197"/>
    </row>
    <row r="1167" spans="1:47" ht="15">
      <c r="A1167" s="70" t="s">
        <v>52</v>
      </c>
      <c r="B1167" s="71" t="s">
        <v>1387</v>
      </c>
      <c r="C1167" s="71" t="s">
        <v>471</v>
      </c>
      <c r="D1167" s="183" t="s">
        <v>472</v>
      </c>
      <c r="E1167" s="184"/>
      <c r="F1167" s="72" t="s">
        <v>4</v>
      </c>
      <c r="G1167" s="72" t="s">
        <v>4</v>
      </c>
      <c r="H1167" s="72" t="s">
        <v>4</v>
      </c>
      <c r="I1167" s="73">
        <f>SUM(I1168:I1184)</f>
        <v>0</v>
      </c>
      <c r="J1167" s="73">
        <f>SUM(J1168:J1184)</f>
        <v>0</v>
      </c>
      <c r="K1167" s="73">
        <f>SUM(K1168:K1184)</f>
        <v>0</v>
      </c>
      <c r="L1167" s="74" t="s">
        <v>52</v>
      </c>
      <c r="AI1167" s="9" t="s">
        <v>1387</v>
      </c>
      <c r="AS1167" s="1">
        <f>SUM(AJ1168:AJ1184)</f>
        <v>0</v>
      </c>
      <c r="AT1167" s="1">
        <f>SUM(AK1168:AK1184)</f>
        <v>0</v>
      </c>
      <c r="AU1167" s="1">
        <f>SUM(AL1168:AL1184)</f>
        <v>0</v>
      </c>
    </row>
    <row r="1168" spans="1:75" ht="13.5" customHeight="1">
      <c r="A1168" s="66" t="s">
        <v>1718</v>
      </c>
      <c r="B1168" s="67" t="s">
        <v>1387</v>
      </c>
      <c r="C1168" s="67" t="s">
        <v>1128</v>
      </c>
      <c r="D1168" s="181" t="s">
        <v>1129</v>
      </c>
      <c r="E1168" s="182"/>
      <c r="F1168" s="67" t="s">
        <v>109</v>
      </c>
      <c r="G1168" s="68">
        <v>2.25</v>
      </c>
      <c r="H1168" s="68">
        <v>0</v>
      </c>
      <c r="I1168" s="68">
        <f>G1168*AO1168</f>
        <v>0</v>
      </c>
      <c r="J1168" s="68">
        <f>G1168*AP1168</f>
        <v>0</v>
      </c>
      <c r="K1168" s="68">
        <f>G1168*H1168</f>
        <v>0</v>
      </c>
      <c r="L1168" s="69" t="s">
        <v>137</v>
      </c>
      <c r="Z1168" s="27">
        <f>IF(AQ1168="5",BJ1168,0)</f>
        <v>0</v>
      </c>
      <c r="AB1168" s="27">
        <f>IF(AQ1168="1",BH1168,0)</f>
        <v>0</v>
      </c>
      <c r="AC1168" s="27">
        <f>IF(AQ1168="1",BI1168,0)</f>
        <v>0</v>
      </c>
      <c r="AD1168" s="27">
        <f>IF(AQ1168="7",BH1168,0)</f>
        <v>0</v>
      </c>
      <c r="AE1168" s="27">
        <f>IF(AQ1168="7",BI1168,0)</f>
        <v>0</v>
      </c>
      <c r="AF1168" s="27">
        <f>IF(AQ1168="2",BH1168,0)</f>
        <v>0</v>
      </c>
      <c r="AG1168" s="27">
        <f>IF(AQ1168="2",BI1168,0)</f>
        <v>0</v>
      </c>
      <c r="AH1168" s="27">
        <f>IF(AQ1168="0",BJ1168,0)</f>
        <v>0</v>
      </c>
      <c r="AI1168" s="9" t="s">
        <v>1387</v>
      </c>
      <c r="AJ1168" s="27">
        <f>IF(AN1168=0,K1168,0)</f>
        <v>0</v>
      </c>
      <c r="AK1168" s="27">
        <f>IF(AN1168=12,K1168,0)</f>
        <v>0</v>
      </c>
      <c r="AL1168" s="27">
        <f>IF(AN1168=21,K1168,0)</f>
        <v>0</v>
      </c>
      <c r="AN1168" s="27">
        <v>21</v>
      </c>
      <c r="AO1168" s="27">
        <f>H1168*0</f>
        <v>0</v>
      </c>
      <c r="AP1168" s="27">
        <f>H1168*(1-0)</f>
        <v>0</v>
      </c>
      <c r="AQ1168" s="29" t="s">
        <v>57</v>
      </c>
      <c r="AV1168" s="27">
        <f>AW1168+AX1168</f>
        <v>0</v>
      </c>
      <c r="AW1168" s="27">
        <f>G1168*AO1168</f>
        <v>0</v>
      </c>
      <c r="AX1168" s="27">
        <f>G1168*AP1168</f>
        <v>0</v>
      </c>
      <c r="AY1168" s="29" t="s">
        <v>476</v>
      </c>
      <c r="AZ1168" s="29" t="s">
        <v>1677</v>
      </c>
      <c r="BA1168" s="9" t="s">
        <v>1391</v>
      </c>
      <c r="BC1168" s="27">
        <f>AW1168+AX1168</f>
        <v>0</v>
      </c>
      <c r="BD1168" s="27">
        <f>H1168/(100-BE1168)*100</f>
        <v>0</v>
      </c>
      <c r="BE1168" s="27">
        <v>0</v>
      </c>
      <c r="BF1168" s="27">
        <f>1168</f>
        <v>1168</v>
      </c>
      <c r="BH1168" s="27">
        <f>G1168*AO1168</f>
        <v>0</v>
      </c>
      <c r="BI1168" s="27">
        <f>G1168*AP1168</f>
        <v>0</v>
      </c>
      <c r="BJ1168" s="27">
        <f>G1168*H1168</f>
        <v>0</v>
      </c>
      <c r="BK1168" s="27"/>
      <c r="BL1168" s="27">
        <v>97</v>
      </c>
      <c r="BW1168" s="27">
        <v>21</v>
      </c>
    </row>
    <row r="1169" spans="1:12" ht="15">
      <c r="A1169" s="52"/>
      <c r="B1169" s="53"/>
      <c r="C1169" s="53"/>
      <c r="D1169" s="54" t="s">
        <v>1130</v>
      </c>
      <c r="E1169" s="55" t="s">
        <v>1638</v>
      </c>
      <c r="F1169" s="53"/>
      <c r="G1169" s="56">
        <v>2.25</v>
      </c>
      <c r="H1169" s="53"/>
      <c r="I1169" s="53"/>
      <c r="J1169" s="53"/>
      <c r="K1169" s="53"/>
      <c r="L1169" s="57"/>
    </row>
    <row r="1170" spans="1:75" ht="13.5" customHeight="1">
      <c r="A1170" s="101" t="s">
        <v>1719</v>
      </c>
      <c r="B1170" s="102" t="s">
        <v>1387</v>
      </c>
      <c r="C1170" s="102" t="s">
        <v>1720</v>
      </c>
      <c r="D1170" s="198" t="s">
        <v>1721</v>
      </c>
      <c r="E1170" s="199"/>
      <c r="F1170" s="102" t="s">
        <v>109</v>
      </c>
      <c r="G1170" s="103">
        <v>1.7</v>
      </c>
      <c r="H1170" s="103">
        <v>0</v>
      </c>
      <c r="I1170" s="103">
        <f>G1170*AO1170</f>
        <v>0</v>
      </c>
      <c r="J1170" s="103">
        <f>G1170*AP1170</f>
        <v>0</v>
      </c>
      <c r="K1170" s="103">
        <f>G1170*H1170</f>
        <v>0</v>
      </c>
      <c r="L1170" s="104" t="s">
        <v>137</v>
      </c>
      <c r="Z1170" s="27">
        <f>IF(AQ1170="5",BJ1170,0)</f>
        <v>0</v>
      </c>
      <c r="AB1170" s="27">
        <f>IF(AQ1170="1",BH1170,0)</f>
        <v>0</v>
      </c>
      <c r="AC1170" s="27">
        <f>IF(AQ1170="1",BI1170,0)</f>
        <v>0</v>
      </c>
      <c r="AD1170" s="27">
        <f>IF(AQ1170="7",BH1170,0)</f>
        <v>0</v>
      </c>
      <c r="AE1170" s="27">
        <f>IF(AQ1170="7",BI1170,0)</f>
        <v>0</v>
      </c>
      <c r="AF1170" s="27">
        <f>IF(AQ1170="2",BH1170,0)</f>
        <v>0</v>
      </c>
      <c r="AG1170" s="27">
        <f>IF(AQ1170="2",BI1170,0)</f>
        <v>0</v>
      </c>
      <c r="AH1170" s="27">
        <f>IF(AQ1170="0",BJ1170,0)</f>
        <v>0</v>
      </c>
      <c r="AI1170" s="9" t="s">
        <v>1387</v>
      </c>
      <c r="AJ1170" s="27">
        <f>IF(AN1170=0,K1170,0)</f>
        <v>0</v>
      </c>
      <c r="AK1170" s="27">
        <f>IF(AN1170=12,K1170,0)</f>
        <v>0</v>
      </c>
      <c r="AL1170" s="27">
        <f>IF(AN1170=21,K1170,0)</f>
        <v>0</v>
      </c>
      <c r="AN1170" s="27">
        <v>21</v>
      </c>
      <c r="AO1170" s="27">
        <f>H1170*0</f>
        <v>0</v>
      </c>
      <c r="AP1170" s="27">
        <f>H1170*(1-0)</f>
        <v>0</v>
      </c>
      <c r="AQ1170" s="29" t="s">
        <v>57</v>
      </c>
      <c r="AV1170" s="27">
        <f>AW1170+AX1170</f>
        <v>0</v>
      </c>
      <c r="AW1170" s="27">
        <f>G1170*AO1170</f>
        <v>0</v>
      </c>
      <c r="AX1170" s="27">
        <f>G1170*AP1170</f>
        <v>0</v>
      </c>
      <c r="AY1170" s="29" t="s">
        <v>476</v>
      </c>
      <c r="AZ1170" s="29" t="s">
        <v>1677</v>
      </c>
      <c r="BA1170" s="9" t="s">
        <v>1391</v>
      </c>
      <c r="BC1170" s="27">
        <f>AW1170+AX1170</f>
        <v>0</v>
      </c>
      <c r="BD1170" s="27">
        <f>H1170/(100-BE1170)*100</f>
        <v>0</v>
      </c>
      <c r="BE1170" s="27">
        <v>0</v>
      </c>
      <c r="BF1170" s="27">
        <f>1170</f>
        <v>1170</v>
      </c>
      <c r="BH1170" s="27">
        <f>G1170*AO1170</f>
        <v>0</v>
      </c>
      <c r="BI1170" s="27">
        <f>G1170*AP1170</f>
        <v>0</v>
      </c>
      <c r="BJ1170" s="27">
        <f>G1170*H1170</f>
        <v>0</v>
      </c>
      <c r="BK1170" s="27"/>
      <c r="BL1170" s="27">
        <v>97</v>
      </c>
      <c r="BW1170" s="27">
        <v>21</v>
      </c>
    </row>
    <row r="1171" spans="1:12" ht="15">
      <c r="A1171" s="30"/>
      <c r="D1171" s="32" t="s">
        <v>1722</v>
      </c>
      <c r="E1171" s="31" t="s">
        <v>1723</v>
      </c>
      <c r="G1171" s="33">
        <v>1.7</v>
      </c>
      <c r="L1171" s="34"/>
    </row>
    <row r="1172" spans="1:12" ht="13.5" customHeight="1">
      <c r="A1172" s="30"/>
      <c r="C1172" s="35" t="s">
        <v>102</v>
      </c>
      <c r="D1172" s="166" t="s">
        <v>1724</v>
      </c>
      <c r="E1172" s="167"/>
      <c r="F1172" s="167"/>
      <c r="G1172" s="167"/>
      <c r="H1172" s="167"/>
      <c r="I1172" s="167"/>
      <c r="J1172" s="167"/>
      <c r="K1172" s="167"/>
      <c r="L1172" s="168"/>
    </row>
    <row r="1173" spans="1:75" ht="13.5" customHeight="1">
      <c r="A1173" s="2" t="s">
        <v>1725</v>
      </c>
      <c r="B1173" s="3" t="s">
        <v>1387</v>
      </c>
      <c r="C1173" s="3" t="s">
        <v>1726</v>
      </c>
      <c r="D1173" s="148" t="s">
        <v>1727</v>
      </c>
      <c r="E1173" s="143"/>
      <c r="F1173" s="3" t="s">
        <v>126</v>
      </c>
      <c r="G1173" s="27">
        <v>1.04</v>
      </c>
      <c r="H1173" s="27">
        <v>0</v>
      </c>
      <c r="I1173" s="27">
        <f>G1173*AO1173</f>
        <v>0</v>
      </c>
      <c r="J1173" s="27">
        <f>G1173*AP1173</f>
        <v>0</v>
      </c>
      <c r="K1173" s="27">
        <f>G1173*H1173</f>
        <v>0</v>
      </c>
      <c r="L1173" s="28" t="s">
        <v>137</v>
      </c>
      <c r="Z1173" s="27">
        <f>IF(AQ1173="5",BJ1173,0)</f>
        <v>0</v>
      </c>
      <c r="AB1173" s="27">
        <f>IF(AQ1173="1",BH1173,0)</f>
        <v>0</v>
      </c>
      <c r="AC1173" s="27">
        <f>IF(AQ1173="1",BI1173,0)</f>
        <v>0</v>
      </c>
      <c r="AD1173" s="27">
        <f>IF(AQ1173="7",BH1173,0)</f>
        <v>0</v>
      </c>
      <c r="AE1173" s="27">
        <f>IF(AQ1173="7",BI1173,0)</f>
        <v>0</v>
      </c>
      <c r="AF1173" s="27">
        <f>IF(AQ1173="2",BH1173,0)</f>
        <v>0</v>
      </c>
      <c r="AG1173" s="27">
        <f>IF(AQ1173="2",BI1173,0)</f>
        <v>0</v>
      </c>
      <c r="AH1173" s="27">
        <f>IF(AQ1173="0",BJ1173,0)</f>
        <v>0</v>
      </c>
      <c r="AI1173" s="9" t="s">
        <v>1387</v>
      </c>
      <c r="AJ1173" s="27">
        <f>IF(AN1173=0,K1173,0)</f>
        <v>0</v>
      </c>
      <c r="AK1173" s="27">
        <f>IF(AN1173=12,K1173,0)</f>
        <v>0</v>
      </c>
      <c r="AL1173" s="27">
        <f>IF(AN1173=21,K1173,0)</f>
        <v>0</v>
      </c>
      <c r="AN1173" s="27">
        <v>21</v>
      </c>
      <c r="AO1173" s="27">
        <f>H1173*0.305679006</f>
        <v>0</v>
      </c>
      <c r="AP1173" s="27">
        <f>H1173*(1-0.305679006)</f>
        <v>0</v>
      </c>
      <c r="AQ1173" s="29" t="s">
        <v>57</v>
      </c>
      <c r="AV1173" s="27">
        <f>AW1173+AX1173</f>
        <v>0</v>
      </c>
      <c r="AW1173" s="27">
        <f>G1173*AO1173</f>
        <v>0</v>
      </c>
      <c r="AX1173" s="27">
        <f>G1173*AP1173</f>
        <v>0</v>
      </c>
      <c r="AY1173" s="29" t="s">
        <v>476</v>
      </c>
      <c r="AZ1173" s="29" t="s">
        <v>1677</v>
      </c>
      <c r="BA1173" s="9" t="s">
        <v>1391</v>
      </c>
      <c r="BC1173" s="27">
        <f>AW1173+AX1173</f>
        <v>0</v>
      </c>
      <c r="BD1173" s="27">
        <f>H1173/(100-BE1173)*100</f>
        <v>0</v>
      </c>
      <c r="BE1173" s="27">
        <v>0</v>
      </c>
      <c r="BF1173" s="27">
        <f>1173</f>
        <v>1173</v>
      </c>
      <c r="BH1173" s="27">
        <f>G1173*AO1173</f>
        <v>0</v>
      </c>
      <c r="BI1173" s="27">
        <f>G1173*AP1173</f>
        <v>0</v>
      </c>
      <c r="BJ1173" s="27">
        <f>G1173*H1173</f>
        <v>0</v>
      </c>
      <c r="BK1173" s="27"/>
      <c r="BL1173" s="27">
        <v>97</v>
      </c>
      <c r="BW1173" s="27">
        <v>21</v>
      </c>
    </row>
    <row r="1174" spans="1:12" ht="15">
      <c r="A1174" s="30"/>
      <c r="D1174" s="32" t="s">
        <v>1728</v>
      </c>
      <c r="E1174" s="31" t="s">
        <v>1729</v>
      </c>
      <c r="G1174" s="33">
        <v>0.3</v>
      </c>
      <c r="L1174" s="34"/>
    </row>
    <row r="1175" spans="1:12" ht="15">
      <c r="A1175" s="30"/>
      <c r="D1175" s="32" t="s">
        <v>1730</v>
      </c>
      <c r="E1175" s="31" t="s">
        <v>1731</v>
      </c>
      <c r="G1175" s="33">
        <v>0.74</v>
      </c>
      <c r="L1175" s="34"/>
    </row>
    <row r="1176" spans="1:75" ht="13.5" customHeight="1">
      <c r="A1176" s="2" t="s">
        <v>1732</v>
      </c>
      <c r="B1176" s="3" t="s">
        <v>1387</v>
      </c>
      <c r="C1176" s="3" t="s">
        <v>1733</v>
      </c>
      <c r="D1176" s="148" t="s">
        <v>1734</v>
      </c>
      <c r="E1176" s="143"/>
      <c r="F1176" s="3" t="s">
        <v>126</v>
      </c>
      <c r="G1176" s="27">
        <v>1.04</v>
      </c>
      <c r="H1176" s="27">
        <v>0</v>
      </c>
      <c r="I1176" s="27">
        <f>G1176*AO1176</f>
        <v>0</v>
      </c>
      <c r="J1176" s="27">
        <f>G1176*AP1176</f>
        <v>0</v>
      </c>
      <c r="K1176" s="27">
        <f>G1176*H1176</f>
        <v>0</v>
      </c>
      <c r="L1176" s="28" t="s">
        <v>137</v>
      </c>
      <c r="Z1176" s="27">
        <f>IF(AQ1176="5",BJ1176,0)</f>
        <v>0</v>
      </c>
      <c r="AB1176" s="27">
        <f>IF(AQ1176="1",BH1176,0)</f>
        <v>0</v>
      </c>
      <c r="AC1176" s="27">
        <f>IF(AQ1176="1",BI1176,0)</f>
        <v>0</v>
      </c>
      <c r="AD1176" s="27">
        <f>IF(AQ1176="7",BH1176,0)</f>
        <v>0</v>
      </c>
      <c r="AE1176" s="27">
        <f>IF(AQ1176="7",BI1176,0)</f>
        <v>0</v>
      </c>
      <c r="AF1176" s="27">
        <f>IF(AQ1176="2",BH1176,0)</f>
        <v>0</v>
      </c>
      <c r="AG1176" s="27">
        <f>IF(AQ1176="2",BI1176,0)</f>
        <v>0</v>
      </c>
      <c r="AH1176" s="27">
        <f>IF(AQ1176="0",BJ1176,0)</f>
        <v>0</v>
      </c>
      <c r="AI1176" s="9" t="s">
        <v>1387</v>
      </c>
      <c r="AJ1176" s="27">
        <f>IF(AN1176=0,K1176,0)</f>
        <v>0</v>
      </c>
      <c r="AK1176" s="27">
        <f>IF(AN1176=12,K1176,0)</f>
        <v>0</v>
      </c>
      <c r="AL1176" s="27">
        <f>IF(AN1176=21,K1176,0)</f>
        <v>0</v>
      </c>
      <c r="AN1176" s="27">
        <v>21</v>
      </c>
      <c r="AO1176" s="27">
        <f>H1176*0.05438999</f>
        <v>0</v>
      </c>
      <c r="AP1176" s="27">
        <f>H1176*(1-0.05438999)</f>
        <v>0</v>
      </c>
      <c r="AQ1176" s="29" t="s">
        <v>57</v>
      </c>
      <c r="AV1176" s="27">
        <f>AW1176+AX1176</f>
        <v>0</v>
      </c>
      <c r="AW1176" s="27">
        <f>G1176*AO1176</f>
        <v>0</v>
      </c>
      <c r="AX1176" s="27">
        <f>G1176*AP1176</f>
        <v>0</v>
      </c>
      <c r="AY1176" s="29" t="s">
        <v>476</v>
      </c>
      <c r="AZ1176" s="29" t="s">
        <v>1677</v>
      </c>
      <c r="BA1176" s="9" t="s">
        <v>1391</v>
      </c>
      <c r="BC1176" s="27">
        <f>AW1176+AX1176</f>
        <v>0</v>
      </c>
      <c r="BD1176" s="27">
        <f>H1176/(100-BE1176)*100</f>
        <v>0</v>
      </c>
      <c r="BE1176" s="27">
        <v>0</v>
      </c>
      <c r="BF1176" s="27">
        <f>1176</f>
        <v>1176</v>
      </c>
      <c r="BH1176" s="27">
        <f>G1176*AO1176</f>
        <v>0</v>
      </c>
      <c r="BI1176" s="27">
        <f>G1176*AP1176</f>
        <v>0</v>
      </c>
      <c r="BJ1176" s="27">
        <f>G1176*H1176</f>
        <v>0</v>
      </c>
      <c r="BK1176" s="27"/>
      <c r="BL1176" s="27">
        <v>97</v>
      </c>
      <c r="BW1176" s="27">
        <v>21</v>
      </c>
    </row>
    <row r="1177" spans="1:12" ht="15">
      <c r="A1177" s="30"/>
      <c r="D1177" s="32" t="s">
        <v>1728</v>
      </c>
      <c r="E1177" s="31" t="s">
        <v>1729</v>
      </c>
      <c r="G1177" s="33">
        <v>0.3</v>
      </c>
      <c r="L1177" s="34"/>
    </row>
    <row r="1178" spans="1:12" ht="15">
      <c r="A1178" s="30"/>
      <c r="D1178" s="32" t="s">
        <v>1730</v>
      </c>
      <c r="E1178" s="31" t="s">
        <v>1731</v>
      </c>
      <c r="G1178" s="33">
        <v>0.74</v>
      </c>
      <c r="L1178" s="34"/>
    </row>
    <row r="1179" spans="1:12" ht="13.5" customHeight="1">
      <c r="A1179" s="30"/>
      <c r="C1179" s="35" t="s">
        <v>102</v>
      </c>
      <c r="D1179" s="166" t="s">
        <v>1735</v>
      </c>
      <c r="E1179" s="167"/>
      <c r="F1179" s="167"/>
      <c r="G1179" s="167"/>
      <c r="H1179" s="167"/>
      <c r="I1179" s="167"/>
      <c r="J1179" s="167"/>
      <c r="K1179" s="167"/>
      <c r="L1179" s="168"/>
    </row>
    <row r="1180" spans="1:75" ht="13.5" customHeight="1">
      <c r="A1180" s="2" t="s">
        <v>1736</v>
      </c>
      <c r="B1180" s="3" t="s">
        <v>1387</v>
      </c>
      <c r="C1180" s="3" t="s">
        <v>1737</v>
      </c>
      <c r="D1180" s="148" t="s">
        <v>1738</v>
      </c>
      <c r="E1180" s="143"/>
      <c r="F1180" s="3" t="s">
        <v>126</v>
      </c>
      <c r="G1180" s="27">
        <v>1.04</v>
      </c>
      <c r="H1180" s="27">
        <v>0</v>
      </c>
      <c r="I1180" s="27">
        <f>G1180*AO1180</f>
        <v>0</v>
      </c>
      <c r="J1180" s="27">
        <f>G1180*AP1180</f>
        <v>0</v>
      </c>
      <c r="K1180" s="27">
        <f>G1180*H1180</f>
        <v>0</v>
      </c>
      <c r="L1180" s="28" t="s">
        <v>137</v>
      </c>
      <c r="Z1180" s="27">
        <f>IF(AQ1180="5",BJ1180,0)</f>
        <v>0</v>
      </c>
      <c r="AB1180" s="27">
        <f>IF(AQ1180="1",BH1180,0)</f>
        <v>0</v>
      </c>
      <c r="AC1180" s="27">
        <f>IF(AQ1180="1",BI1180,0)</f>
        <v>0</v>
      </c>
      <c r="AD1180" s="27">
        <f>IF(AQ1180="7",BH1180,0)</f>
        <v>0</v>
      </c>
      <c r="AE1180" s="27">
        <f>IF(AQ1180="7",BI1180,0)</f>
        <v>0</v>
      </c>
      <c r="AF1180" s="27">
        <f>IF(AQ1180="2",BH1180,0)</f>
        <v>0</v>
      </c>
      <c r="AG1180" s="27">
        <f>IF(AQ1180="2",BI1180,0)</f>
        <v>0</v>
      </c>
      <c r="AH1180" s="27">
        <f>IF(AQ1180="0",BJ1180,0)</f>
        <v>0</v>
      </c>
      <c r="AI1180" s="9" t="s">
        <v>1387</v>
      </c>
      <c r="AJ1180" s="27">
        <f>IF(AN1180=0,K1180,0)</f>
        <v>0</v>
      </c>
      <c r="AK1180" s="27">
        <f>IF(AN1180=12,K1180,0)</f>
        <v>0</v>
      </c>
      <c r="AL1180" s="27">
        <f>IF(AN1180=21,K1180,0)</f>
        <v>0</v>
      </c>
      <c r="AN1180" s="27">
        <v>21</v>
      </c>
      <c r="AO1180" s="27">
        <f>H1180*0.184173228</f>
        <v>0</v>
      </c>
      <c r="AP1180" s="27">
        <f>H1180*(1-0.184173228)</f>
        <v>0</v>
      </c>
      <c r="AQ1180" s="29" t="s">
        <v>57</v>
      </c>
      <c r="AV1180" s="27">
        <f>AW1180+AX1180</f>
        <v>0</v>
      </c>
      <c r="AW1180" s="27">
        <f>G1180*AO1180</f>
        <v>0</v>
      </c>
      <c r="AX1180" s="27">
        <f>G1180*AP1180</f>
        <v>0</v>
      </c>
      <c r="AY1180" s="29" t="s">
        <v>476</v>
      </c>
      <c r="AZ1180" s="29" t="s">
        <v>1677</v>
      </c>
      <c r="BA1180" s="9" t="s">
        <v>1391</v>
      </c>
      <c r="BC1180" s="27">
        <f>AW1180+AX1180</f>
        <v>0</v>
      </c>
      <c r="BD1180" s="27">
        <f>H1180/(100-BE1180)*100</f>
        <v>0</v>
      </c>
      <c r="BE1180" s="27">
        <v>0</v>
      </c>
      <c r="BF1180" s="27">
        <f>1180</f>
        <v>1180</v>
      </c>
      <c r="BH1180" s="27">
        <f>G1180*AO1180</f>
        <v>0</v>
      </c>
      <c r="BI1180" s="27">
        <f>G1180*AP1180</f>
        <v>0</v>
      </c>
      <c r="BJ1180" s="27">
        <f>G1180*H1180</f>
        <v>0</v>
      </c>
      <c r="BK1180" s="27"/>
      <c r="BL1180" s="27">
        <v>97</v>
      </c>
      <c r="BW1180" s="27">
        <v>21</v>
      </c>
    </row>
    <row r="1181" spans="1:12" ht="15">
      <c r="A1181" s="30"/>
      <c r="D1181" s="32" t="s">
        <v>1728</v>
      </c>
      <c r="E1181" s="31" t="s">
        <v>1729</v>
      </c>
      <c r="G1181" s="33">
        <v>0.3</v>
      </c>
      <c r="L1181" s="34"/>
    </row>
    <row r="1182" spans="1:12" ht="15">
      <c r="A1182" s="30"/>
      <c r="D1182" s="32" t="s">
        <v>1730</v>
      </c>
      <c r="E1182" s="31" t="s">
        <v>1731</v>
      </c>
      <c r="G1182" s="33">
        <v>0.74</v>
      </c>
      <c r="L1182" s="34"/>
    </row>
    <row r="1183" spans="1:12" ht="13.5" customHeight="1">
      <c r="A1183" s="30"/>
      <c r="C1183" s="35" t="s">
        <v>102</v>
      </c>
      <c r="D1183" s="166" t="s">
        <v>1739</v>
      </c>
      <c r="E1183" s="167"/>
      <c r="F1183" s="167"/>
      <c r="G1183" s="167"/>
      <c r="H1183" s="167"/>
      <c r="I1183" s="167"/>
      <c r="J1183" s="167"/>
      <c r="K1183" s="167"/>
      <c r="L1183" s="168"/>
    </row>
    <row r="1184" spans="1:75" ht="13.5" customHeight="1">
      <c r="A1184" s="2" t="s">
        <v>1740</v>
      </c>
      <c r="B1184" s="3" t="s">
        <v>1387</v>
      </c>
      <c r="C1184" s="3" t="s">
        <v>1741</v>
      </c>
      <c r="D1184" s="148" t="s">
        <v>1742</v>
      </c>
      <c r="E1184" s="143"/>
      <c r="F1184" s="3" t="s">
        <v>126</v>
      </c>
      <c r="G1184" s="27">
        <v>19.52</v>
      </c>
      <c r="H1184" s="27">
        <v>0</v>
      </c>
      <c r="I1184" s="27">
        <f>G1184*AO1184</f>
        <v>0</v>
      </c>
      <c r="J1184" s="27">
        <f>G1184*AP1184</f>
        <v>0</v>
      </c>
      <c r="K1184" s="27">
        <f>G1184*H1184</f>
        <v>0</v>
      </c>
      <c r="L1184" s="28" t="s">
        <v>137</v>
      </c>
      <c r="Z1184" s="27">
        <f>IF(AQ1184="5",BJ1184,0)</f>
        <v>0</v>
      </c>
      <c r="AB1184" s="27">
        <f>IF(AQ1184="1",BH1184,0)</f>
        <v>0</v>
      </c>
      <c r="AC1184" s="27">
        <f>IF(AQ1184="1",BI1184,0)</f>
        <v>0</v>
      </c>
      <c r="AD1184" s="27">
        <f>IF(AQ1184="7",BH1184,0)</f>
        <v>0</v>
      </c>
      <c r="AE1184" s="27">
        <f>IF(AQ1184="7",BI1184,0)</f>
        <v>0</v>
      </c>
      <c r="AF1184" s="27">
        <f>IF(AQ1184="2",BH1184,0)</f>
        <v>0</v>
      </c>
      <c r="AG1184" s="27">
        <f>IF(AQ1184="2",BI1184,0)</f>
        <v>0</v>
      </c>
      <c r="AH1184" s="27">
        <f>IF(AQ1184="0",BJ1184,0)</f>
        <v>0</v>
      </c>
      <c r="AI1184" s="9" t="s">
        <v>1387</v>
      </c>
      <c r="AJ1184" s="27">
        <f>IF(AN1184=0,K1184,0)</f>
        <v>0</v>
      </c>
      <c r="AK1184" s="27">
        <f>IF(AN1184=12,K1184,0)</f>
        <v>0</v>
      </c>
      <c r="AL1184" s="27">
        <f>IF(AN1184=21,K1184,0)</f>
        <v>0</v>
      </c>
      <c r="AN1184" s="27">
        <v>21</v>
      </c>
      <c r="AO1184" s="27">
        <f>H1184*0.15962162</f>
        <v>0</v>
      </c>
      <c r="AP1184" s="27">
        <f>H1184*(1-0.15962162)</f>
        <v>0</v>
      </c>
      <c r="AQ1184" s="29" t="s">
        <v>57</v>
      </c>
      <c r="AV1184" s="27">
        <f>AW1184+AX1184</f>
        <v>0</v>
      </c>
      <c r="AW1184" s="27">
        <f>G1184*AO1184</f>
        <v>0</v>
      </c>
      <c r="AX1184" s="27">
        <f>G1184*AP1184</f>
        <v>0</v>
      </c>
      <c r="AY1184" s="29" t="s">
        <v>476</v>
      </c>
      <c r="AZ1184" s="29" t="s">
        <v>1677</v>
      </c>
      <c r="BA1184" s="9" t="s">
        <v>1391</v>
      </c>
      <c r="BC1184" s="27">
        <f>AW1184+AX1184</f>
        <v>0</v>
      </c>
      <c r="BD1184" s="27">
        <f>H1184/(100-BE1184)*100</f>
        <v>0</v>
      </c>
      <c r="BE1184" s="27">
        <v>0</v>
      </c>
      <c r="BF1184" s="27">
        <f>1184</f>
        <v>1184</v>
      </c>
      <c r="BH1184" s="27">
        <f>G1184*AO1184</f>
        <v>0</v>
      </c>
      <c r="BI1184" s="27">
        <f>G1184*AP1184</f>
        <v>0</v>
      </c>
      <c r="BJ1184" s="27">
        <f>G1184*H1184</f>
        <v>0</v>
      </c>
      <c r="BK1184" s="27"/>
      <c r="BL1184" s="27">
        <v>97</v>
      </c>
      <c r="BW1184" s="27">
        <v>21</v>
      </c>
    </row>
    <row r="1185" spans="1:12" ht="15">
      <c r="A1185" s="30"/>
      <c r="D1185" s="32" t="s">
        <v>1743</v>
      </c>
      <c r="E1185" s="31" t="s">
        <v>1744</v>
      </c>
      <c r="G1185" s="33">
        <v>14.52</v>
      </c>
      <c r="L1185" s="34"/>
    </row>
    <row r="1186" spans="1:12" ht="15">
      <c r="A1186" s="30"/>
      <c r="D1186" s="32" t="s">
        <v>72</v>
      </c>
      <c r="E1186" s="31" t="s">
        <v>1745</v>
      </c>
      <c r="G1186" s="33">
        <v>3</v>
      </c>
      <c r="L1186" s="34"/>
    </row>
    <row r="1187" spans="1:12" ht="15">
      <c r="A1187" s="30"/>
      <c r="D1187" s="32" t="s">
        <v>1746</v>
      </c>
      <c r="E1187" s="31" t="s">
        <v>1747</v>
      </c>
      <c r="G1187" s="33">
        <v>2</v>
      </c>
      <c r="L1187" s="34"/>
    </row>
    <row r="1188" spans="1:12" ht="13.5" customHeight="1">
      <c r="A1188" s="30"/>
      <c r="C1188" s="35" t="s">
        <v>102</v>
      </c>
      <c r="D1188" s="166" t="s">
        <v>486</v>
      </c>
      <c r="E1188" s="167"/>
      <c r="F1188" s="167"/>
      <c r="G1188" s="167"/>
      <c r="H1188" s="167"/>
      <c r="I1188" s="167"/>
      <c r="J1188" s="167"/>
      <c r="K1188" s="167"/>
      <c r="L1188" s="168"/>
    </row>
    <row r="1189" spans="1:47" ht="15">
      <c r="A1189" s="23" t="s">
        <v>52</v>
      </c>
      <c r="B1189" s="24" t="s">
        <v>1387</v>
      </c>
      <c r="C1189" s="24" t="s">
        <v>494</v>
      </c>
      <c r="D1189" s="164" t="s">
        <v>495</v>
      </c>
      <c r="E1189" s="165"/>
      <c r="F1189" s="25" t="s">
        <v>4</v>
      </c>
      <c r="G1189" s="25" t="s">
        <v>4</v>
      </c>
      <c r="H1189" s="25" t="s">
        <v>4</v>
      </c>
      <c r="I1189" s="1">
        <f>SUM(I1190:I1206)</f>
        <v>0</v>
      </c>
      <c r="J1189" s="1">
        <f>SUM(J1190:J1206)</f>
        <v>0</v>
      </c>
      <c r="K1189" s="1">
        <f>SUM(K1190:K1206)</f>
        <v>0</v>
      </c>
      <c r="L1189" s="26" t="s">
        <v>52</v>
      </c>
      <c r="AI1189" s="9" t="s">
        <v>1387</v>
      </c>
      <c r="AS1189" s="1">
        <f>SUM(AJ1190:AJ1206)</f>
        <v>0</v>
      </c>
      <c r="AT1189" s="1">
        <f>SUM(AK1190:AK1206)</f>
        <v>0</v>
      </c>
      <c r="AU1189" s="1">
        <f>SUM(AL1190:AL1206)</f>
        <v>0</v>
      </c>
    </row>
    <row r="1190" spans="1:75" ht="13.5" customHeight="1">
      <c r="A1190" s="2" t="s">
        <v>1748</v>
      </c>
      <c r="B1190" s="3" t="s">
        <v>1387</v>
      </c>
      <c r="C1190" s="3" t="s">
        <v>497</v>
      </c>
      <c r="D1190" s="148" t="s">
        <v>498</v>
      </c>
      <c r="E1190" s="143"/>
      <c r="F1190" s="3" t="s">
        <v>95</v>
      </c>
      <c r="G1190" s="27">
        <v>5.88283</v>
      </c>
      <c r="H1190" s="27">
        <v>0</v>
      </c>
      <c r="I1190" s="27">
        <f>G1190*AO1190</f>
        <v>0</v>
      </c>
      <c r="J1190" s="27">
        <f>G1190*AP1190</f>
        <v>0</v>
      </c>
      <c r="K1190" s="27">
        <f>G1190*H1190</f>
        <v>0</v>
      </c>
      <c r="L1190" s="28" t="s">
        <v>137</v>
      </c>
      <c r="Z1190" s="27">
        <f>IF(AQ1190="5",BJ1190,0)</f>
        <v>0</v>
      </c>
      <c r="AB1190" s="27">
        <f>IF(AQ1190="1",BH1190,0)</f>
        <v>0</v>
      </c>
      <c r="AC1190" s="27">
        <f>IF(AQ1190="1",BI1190,0)</f>
        <v>0</v>
      </c>
      <c r="AD1190" s="27">
        <f>IF(AQ1190="7",BH1190,0)</f>
        <v>0</v>
      </c>
      <c r="AE1190" s="27">
        <f>IF(AQ1190="7",BI1190,0)</f>
        <v>0</v>
      </c>
      <c r="AF1190" s="27">
        <f>IF(AQ1190="2",BH1190,0)</f>
        <v>0</v>
      </c>
      <c r="AG1190" s="27">
        <f>IF(AQ1190="2",BI1190,0)</f>
        <v>0</v>
      </c>
      <c r="AH1190" s="27">
        <f>IF(AQ1190="0",BJ1190,0)</f>
        <v>0</v>
      </c>
      <c r="AI1190" s="9" t="s">
        <v>1387</v>
      </c>
      <c r="AJ1190" s="27">
        <f>IF(AN1190=0,K1190,0)</f>
        <v>0</v>
      </c>
      <c r="AK1190" s="27">
        <f>IF(AN1190=12,K1190,0)</f>
        <v>0</v>
      </c>
      <c r="AL1190" s="27">
        <f>IF(AN1190=21,K1190,0)</f>
        <v>0</v>
      </c>
      <c r="AN1190" s="27">
        <v>21</v>
      </c>
      <c r="AO1190" s="27">
        <f>H1190*0</f>
        <v>0</v>
      </c>
      <c r="AP1190" s="27">
        <f>H1190*(1-0)</f>
        <v>0</v>
      </c>
      <c r="AQ1190" s="29" t="s">
        <v>78</v>
      </c>
      <c r="AV1190" s="27">
        <f>AW1190+AX1190</f>
        <v>0</v>
      </c>
      <c r="AW1190" s="27">
        <f>G1190*AO1190</f>
        <v>0</v>
      </c>
      <c r="AX1190" s="27">
        <f>G1190*AP1190</f>
        <v>0</v>
      </c>
      <c r="AY1190" s="29" t="s">
        <v>499</v>
      </c>
      <c r="AZ1190" s="29" t="s">
        <v>1677</v>
      </c>
      <c r="BA1190" s="9" t="s">
        <v>1391</v>
      </c>
      <c r="BC1190" s="27">
        <f>AW1190+AX1190</f>
        <v>0</v>
      </c>
      <c r="BD1190" s="27">
        <f>H1190/(100-BE1190)*100</f>
        <v>0</v>
      </c>
      <c r="BE1190" s="27">
        <v>0</v>
      </c>
      <c r="BF1190" s="27">
        <f>1190</f>
        <v>1190</v>
      </c>
      <c r="BH1190" s="27">
        <f>G1190*AO1190</f>
        <v>0</v>
      </c>
      <c r="BI1190" s="27">
        <f>G1190*AP1190</f>
        <v>0</v>
      </c>
      <c r="BJ1190" s="27">
        <f>G1190*H1190</f>
        <v>0</v>
      </c>
      <c r="BK1190" s="27"/>
      <c r="BL1190" s="27"/>
      <c r="BW1190" s="27">
        <v>21</v>
      </c>
    </row>
    <row r="1191" spans="1:12" ht="13.5" customHeight="1">
      <c r="A1191" s="98"/>
      <c r="C1191" s="99" t="s">
        <v>102</v>
      </c>
      <c r="D1191" s="195" t="s">
        <v>500</v>
      </c>
      <c r="E1191" s="196"/>
      <c r="F1191" s="196"/>
      <c r="G1191" s="196"/>
      <c r="H1191" s="196"/>
      <c r="I1191" s="196"/>
      <c r="J1191" s="196"/>
      <c r="K1191" s="196"/>
      <c r="L1191" s="197"/>
    </row>
    <row r="1192" spans="1:75" ht="13.5" customHeight="1">
      <c r="A1192" s="41" t="s">
        <v>1749</v>
      </c>
      <c r="B1192" s="42" t="s">
        <v>1387</v>
      </c>
      <c r="C1192" s="42" t="s">
        <v>502</v>
      </c>
      <c r="D1192" s="171" t="s">
        <v>503</v>
      </c>
      <c r="E1192" s="172"/>
      <c r="F1192" s="42" t="s">
        <v>95</v>
      </c>
      <c r="G1192" s="43">
        <v>5.88283</v>
      </c>
      <c r="H1192" s="43">
        <v>0</v>
      </c>
      <c r="I1192" s="43">
        <f>G1192*AO1192</f>
        <v>0</v>
      </c>
      <c r="J1192" s="43">
        <f>G1192*AP1192</f>
        <v>0</v>
      </c>
      <c r="K1192" s="43">
        <f>G1192*H1192</f>
        <v>0</v>
      </c>
      <c r="L1192" s="44" t="s">
        <v>137</v>
      </c>
      <c r="Z1192" s="27">
        <f>IF(AQ1192="5",BJ1192,0)</f>
        <v>0</v>
      </c>
      <c r="AB1192" s="27">
        <f>IF(AQ1192="1",BH1192,0)</f>
        <v>0</v>
      </c>
      <c r="AC1192" s="27">
        <f>IF(AQ1192="1",BI1192,0)</f>
        <v>0</v>
      </c>
      <c r="AD1192" s="27">
        <f>IF(AQ1192="7",BH1192,0)</f>
        <v>0</v>
      </c>
      <c r="AE1192" s="27">
        <f>IF(AQ1192="7",BI1192,0)</f>
        <v>0</v>
      </c>
      <c r="AF1192" s="27">
        <f>IF(AQ1192="2",BH1192,0)</f>
        <v>0</v>
      </c>
      <c r="AG1192" s="27">
        <f>IF(AQ1192="2",BI1192,0)</f>
        <v>0</v>
      </c>
      <c r="AH1192" s="27">
        <f>IF(AQ1192="0",BJ1192,0)</f>
        <v>0</v>
      </c>
      <c r="AI1192" s="9" t="s">
        <v>1387</v>
      </c>
      <c r="AJ1192" s="27">
        <f>IF(AN1192=0,K1192,0)</f>
        <v>0</v>
      </c>
      <c r="AK1192" s="27">
        <f>IF(AN1192=12,K1192,0)</f>
        <v>0</v>
      </c>
      <c r="AL1192" s="27">
        <f>IF(AN1192=21,K1192,0)</f>
        <v>0</v>
      </c>
      <c r="AN1192" s="27">
        <v>21</v>
      </c>
      <c r="AO1192" s="27">
        <f>H1192*0</f>
        <v>0</v>
      </c>
      <c r="AP1192" s="27">
        <f>H1192*(1-0)</f>
        <v>0</v>
      </c>
      <c r="AQ1192" s="29" t="s">
        <v>78</v>
      </c>
      <c r="AV1192" s="27">
        <f>AW1192+AX1192</f>
        <v>0</v>
      </c>
      <c r="AW1192" s="27">
        <f>G1192*AO1192</f>
        <v>0</v>
      </c>
      <c r="AX1192" s="27">
        <f>G1192*AP1192</f>
        <v>0</v>
      </c>
      <c r="AY1192" s="29" t="s">
        <v>499</v>
      </c>
      <c r="AZ1192" s="29" t="s">
        <v>1677</v>
      </c>
      <c r="BA1192" s="9" t="s">
        <v>1391</v>
      </c>
      <c r="BC1192" s="27">
        <f>AW1192+AX1192</f>
        <v>0</v>
      </c>
      <c r="BD1192" s="27">
        <f>H1192/(100-BE1192)*100</f>
        <v>0</v>
      </c>
      <c r="BE1192" s="27">
        <v>0</v>
      </c>
      <c r="BF1192" s="27">
        <f>1192</f>
        <v>1192</v>
      </c>
      <c r="BH1192" s="27">
        <f>G1192*AO1192</f>
        <v>0</v>
      </c>
      <c r="BI1192" s="27">
        <f>G1192*AP1192</f>
        <v>0</v>
      </c>
      <c r="BJ1192" s="27">
        <f>G1192*H1192</f>
        <v>0</v>
      </c>
      <c r="BK1192" s="27"/>
      <c r="BL1192" s="27"/>
      <c r="BW1192" s="27">
        <v>21</v>
      </c>
    </row>
    <row r="1193" spans="1:12" ht="15">
      <c r="A1193" s="52"/>
      <c r="B1193" s="53"/>
      <c r="C1193" s="53"/>
      <c r="D1193" s="54" t="s">
        <v>1750</v>
      </c>
      <c r="E1193" s="55" t="s">
        <v>505</v>
      </c>
      <c r="F1193" s="53"/>
      <c r="G1193" s="56">
        <v>5.88283</v>
      </c>
      <c r="H1193" s="53"/>
      <c r="I1193" s="53"/>
      <c r="J1193" s="53"/>
      <c r="K1193" s="53"/>
      <c r="L1193" s="57"/>
    </row>
    <row r="1194" spans="1:75" ht="13.5" customHeight="1">
      <c r="A1194" s="66" t="s">
        <v>1751</v>
      </c>
      <c r="B1194" s="67" t="s">
        <v>1387</v>
      </c>
      <c r="C1194" s="67" t="s">
        <v>507</v>
      </c>
      <c r="D1194" s="181" t="s">
        <v>508</v>
      </c>
      <c r="E1194" s="182"/>
      <c r="F1194" s="67" t="s">
        <v>95</v>
      </c>
      <c r="G1194" s="68">
        <v>5.88283</v>
      </c>
      <c r="H1194" s="68">
        <v>0</v>
      </c>
      <c r="I1194" s="68">
        <f>G1194*AO1194</f>
        <v>0</v>
      </c>
      <c r="J1194" s="68">
        <f>G1194*AP1194</f>
        <v>0</v>
      </c>
      <c r="K1194" s="68">
        <f>G1194*H1194</f>
        <v>0</v>
      </c>
      <c r="L1194" s="69" t="s">
        <v>137</v>
      </c>
      <c r="Z1194" s="27">
        <f>IF(AQ1194="5",BJ1194,0)</f>
        <v>0</v>
      </c>
      <c r="AB1194" s="27">
        <f>IF(AQ1194="1",BH1194,0)</f>
        <v>0</v>
      </c>
      <c r="AC1194" s="27">
        <f>IF(AQ1194="1",BI1194,0)</f>
        <v>0</v>
      </c>
      <c r="AD1194" s="27">
        <f>IF(AQ1194="7",BH1194,0)</f>
        <v>0</v>
      </c>
      <c r="AE1194" s="27">
        <f>IF(AQ1194="7",BI1194,0)</f>
        <v>0</v>
      </c>
      <c r="AF1194" s="27">
        <f>IF(AQ1194="2",BH1194,0)</f>
        <v>0</v>
      </c>
      <c r="AG1194" s="27">
        <f>IF(AQ1194="2",BI1194,0)</f>
        <v>0</v>
      </c>
      <c r="AH1194" s="27">
        <f>IF(AQ1194="0",BJ1194,0)</f>
        <v>0</v>
      </c>
      <c r="AI1194" s="9" t="s">
        <v>1387</v>
      </c>
      <c r="AJ1194" s="27">
        <f>IF(AN1194=0,K1194,0)</f>
        <v>0</v>
      </c>
      <c r="AK1194" s="27">
        <f>IF(AN1194=12,K1194,0)</f>
        <v>0</v>
      </c>
      <c r="AL1194" s="27">
        <f>IF(AN1194=21,K1194,0)</f>
        <v>0</v>
      </c>
      <c r="AN1194" s="27">
        <v>21</v>
      </c>
      <c r="AO1194" s="27">
        <f>H1194*0</f>
        <v>0</v>
      </c>
      <c r="AP1194" s="27">
        <f>H1194*(1-0)</f>
        <v>0</v>
      </c>
      <c r="AQ1194" s="29" t="s">
        <v>78</v>
      </c>
      <c r="AV1194" s="27">
        <f>AW1194+AX1194</f>
        <v>0</v>
      </c>
      <c r="AW1194" s="27">
        <f>G1194*AO1194</f>
        <v>0</v>
      </c>
      <c r="AX1194" s="27">
        <f>G1194*AP1194</f>
        <v>0</v>
      </c>
      <c r="AY1194" s="29" t="s">
        <v>499</v>
      </c>
      <c r="AZ1194" s="29" t="s">
        <v>1677</v>
      </c>
      <c r="BA1194" s="9" t="s">
        <v>1391</v>
      </c>
      <c r="BC1194" s="27">
        <f>AW1194+AX1194</f>
        <v>0</v>
      </c>
      <c r="BD1194" s="27">
        <f>H1194/(100-BE1194)*100</f>
        <v>0</v>
      </c>
      <c r="BE1194" s="27">
        <v>0</v>
      </c>
      <c r="BF1194" s="27">
        <f>1194</f>
        <v>1194</v>
      </c>
      <c r="BH1194" s="27">
        <f>G1194*AO1194</f>
        <v>0</v>
      </c>
      <c r="BI1194" s="27">
        <f>G1194*AP1194</f>
        <v>0</v>
      </c>
      <c r="BJ1194" s="27">
        <f>G1194*H1194</f>
        <v>0</v>
      </c>
      <c r="BK1194" s="27"/>
      <c r="BL1194" s="27"/>
      <c r="BW1194" s="27">
        <v>21</v>
      </c>
    </row>
    <row r="1195" spans="1:12" ht="15">
      <c r="A1195" s="52"/>
      <c r="B1195" s="53"/>
      <c r="C1195" s="53"/>
      <c r="D1195" s="54" t="s">
        <v>1752</v>
      </c>
      <c r="E1195" s="55" t="s">
        <v>52</v>
      </c>
      <c r="F1195" s="53"/>
      <c r="G1195" s="56">
        <v>5.88283</v>
      </c>
      <c r="H1195" s="53"/>
      <c r="I1195" s="53"/>
      <c r="J1195" s="53"/>
      <c r="K1195" s="53"/>
      <c r="L1195" s="57"/>
    </row>
    <row r="1196" spans="1:75" ht="13.5" customHeight="1">
      <c r="A1196" s="66" t="s">
        <v>1753</v>
      </c>
      <c r="B1196" s="67" t="s">
        <v>1387</v>
      </c>
      <c r="C1196" s="67" t="s">
        <v>511</v>
      </c>
      <c r="D1196" s="181" t="s">
        <v>512</v>
      </c>
      <c r="E1196" s="182"/>
      <c r="F1196" s="67" t="s">
        <v>95</v>
      </c>
      <c r="G1196" s="68">
        <v>76.47679</v>
      </c>
      <c r="H1196" s="68">
        <v>0</v>
      </c>
      <c r="I1196" s="68">
        <f>G1196*AO1196</f>
        <v>0</v>
      </c>
      <c r="J1196" s="68">
        <f>G1196*AP1196</f>
        <v>0</v>
      </c>
      <c r="K1196" s="68">
        <f>G1196*H1196</f>
        <v>0</v>
      </c>
      <c r="L1196" s="69" t="s">
        <v>137</v>
      </c>
      <c r="Z1196" s="27">
        <f>IF(AQ1196="5",BJ1196,0)</f>
        <v>0</v>
      </c>
      <c r="AB1196" s="27">
        <f>IF(AQ1196="1",BH1196,0)</f>
        <v>0</v>
      </c>
      <c r="AC1196" s="27">
        <f>IF(AQ1196="1",BI1196,0)</f>
        <v>0</v>
      </c>
      <c r="AD1196" s="27">
        <f>IF(AQ1196="7",BH1196,0)</f>
        <v>0</v>
      </c>
      <c r="AE1196" s="27">
        <f>IF(AQ1196="7",BI1196,0)</f>
        <v>0</v>
      </c>
      <c r="AF1196" s="27">
        <f>IF(AQ1196="2",BH1196,0)</f>
        <v>0</v>
      </c>
      <c r="AG1196" s="27">
        <f>IF(AQ1196="2",BI1196,0)</f>
        <v>0</v>
      </c>
      <c r="AH1196" s="27">
        <f>IF(AQ1196="0",BJ1196,0)</f>
        <v>0</v>
      </c>
      <c r="AI1196" s="9" t="s">
        <v>1387</v>
      </c>
      <c r="AJ1196" s="27">
        <f>IF(AN1196=0,K1196,0)</f>
        <v>0</v>
      </c>
      <c r="AK1196" s="27">
        <f>IF(AN1196=12,K1196,0)</f>
        <v>0</v>
      </c>
      <c r="AL1196" s="27">
        <f>IF(AN1196=21,K1196,0)</f>
        <v>0</v>
      </c>
      <c r="AN1196" s="27">
        <v>21</v>
      </c>
      <c r="AO1196" s="27">
        <f>H1196*0</f>
        <v>0</v>
      </c>
      <c r="AP1196" s="27">
        <f>H1196*(1-0)</f>
        <v>0</v>
      </c>
      <c r="AQ1196" s="29" t="s">
        <v>78</v>
      </c>
      <c r="AV1196" s="27">
        <f>AW1196+AX1196</f>
        <v>0</v>
      </c>
      <c r="AW1196" s="27">
        <f>G1196*AO1196</f>
        <v>0</v>
      </c>
      <c r="AX1196" s="27">
        <f>G1196*AP1196</f>
        <v>0</v>
      </c>
      <c r="AY1196" s="29" t="s">
        <v>499</v>
      </c>
      <c r="AZ1196" s="29" t="s">
        <v>1677</v>
      </c>
      <c r="BA1196" s="9" t="s">
        <v>1391</v>
      </c>
      <c r="BC1196" s="27">
        <f>AW1196+AX1196</f>
        <v>0</v>
      </c>
      <c r="BD1196" s="27">
        <f>H1196/(100-BE1196)*100</f>
        <v>0</v>
      </c>
      <c r="BE1196" s="27">
        <v>0</v>
      </c>
      <c r="BF1196" s="27">
        <f>1196</f>
        <v>1196</v>
      </c>
      <c r="BH1196" s="27">
        <f>G1196*AO1196</f>
        <v>0</v>
      </c>
      <c r="BI1196" s="27">
        <f>G1196*AP1196</f>
        <v>0</v>
      </c>
      <c r="BJ1196" s="27">
        <f>G1196*H1196</f>
        <v>0</v>
      </c>
      <c r="BK1196" s="27"/>
      <c r="BL1196" s="27"/>
      <c r="BW1196" s="27">
        <v>21</v>
      </c>
    </row>
    <row r="1197" spans="1:12" ht="15">
      <c r="A1197" s="52"/>
      <c r="B1197" s="53"/>
      <c r="C1197" s="53"/>
      <c r="D1197" s="54" t="s">
        <v>1754</v>
      </c>
      <c r="E1197" s="55" t="s">
        <v>514</v>
      </c>
      <c r="F1197" s="53"/>
      <c r="G1197" s="56">
        <v>76.47679</v>
      </c>
      <c r="H1197" s="53"/>
      <c r="I1197" s="53"/>
      <c r="J1197" s="53"/>
      <c r="K1197" s="53"/>
      <c r="L1197" s="57"/>
    </row>
    <row r="1198" spans="1:75" ht="13.5" customHeight="1">
      <c r="A1198" s="66" t="s">
        <v>1755</v>
      </c>
      <c r="B1198" s="67" t="s">
        <v>1387</v>
      </c>
      <c r="C1198" s="67" t="s">
        <v>516</v>
      </c>
      <c r="D1198" s="181" t="s">
        <v>517</v>
      </c>
      <c r="E1198" s="182"/>
      <c r="F1198" s="67" t="s">
        <v>95</v>
      </c>
      <c r="G1198" s="68">
        <v>5.88283</v>
      </c>
      <c r="H1198" s="68">
        <v>0</v>
      </c>
      <c r="I1198" s="68">
        <f>G1198*AO1198</f>
        <v>0</v>
      </c>
      <c r="J1198" s="68">
        <f>G1198*AP1198</f>
        <v>0</v>
      </c>
      <c r="K1198" s="68">
        <f>G1198*H1198</f>
        <v>0</v>
      </c>
      <c r="L1198" s="69" t="s">
        <v>137</v>
      </c>
      <c r="Z1198" s="27">
        <f>IF(AQ1198="5",BJ1198,0)</f>
        <v>0</v>
      </c>
      <c r="AB1198" s="27">
        <f>IF(AQ1198="1",BH1198,0)</f>
        <v>0</v>
      </c>
      <c r="AC1198" s="27">
        <f>IF(AQ1198="1",BI1198,0)</f>
        <v>0</v>
      </c>
      <c r="AD1198" s="27">
        <f>IF(AQ1198="7",BH1198,0)</f>
        <v>0</v>
      </c>
      <c r="AE1198" s="27">
        <f>IF(AQ1198="7",BI1198,0)</f>
        <v>0</v>
      </c>
      <c r="AF1198" s="27">
        <f>IF(AQ1198="2",BH1198,0)</f>
        <v>0</v>
      </c>
      <c r="AG1198" s="27">
        <f>IF(AQ1198="2",BI1198,0)</f>
        <v>0</v>
      </c>
      <c r="AH1198" s="27">
        <f>IF(AQ1198="0",BJ1198,0)</f>
        <v>0</v>
      </c>
      <c r="AI1198" s="9" t="s">
        <v>1387</v>
      </c>
      <c r="AJ1198" s="27">
        <f>IF(AN1198=0,K1198,0)</f>
        <v>0</v>
      </c>
      <c r="AK1198" s="27">
        <f>IF(AN1198=12,K1198,0)</f>
        <v>0</v>
      </c>
      <c r="AL1198" s="27">
        <f>IF(AN1198=21,K1198,0)</f>
        <v>0</v>
      </c>
      <c r="AN1198" s="27">
        <v>21</v>
      </c>
      <c r="AO1198" s="27">
        <f>H1198*0</f>
        <v>0</v>
      </c>
      <c r="AP1198" s="27">
        <f>H1198*(1-0)</f>
        <v>0</v>
      </c>
      <c r="AQ1198" s="29" t="s">
        <v>78</v>
      </c>
      <c r="AV1198" s="27">
        <f>AW1198+AX1198</f>
        <v>0</v>
      </c>
      <c r="AW1198" s="27">
        <f>G1198*AO1198</f>
        <v>0</v>
      </c>
      <c r="AX1198" s="27">
        <f>G1198*AP1198</f>
        <v>0</v>
      </c>
      <c r="AY1198" s="29" t="s">
        <v>499</v>
      </c>
      <c r="AZ1198" s="29" t="s">
        <v>1677</v>
      </c>
      <c r="BA1198" s="9" t="s">
        <v>1391</v>
      </c>
      <c r="BC1198" s="27">
        <f>AW1198+AX1198</f>
        <v>0</v>
      </c>
      <c r="BD1198" s="27">
        <f>H1198/(100-BE1198)*100</f>
        <v>0</v>
      </c>
      <c r="BE1198" s="27">
        <v>0</v>
      </c>
      <c r="BF1198" s="27">
        <f>1198</f>
        <v>1198</v>
      </c>
      <c r="BH1198" s="27">
        <f>G1198*AO1198</f>
        <v>0</v>
      </c>
      <c r="BI1198" s="27">
        <f>G1198*AP1198</f>
        <v>0</v>
      </c>
      <c r="BJ1198" s="27">
        <f>G1198*H1198</f>
        <v>0</v>
      </c>
      <c r="BK1198" s="27"/>
      <c r="BL1198" s="27"/>
      <c r="BW1198" s="27">
        <v>21</v>
      </c>
    </row>
    <row r="1199" spans="1:12" ht="15">
      <c r="A1199" s="52"/>
      <c r="B1199" s="53"/>
      <c r="C1199" s="53"/>
      <c r="D1199" s="54" t="s">
        <v>1752</v>
      </c>
      <c r="E1199" s="55" t="s">
        <v>52</v>
      </c>
      <c r="F1199" s="53"/>
      <c r="G1199" s="56">
        <v>5.88283</v>
      </c>
      <c r="H1199" s="53"/>
      <c r="I1199" s="53"/>
      <c r="J1199" s="53"/>
      <c r="K1199" s="53"/>
      <c r="L1199" s="57"/>
    </row>
    <row r="1200" spans="1:75" ht="13.5" customHeight="1">
      <c r="A1200" s="66" t="s">
        <v>1756</v>
      </c>
      <c r="B1200" s="67" t="s">
        <v>1387</v>
      </c>
      <c r="C1200" s="67" t="s">
        <v>519</v>
      </c>
      <c r="D1200" s="181" t="s">
        <v>520</v>
      </c>
      <c r="E1200" s="182"/>
      <c r="F1200" s="67" t="s">
        <v>95</v>
      </c>
      <c r="G1200" s="68">
        <v>5.88283</v>
      </c>
      <c r="H1200" s="68">
        <v>0</v>
      </c>
      <c r="I1200" s="68">
        <f>G1200*AO1200</f>
        <v>0</v>
      </c>
      <c r="J1200" s="68">
        <f>G1200*AP1200</f>
        <v>0</v>
      </c>
      <c r="K1200" s="68">
        <f>G1200*H1200</f>
        <v>0</v>
      </c>
      <c r="L1200" s="69" t="s">
        <v>137</v>
      </c>
      <c r="Z1200" s="27">
        <f>IF(AQ1200="5",BJ1200,0)</f>
        <v>0</v>
      </c>
      <c r="AB1200" s="27">
        <f>IF(AQ1200="1",BH1200,0)</f>
        <v>0</v>
      </c>
      <c r="AC1200" s="27">
        <f>IF(AQ1200="1",BI1200,0)</f>
        <v>0</v>
      </c>
      <c r="AD1200" s="27">
        <f>IF(AQ1200="7",BH1200,0)</f>
        <v>0</v>
      </c>
      <c r="AE1200" s="27">
        <f>IF(AQ1200="7",BI1200,0)</f>
        <v>0</v>
      </c>
      <c r="AF1200" s="27">
        <f>IF(AQ1200="2",BH1200,0)</f>
        <v>0</v>
      </c>
      <c r="AG1200" s="27">
        <f>IF(AQ1200="2",BI1200,0)</f>
        <v>0</v>
      </c>
      <c r="AH1200" s="27">
        <f>IF(AQ1200="0",BJ1200,0)</f>
        <v>0</v>
      </c>
      <c r="AI1200" s="9" t="s">
        <v>1387</v>
      </c>
      <c r="AJ1200" s="27">
        <f>IF(AN1200=0,K1200,0)</f>
        <v>0</v>
      </c>
      <c r="AK1200" s="27">
        <f>IF(AN1200=12,K1200,0)</f>
        <v>0</v>
      </c>
      <c r="AL1200" s="27">
        <f>IF(AN1200=21,K1200,0)</f>
        <v>0</v>
      </c>
      <c r="AN1200" s="27">
        <v>21</v>
      </c>
      <c r="AO1200" s="27">
        <f>H1200*0</f>
        <v>0</v>
      </c>
      <c r="AP1200" s="27">
        <f>H1200*(1-0)</f>
        <v>0</v>
      </c>
      <c r="AQ1200" s="29" t="s">
        <v>78</v>
      </c>
      <c r="AV1200" s="27">
        <f>AW1200+AX1200</f>
        <v>0</v>
      </c>
      <c r="AW1200" s="27">
        <f>G1200*AO1200</f>
        <v>0</v>
      </c>
      <c r="AX1200" s="27">
        <f>G1200*AP1200</f>
        <v>0</v>
      </c>
      <c r="AY1200" s="29" t="s">
        <v>499</v>
      </c>
      <c r="AZ1200" s="29" t="s">
        <v>1677</v>
      </c>
      <c r="BA1200" s="9" t="s">
        <v>1391</v>
      </c>
      <c r="BC1200" s="27">
        <f>AW1200+AX1200</f>
        <v>0</v>
      </c>
      <c r="BD1200" s="27">
        <f>H1200/(100-BE1200)*100</f>
        <v>0</v>
      </c>
      <c r="BE1200" s="27">
        <v>0</v>
      </c>
      <c r="BF1200" s="27">
        <f>1200</f>
        <v>1200</v>
      </c>
      <c r="BH1200" s="27">
        <f>G1200*AO1200</f>
        <v>0</v>
      </c>
      <c r="BI1200" s="27">
        <f>G1200*AP1200</f>
        <v>0</v>
      </c>
      <c r="BJ1200" s="27">
        <f>G1200*H1200</f>
        <v>0</v>
      </c>
      <c r="BK1200" s="27"/>
      <c r="BL1200" s="27"/>
      <c r="BW1200" s="27">
        <v>21</v>
      </c>
    </row>
    <row r="1201" spans="1:12" ht="13.5" customHeight="1">
      <c r="A1201" s="45"/>
      <c r="D1201" s="173" t="s">
        <v>521</v>
      </c>
      <c r="E1201" s="174"/>
      <c r="F1201" s="174"/>
      <c r="G1201" s="174"/>
      <c r="H1201" s="174"/>
      <c r="I1201" s="174"/>
      <c r="J1201" s="174"/>
      <c r="K1201" s="174"/>
      <c r="L1201" s="175"/>
    </row>
    <row r="1202" spans="1:12" ht="15">
      <c r="A1202" s="46"/>
      <c r="B1202" s="47"/>
      <c r="C1202" s="47"/>
      <c r="D1202" s="48" t="s">
        <v>1752</v>
      </c>
      <c r="E1202" s="49" t="s">
        <v>52</v>
      </c>
      <c r="F1202" s="47"/>
      <c r="G1202" s="50">
        <v>5.88283</v>
      </c>
      <c r="H1202" s="47"/>
      <c r="I1202" s="47"/>
      <c r="J1202" s="47"/>
      <c r="K1202" s="47"/>
      <c r="L1202" s="51"/>
    </row>
    <row r="1203" spans="1:75" ht="13.5" customHeight="1">
      <c r="A1203" s="66" t="s">
        <v>1757</v>
      </c>
      <c r="B1203" s="67" t="s">
        <v>1387</v>
      </c>
      <c r="C1203" s="67" t="s">
        <v>523</v>
      </c>
      <c r="D1203" s="181" t="s">
        <v>524</v>
      </c>
      <c r="E1203" s="182"/>
      <c r="F1203" s="67" t="s">
        <v>95</v>
      </c>
      <c r="G1203" s="68">
        <v>117.6566</v>
      </c>
      <c r="H1203" s="68">
        <v>0</v>
      </c>
      <c r="I1203" s="68">
        <f>G1203*AO1203</f>
        <v>0</v>
      </c>
      <c r="J1203" s="68">
        <f>G1203*AP1203</f>
        <v>0</v>
      </c>
      <c r="K1203" s="68">
        <f>G1203*H1203</f>
        <v>0</v>
      </c>
      <c r="L1203" s="69" t="s">
        <v>137</v>
      </c>
      <c r="Z1203" s="27">
        <f>IF(AQ1203="5",BJ1203,0)</f>
        <v>0</v>
      </c>
      <c r="AB1203" s="27">
        <f>IF(AQ1203="1",BH1203,0)</f>
        <v>0</v>
      </c>
      <c r="AC1203" s="27">
        <f>IF(AQ1203="1",BI1203,0)</f>
        <v>0</v>
      </c>
      <c r="AD1203" s="27">
        <f>IF(AQ1203="7",BH1203,0)</f>
        <v>0</v>
      </c>
      <c r="AE1203" s="27">
        <f>IF(AQ1203="7",BI1203,0)</f>
        <v>0</v>
      </c>
      <c r="AF1203" s="27">
        <f>IF(AQ1203="2",BH1203,0)</f>
        <v>0</v>
      </c>
      <c r="AG1203" s="27">
        <f>IF(AQ1203="2",BI1203,0)</f>
        <v>0</v>
      </c>
      <c r="AH1203" s="27">
        <f>IF(AQ1203="0",BJ1203,0)</f>
        <v>0</v>
      </c>
      <c r="AI1203" s="9" t="s">
        <v>1387</v>
      </c>
      <c r="AJ1203" s="27">
        <f>IF(AN1203=0,K1203,0)</f>
        <v>0</v>
      </c>
      <c r="AK1203" s="27">
        <f>IF(AN1203=12,K1203,0)</f>
        <v>0</v>
      </c>
      <c r="AL1203" s="27">
        <f>IF(AN1203=21,K1203,0)</f>
        <v>0</v>
      </c>
      <c r="AN1203" s="27">
        <v>21</v>
      </c>
      <c r="AO1203" s="27">
        <f>H1203*0</f>
        <v>0</v>
      </c>
      <c r="AP1203" s="27">
        <f>H1203*(1-0)</f>
        <v>0</v>
      </c>
      <c r="AQ1203" s="29" t="s">
        <v>78</v>
      </c>
      <c r="AV1203" s="27">
        <f>AW1203+AX1203</f>
        <v>0</v>
      </c>
      <c r="AW1203" s="27">
        <f>G1203*AO1203</f>
        <v>0</v>
      </c>
      <c r="AX1203" s="27">
        <f>G1203*AP1203</f>
        <v>0</v>
      </c>
      <c r="AY1203" s="29" t="s">
        <v>499</v>
      </c>
      <c r="AZ1203" s="29" t="s">
        <v>1677</v>
      </c>
      <c r="BA1203" s="9" t="s">
        <v>1391</v>
      </c>
      <c r="BC1203" s="27">
        <f>AW1203+AX1203</f>
        <v>0</v>
      </c>
      <c r="BD1203" s="27">
        <f>H1203/(100-BE1203)*100</f>
        <v>0</v>
      </c>
      <c r="BE1203" s="27">
        <v>0</v>
      </c>
      <c r="BF1203" s="27">
        <f>1203</f>
        <v>1203</v>
      </c>
      <c r="BH1203" s="27">
        <f>G1203*AO1203</f>
        <v>0</v>
      </c>
      <c r="BI1203" s="27">
        <f>G1203*AP1203</f>
        <v>0</v>
      </c>
      <c r="BJ1203" s="27">
        <f>G1203*H1203</f>
        <v>0</v>
      </c>
      <c r="BK1203" s="27"/>
      <c r="BL1203" s="27"/>
      <c r="BW1203" s="27">
        <v>21</v>
      </c>
    </row>
    <row r="1204" spans="1:12" ht="13.5" customHeight="1">
      <c r="A1204" s="45"/>
      <c r="D1204" s="173" t="s">
        <v>521</v>
      </c>
      <c r="E1204" s="174"/>
      <c r="F1204" s="174"/>
      <c r="G1204" s="174"/>
      <c r="H1204" s="174"/>
      <c r="I1204" s="174"/>
      <c r="J1204" s="174"/>
      <c r="K1204" s="174"/>
      <c r="L1204" s="175"/>
    </row>
    <row r="1205" spans="1:12" ht="15">
      <c r="A1205" s="46"/>
      <c r="B1205" s="47"/>
      <c r="C1205" s="47"/>
      <c r="D1205" s="48" t="s">
        <v>1758</v>
      </c>
      <c r="E1205" s="49" t="s">
        <v>526</v>
      </c>
      <c r="F1205" s="47"/>
      <c r="G1205" s="50">
        <v>117.6566</v>
      </c>
      <c r="H1205" s="47"/>
      <c r="I1205" s="47"/>
      <c r="J1205" s="47"/>
      <c r="K1205" s="47"/>
      <c r="L1205" s="51"/>
    </row>
    <row r="1206" spans="1:75" ht="13.5" customHeight="1">
      <c r="A1206" s="66" t="s">
        <v>1759</v>
      </c>
      <c r="B1206" s="67" t="s">
        <v>1387</v>
      </c>
      <c r="C1206" s="67" t="s">
        <v>1760</v>
      </c>
      <c r="D1206" s="181" t="s">
        <v>1761</v>
      </c>
      <c r="E1206" s="182"/>
      <c r="F1206" s="67" t="s">
        <v>95</v>
      </c>
      <c r="G1206" s="68">
        <v>5.88283</v>
      </c>
      <c r="H1206" s="68">
        <v>0</v>
      </c>
      <c r="I1206" s="68">
        <f>G1206*AO1206</f>
        <v>0</v>
      </c>
      <c r="J1206" s="68">
        <f>G1206*AP1206</f>
        <v>0</v>
      </c>
      <c r="K1206" s="68">
        <f>G1206*H1206</f>
        <v>0</v>
      </c>
      <c r="L1206" s="69" t="s">
        <v>137</v>
      </c>
      <c r="Z1206" s="27">
        <f>IF(AQ1206="5",BJ1206,0)</f>
        <v>0</v>
      </c>
      <c r="AB1206" s="27">
        <f>IF(AQ1206="1",BH1206,0)</f>
        <v>0</v>
      </c>
      <c r="AC1206" s="27">
        <f>IF(AQ1206="1",BI1206,0)</f>
        <v>0</v>
      </c>
      <c r="AD1206" s="27">
        <f>IF(AQ1206="7",BH1206,0)</f>
        <v>0</v>
      </c>
      <c r="AE1206" s="27">
        <f>IF(AQ1206="7",BI1206,0)</f>
        <v>0</v>
      </c>
      <c r="AF1206" s="27">
        <f>IF(AQ1206="2",BH1206,0)</f>
        <v>0</v>
      </c>
      <c r="AG1206" s="27">
        <f>IF(AQ1206="2",BI1206,0)</f>
        <v>0</v>
      </c>
      <c r="AH1206" s="27">
        <f>IF(AQ1206="0",BJ1206,0)</f>
        <v>0</v>
      </c>
      <c r="AI1206" s="9" t="s">
        <v>1387</v>
      </c>
      <c r="AJ1206" s="27">
        <f>IF(AN1206=0,K1206,0)</f>
        <v>0</v>
      </c>
      <c r="AK1206" s="27">
        <f>IF(AN1206=12,K1206,0)</f>
        <v>0</v>
      </c>
      <c r="AL1206" s="27">
        <f>IF(AN1206=21,K1206,0)</f>
        <v>0</v>
      </c>
      <c r="AN1206" s="27">
        <v>21</v>
      </c>
      <c r="AO1206" s="27">
        <f>H1206*0</f>
        <v>0</v>
      </c>
      <c r="AP1206" s="27">
        <f>H1206*(1-0)</f>
        <v>0</v>
      </c>
      <c r="AQ1206" s="29" t="s">
        <v>78</v>
      </c>
      <c r="AV1206" s="27">
        <f>AW1206+AX1206</f>
        <v>0</v>
      </c>
      <c r="AW1206" s="27">
        <f>G1206*AO1206</f>
        <v>0</v>
      </c>
      <c r="AX1206" s="27">
        <f>G1206*AP1206</f>
        <v>0</v>
      </c>
      <c r="AY1206" s="29" t="s">
        <v>499</v>
      </c>
      <c r="AZ1206" s="29" t="s">
        <v>1677</v>
      </c>
      <c r="BA1206" s="9" t="s">
        <v>1391</v>
      </c>
      <c r="BC1206" s="27">
        <f>AW1206+AX1206</f>
        <v>0</v>
      </c>
      <c r="BD1206" s="27">
        <f>H1206/(100-BE1206)*100</f>
        <v>0</v>
      </c>
      <c r="BE1206" s="27">
        <v>0</v>
      </c>
      <c r="BF1206" s="27">
        <f>1206</f>
        <v>1206</v>
      </c>
      <c r="BH1206" s="27">
        <f>G1206*AO1206</f>
        <v>0</v>
      </c>
      <c r="BI1206" s="27">
        <f>G1206*AP1206</f>
        <v>0</v>
      </c>
      <c r="BJ1206" s="27">
        <f>G1206*H1206</f>
        <v>0</v>
      </c>
      <c r="BK1206" s="27"/>
      <c r="BL1206" s="27"/>
      <c r="BW1206" s="27">
        <v>21</v>
      </c>
    </row>
    <row r="1207" spans="1:12" ht="15">
      <c r="A1207" s="52"/>
      <c r="B1207" s="53"/>
      <c r="C1207" s="53"/>
      <c r="D1207" s="54" t="s">
        <v>1752</v>
      </c>
      <c r="E1207" s="55" t="s">
        <v>52</v>
      </c>
      <c r="F1207" s="53"/>
      <c r="G1207" s="56">
        <v>5.88283</v>
      </c>
      <c r="H1207" s="53"/>
      <c r="I1207" s="53"/>
      <c r="J1207" s="53"/>
      <c r="K1207" s="53"/>
      <c r="L1207" s="57"/>
    </row>
    <row r="1208" spans="1:12" ht="15">
      <c r="A1208" s="93" t="s">
        <v>52</v>
      </c>
      <c r="B1208" s="94" t="s">
        <v>1762</v>
      </c>
      <c r="C1208" s="94" t="s">
        <v>52</v>
      </c>
      <c r="D1208" s="193" t="s">
        <v>1763</v>
      </c>
      <c r="E1208" s="194"/>
      <c r="F1208" s="95" t="s">
        <v>4</v>
      </c>
      <c r="G1208" s="95" t="s">
        <v>4</v>
      </c>
      <c r="H1208" s="95" t="s">
        <v>4</v>
      </c>
      <c r="I1208" s="96">
        <f>I1209+I1221+I1244+I1263+I1267+I1269+I1271+I1273+I1275</f>
        <v>0</v>
      </c>
      <c r="J1208" s="96">
        <f>J1209+J1221+J1244+J1263+J1267+J1269+J1271+J1273+J1275</f>
        <v>0</v>
      </c>
      <c r="K1208" s="96">
        <f>K1209+K1221+K1244+K1263+K1267+K1269+K1271+K1273+K1275</f>
        <v>0</v>
      </c>
      <c r="L1208" s="97" t="s">
        <v>52</v>
      </c>
    </row>
    <row r="1209" spans="1:47" ht="15">
      <c r="A1209" s="23" t="s">
        <v>52</v>
      </c>
      <c r="B1209" s="24" t="s">
        <v>1762</v>
      </c>
      <c r="C1209" s="24" t="s">
        <v>200</v>
      </c>
      <c r="D1209" s="164" t="s">
        <v>201</v>
      </c>
      <c r="E1209" s="165"/>
      <c r="F1209" s="25" t="s">
        <v>4</v>
      </c>
      <c r="G1209" s="25" t="s">
        <v>4</v>
      </c>
      <c r="H1209" s="25" t="s">
        <v>4</v>
      </c>
      <c r="I1209" s="1">
        <f>SUM(I1210:I1220)</f>
        <v>0</v>
      </c>
      <c r="J1209" s="1">
        <f>SUM(J1210:J1220)</f>
        <v>0</v>
      </c>
      <c r="K1209" s="1">
        <f>SUM(K1210:K1220)</f>
        <v>0</v>
      </c>
      <c r="L1209" s="26" t="s">
        <v>52</v>
      </c>
      <c r="AI1209" s="9" t="s">
        <v>1762</v>
      </c>
      <c r="AS1209" s="1">
        <f>SUM(AJ1210:AJ1220)</f>
        <v>0</v>
      </c>
      <c r="AT1209" s="1">
        <f>SUM(AK1210:AK1220)</f>
        <v>0</v>
      </c>
      <c r="AU1209" s="1">
        <f>SUM(AL1210:AL1220)</f>
        <v>0</v>
      </c>
    </row>
    <row r="1210" spans="1:75" ht="13.5" customHeight="1">
      <c r="A1210" s="2" t="s">
        <v>1764</v>
      </c>
      <c r="B1210" s="3" t="s">
        <v>1762</v>
      </c>
      <c r="C1210" s="3" t="s">
        <v>661</v>
      </c>
      <c r="D1210" s="148" t="s">
        <v>662</v>
      </c>
      <c r="E1210" s="143"/>
      <c r="F1210" s="3" t="s">
        <v>126</v>
      </c>
      <c r="G1210" s="27">
        <v>1</v>
      </c>
      <c r="H1210" s="27">
        <v>0</v>
      </c>
      <c r="I1210" s="27">
        <f aca="true" t="shared" si="264" ref="I1210:I1220">G1210*AO1210</f>
        <v>0</v>
      </c>
      <c r="J1210" s="27">
        <f aca="true" t="shared" si="265" ref="J1210:J1220">G1210*AP1210</f>
        <v>0</v>
      </c>
      <c r="K1210" s="27">
        <f aca="true" t="shared" si="266" ref="K1210:K1220">G1210*H1210</f>
        <v>0</v>
      </c>
      <c r="L1210" s="28" t="s">
        <v>52</v>
      </c>
      <c r="Z1210" s="27">
        <f aca="true" t="shared" si="267" ref="Z1210:Z1220">IF(AQ1210="5",BJ1210,0)</f>
        <v>0</v>
      </c>
      <c r="AB1210" s="27">
        <f aca="true" t="shared" si="268" ref="AB1210:AB1220">IF(AQ1210="1",BH1210,0)</f>
        <v>0</v>
      </c>
      <c r="AC1210" s="27">
        <f aca="true" t="shared" si="269" ref="AC1210:AC1220">IF(AQ1210="1",BI1210,0)</f>
        <v>0</v>
      </c>
      <c r="AD1210" s="27">
        <f aca="true" t="shared" si="270" ref="AD1210:AD1220">IF(AQ1210="7",BH1210,0)</f>
        <v>0</v>
      </c>
      <c r="AE1210" s="27">
        <f aca="true" t="shared" si="271" ref="AE1210:AE1220">IF(AQ1210="7",BI1210,0)</f>
        <v>0</v>
      </c>
      <c r="AF1210" s="27">
        <f aca="true" t="shared" si="272" ref="AF1210:AF1220">IF(AQ1210="2",BH1210,0)</f>
        <v>0</v>
      </c>
      <c r="AG1210" s="27">
        <f aca="true" t="shared" si="273" ref="AG1210:AG1220">IF(AQ1210="2",BI1210,0)</f>
        <v>0</v>
      </c>
      <c r="AH1210" s="27">
        <f aca="true" t="shared" si="274" ref="AH1210:AH1220">IF(AQ1210="0",BJ1210,0)</f>
        <v>0</v>
      </c>
      <c r="AI1210" s="9" t="s">
        <v>1762</v>
      </c>
      <c r="AJ1210" s="27">
        <f aca="true" t="shared" si="275" ref="AJ1210:AJ1220">IF(AN1210=0,K1210,0)</f>
        <v>0</v>
      </c>
      <c r="AK1210" s="27">
        <f aca="true" t="shared" si="276" ref="AK1210:AK1220">IF(AN1210=12,K1210,0)</f>
        <v>0</v>
      </c>
      <c r="AL1210" s="27">
        <f aca="true" t="shared" si="277" ref="AL1210:AL1220">IF(AN1210=21,K1210,0)</f>
        <v>0</v>
      </c>
      <c r="AN1210" s="27">
        <v>21</v>
      </c>
      <c r="AO1210" s="27">
        <f aca="true" t="shared" si="278" ref="AO1210:AO1220">H1210*0</f>
        <v>0</v>
      </c>
      <c r="AP1210" s="27">
        <f aca="true" t="shared" si="279" ref="AP1210:AP1220">H1210*(1-0)</f>
        <v>0</v>
      </c>
      <c r="AQ1210" s="29" t="s">
        <v>84</v>
      </c>
      <c r="AV1210" s="27">
        <f aca="true" t="shared" si="280" ref="AV1210:AV1220">AW1210+AX1210</f>
        <v>0</v>
      </c>
      <c r="AW1210" s="27">
        <f aca="true" t="shared" si="281" ref="AW1210:AW1220">G1210*AO1210</f>
        <v>0</v>
      </c>
      <c r="AX1210" s="27">
        <f aca="true" t="shared" si="282" ref="AX1210:AX1220">G1210*AP1210</f>
        <v>0</v>
      </c>
      <c r="AY1210" s="29" t="s">
        <v>205</v>
      </c>
      <c r="AZ1210" s="29" t="s">
        <v>1765</v>
      </c>
      <c r="BA1210" s="9" t="s">
        <v>1766</v>
      </c>
      <c r="BC1210" s="27">
        <f aca="true" t="shared" si="283" ref="BC1210:BC1220">AW1210+AX1210</f>
        <v>0</v>
      </c>
      <c r="BD1210" s="27">
        <f aca="true" t="shared" si="284" ref="BD1210:BD1220">H1210/(100-BE1210)*100</f>
        <v>0</v>
      </c>
      <c r="BE1210" s="27">
        <v>0</v>
      </c>
      <c r="BF1210" s="27">
        <f>1210</f>
        <v>1210</v>
      </c>
      <c r="BH1210" s="27">
        <f aca="true" t="shared" si="285" ref="BH1210:BH1220">G1210*AO1210</f>
        <v>0</v>
      </c>
      <c r="BI1210" s="27">
        <f aca="true" t="shared" si="286" ref="BI1210:BI1220">G1210*AP1210</f>
        <v>0</v>
      </c>
      <c r="BJ1210" s="27">
        <f aca="true" t="shared" si="287" ref="BJ1210:BJ1220">G1210*H1210</f>
        <v>0</v>
      </c>
      <c r="BK1210" s="27"/>
      <c r="BL1210" s="27">
        <v>721</v>
      </c>
      <c r="BW1210" s="27">
        <v>21</v>
      </c>
    </row>
    <row r="1211" spans="1:75" ht="13.5" customHeight="1">
      <c r="A1211" s="2" t="s">
        <v>1767</v>
      </c>
      <c r="B1211" s="3" t="s">
        <v>1762</v>
      </c>
      <c r="C1211" s="3" t="s">
        <v>667</v>
      </c>
      <c r="D1211" s="148" t="s">
        <v>668</v>
      </c>
      <c r="E1211" s="143"/>
      <c r="F1211" s="3" t="s">
        <v>154</v>
      </c>
      <c r="G1211" s="27">
        <v>1</v>
      </c>
      <c r="H1211" s="27">
        <v>0</v>
      </c>
      <c r="I1211" s="27">
        <f t="shared" si="264"/>
        <v>0</v>
      </c>
      <c r="J1211" s="27">
        <f t="shared" si="265"/>
        <v>0</v>
      </c>
      <c r="K1211" s="27">
        <f t="shared" si="266"/>
        <v>0</v>
      </c>
      <c r="L1211" s="28" t="s">
        <v>52</v>
      </c>
      <c r="Z1211" s="27">
        <f t="shared" si="267"/>
        <v>0</v>
      </c>
      <c r="AB1211" s="27">
        <f t="shared" si="268"/>
        <v>0</v>
      </c>
      <c r="AC1211" s="27">
        <f t="shared" si="269"/>
        <v>0</v>
      </c>
      <c r="AD1211" s="27">
        <f t="shared" si="270"/>
        <v>0</v>
      </c>
      <c r="AE1211" s="27">
        <f t="shared" si="271"/>
        <v>0</v>
      </c>
      <c r="AF1211" s="27">
        <f t="shared" si="272"/>
        <v>0</v>
      </c>
      <c r="AG1211" s="27">
        <f t="shared" si="273"/>
        <v>0</v>
      </c>
      <c r="AH1211" s="27">
        <f t="shared" si="274"/>
        <v>0</v>
      </c>
      <c r="AI1211" s="9" t="s">
        <v>1762</v>
      </c>
      <c r="AJ1211" s="27">
        <f t="shared" si="275"/>
        <v>0</v>
      </c>
      <c r="AK1211" s="27">
        <f t="shared" si="276"/>
        <v>0</v>
      </c>
      <c r="AL1211" s="27">
        <f t="shared" si="277"/>
        <v>0</v>
      </c>
      <c r="AN1211" s="27">
        <v>21</v>
      </c>
      <c r="AO1211" s="27">
        <f t="shared" si="278"/>
        <v>0</v>
      </c>
      <c r="AP1211" s="27">
        <f t="shared" si="279"/>
        <v>0</v>
      </c>
      <c r="AQ1211" s="29" t="s">
        <v>84</v>
      </c>
      <c r="AV1211" s="27">
        <f t="shared" si="280"/>
        <v>0</v>
      </c>
      <c r="AW1211" s="27">
        <f t="shared" si="281"/>
        <v>0</v>
      </c>
      <c r="AX1211" s="27">
        <f t="shared" si="282"/>
        <v>0</v>
      </c>
      <c r="AY1211" s="29" t="s">
        <v>205</v>
      </c>
      <c r="AZ1211" s="29" t="s">
        <v>1765</v>
      </c>
      <c r="BA1211" s="9" t="s">
        <v>1766</v>
      </c>
      <c r="BC1211" s="27">
        <f t="shared" si="283"/>
        <v>0</v>
      </c>
      <c r="BD1211" s="27">
        <f t="shared" si="284"/>
        <v>0</v>
      </c>
      <c r="BE1211" s="27">
        <v>0</v>
      </c>
      <c r="BF1211" s="27">
        <f>1211</f>
        <v>1211</v>
      </c>
      <c r="BH1211" s="27">
        <f t="shared" si="285"/>
        <v>0</v>
      </c>
      <c r="BI1211" s="27">
        <f t="shared" si="286"/>
        <v>0</v>
      </c>
      <c r="BJ1211" s="27">
        <f t="shared" si="287"/>
        <v>0</v>
      </c>
      <c r="BK1211" s="27"/>
      <c r="BL1211" s="27">
        <v>721</v>
      </c>
      <c r="BW1211" s="27">
        <v>21</v>
      </c>
    </row>
    <row r="1212" spans="1:75" ht="13.5" customHeight="1">
      <c r="A1212" s="2" t="s">
        <v>1768</v>
      </c>
      <c r="B1212" s="3" t="s">
        <v>1762</v>
      </c>
      <c r="C1212" s="3" t="s">
        <v>1769</v>
      </c>
      <c r="D1212" s="148" t="s">
        <v>1770</v>
      </c>
      <c r="E1212" s="143"/>
      <c r="F1212" s="3" t="s">
        <v>126</v>
      </c>
      <c r="G1212" s="27">
        <v>4</v>
      </c>
      <c r="H1212" s="27">
        <v>0</v>
      </c>
      <c r="I1212" s="27">
        <f t="shared" si="264"/>
        <v>0</v>
      </c>
      <c r="J1212" s="27">
        <f t="shared" si="265"/>
        <v>0</v>
      </c>
      <c r="K1212" s="27">
        <f t="shared" si="266"/>
        <v>0</v>
      </c>
      <c r="L1212" s="28" t="s">
        <v>52</v>
      </c>
      <c r="Z1212" s="27">
        <f t="shared" si="267"/>
        <v>0</v>
      </c>
      <c r="AB1212" s="27">
        <f t="shared" si="268"/>
        <v>0</v>
      </c>
      <c r="AC1212" s="27">
        <f t="shared" si="269"/>
        <v>0</v>
      </c>
      <c r="AD1212" s="27">
        <f t="shared" si="270"/>
        <v>0</v>
      </c>
      <c r="AE1212" s="27">
        <f t="shared" si="271"/>
        <v>0</v>
      </c>
      <c r="AF1212" s="27">
        <f t="shared" si="272"/>
        <v>0</v>
      </c>
      <c r="AG1212" s="27">
        <f t="shared" si="273"/>
        <v>0</v>
      </c>
      <c r="AH1212" s="27">
        <f t="shared" si="274"/>
        <v>0</v>
      </c>
      <c r="AI1212" s="9" t="s">
        <v>1762</v>
      </c>
      <c r="AJ1212" s="27">
        <f t="shared" si="275"/>
        <v>0</v>
      </c>
      <c r="AK1212" s="27">
        <f t="shared" si="276"/>
        <v>0</v>
      </c>
      <c r="AL1212" s="27">
        <f t="shared" si="277"/>
        <v>0</v>
      </c>
      <c r="AN1212" s="27">
        <v>21</v>
      </c>
      <c r="AO1212" s="27">
        <f t="shared" si="278"/>
        <v>0</v>
      </c>
      <c r="AP1212" s="27">
        <f t="shared" si="279"/>
        <v>0</v>
      </c>
      <c r="AQ1212" s="29" t="s">
        <v>84</v>
      </c>
      <c r="AV1212" s="27">
        <f t="shared" si="280"/>
        <v>0</v>
      </c>
      <c r="AW1212" s="27">
        <f t="shared" si="281"/>
        <v>0</v>
      </c>
      <c r="AX1212" s="27">
        <f t="shared" si="282"/>
        <v>0</v>
      </c>
      <c r="AY1212" s="29" t="s">
        <v>205</v>
      </c>
      <c r="AZ1212" s="29" t="s">
        <v>1765</v>
      </c>
      <c r="BA1212" s="9" t="s">
        <v>1766</v>
      </c>
      <c r="BC1212" s="27">
        <f t="shared" si="283"/>
        <v>0</v>
      </c>
      <c r="BD1212" s="27">
        <f t="shared" si="284"/>
        <v>0</v>
      </c>
      <c r="BE1212" s="27">
        <v>0</v>
      </c>
      <c r="BF1212" s="27">
        <f>1212</f>
        <v>1212</v>
      </c>
      <c r="BH1212" s="27">
        <f t="shared" si="285"/>
        <v>0</v>
      </c>
      <c r="BI1212" s="27">
        <f t="shared" si="286"/>
        <v>0</v>
      </c>
      <c r="BJ1212" s="27">
        <f t="shared" si="287"/>
        <v>0</v>
      </c>
      <c r="BK1212" s="27"/>
      <c r="BL1212" s="27">
        <v>721</v>
      </c>
      <c r="BW1212" s="27">
        <v>21</v>
      </c>
    </row>
    <row r="1213" spans="1:75" ht="13.5" customHeight="1">
      <c r="A1213" s="2" t="s">
        <v>1771</v>
      </c>
      <c r="B1213" s="3" t="s">
        <v>1762</v>
      </c>
      <c r="C1213" s="3" t="s">
        <v>1772</v>
      </c>
      <c r="D1213" s="148" t="s">
        <v>1773</v>
      </c>
      <c r="E1213" s="143"/>
      <c r="F1213" s="3" t="s">
        <v>126</v>
      </c>
      <c r="G1213" s="27">
        <v>8</v>
      </c>
      <c r="H1213" s="27">
        <v>0</v>
      </c>
      <c r="I1213" s="27">
        <f t="shared" si="264"/>
        <v>0</v>
      </c>
      <c r="J1213" s="27">
        <f t="shared" si="265"/>
        <v>0</v>
      </c>
      <c r="K1213" s="27">
        <f t="shared" si="266"/>
        <v>0</v>
      </c>
      <c r="L1213" s="28" t="s">
        <v>52</v>
      </c>
      <c r="Z1213" s="27">
        <f t="shared" si="267"/>
        <v>0</v>
      </c>
      <c r="AB1213" s="27">
        <f t="shared" si="268"/>
        <v>0</v>
      </c>
      <c r="AC1213" s="27">
        <f t="shared" si="269"/>
        <v>0</v>
      </c>
      <c r="AD1213" s="27">
        <f t="shared" si="270"/>
        <v>0</v>
      </c>
      <c r="AE1213" s="27">
        <f t="shared" si="271"/>
        <v>0</v>
      </c>
      <c r="AF1213" s="27">
        <f t="shared" si="272"/>
        <v>0</v>
      </c>
      <c r="AG1213" s="27">
        <f t="shared" si="273"/>
        <v>0</v>
      </c>
      <c r="AH1213" s="27">
        <f t="shared" si="274"/>
        <v>0</v>
      </c>
      <c r="AI1213" s="9" t="s">
        <v>1762</v>
      </c>
      <c r="AJ1213" s="27">
        <f t="shared" si="275"/>
        <v>0</v>
      </c>
      <c r="AK1213" s="27">
        <f t="shared" si="276"/>
        <v>0</v>
      </c>
      <c r="AL1213" s="27">
        <f t="shared" si="277"/>
        <v>0</v>
      </c>
      <c r="AN1213" s="27">
        <v>21</v>
      </c>
      <c r="AO1213" s="27">
        <f t="shared" si="278"/>
        <v>0</v>
      </c>
      <c r="AP1213" s="27">
        <f t="shared" si="279"/>
        <v>0</v>
      </c>
      <c r="AQ1213" s="29" t="s">
        <v>84</v>
      </c>
      <c r="AV1213" s="27">
        <f t="shared" si="280"/>
        <v>0</v>
      </c>
      <c r="AW1213" s="27">
        <f t="shared" si="281"/>
        <v>0</v>
      </c>
      <c r="AX1213" s="27">
        <f t="shared" si="282"/>
        <v>0</v>
      </c>
      <c r="AY1213" s="29" t="s">
        <v>205</v>
      </c>
      <c r="AZ1213" s="29" t="s">
        <v>1765</v>
      </c>
      <c r="BA1213" s="9" t="s">
        <v>1766</v>
      </c>
      <c r="BC1213" s="27">
        <f t="shared" si="283"/>
        <v>0</v>
      </c>
      <c r="BD1213" s="27">
        <f t="shared" si="284"/>
        <v>0</v>
      </c>
      <c r="BE1213" s="27">
        <v>0</v>
      </c>
      <c r="BF1213" s="27">
        <f>1213</f>
        <v>1213</v>
      </c>
      <c r="BH1213" s="27">
        <f t="shared" si="285"/>
        <v>0</v>
      </c>
      <c r="BI1213" s="27">
        <f t="shared" si="286"/>
        <v>0</v>
      </c>
      <c r="BJ1213" s="27">
        <f t="shared" si="287"/>
        <v>0</v>
      </c>
      <c r="BK1213" s="27"/>
      <c r="BL1213" s="27">
        <v>721</v>
      </c>
      <c r="BW1213" s="27">
        <v>21</v>
      </c>
    </row>
    <row r="1214" spans="1:75" ht="13.5" customHeight="1">
      <c r="A1214" s="2" t="s">
        <v>1774</v>
      </c>
      <c r="B1214" s="3" t="s">
        <v>1762</v>
      </c>
      <c r="C1214" s="3" t="s">
        <v>1775</v>
      </c>
      <c r="D1214" s="148" t="s">
        <v>1776</v>
      </c>
      <c r="E1214" s="143"/>
      <c r="F1214" s="3" t="s">
        <v>126</v>
      </c>
      <c r="G1214" s="27">
        <v>3</v>
      </c>
      <c r="H1214" s="27">
        <v>0</v>
      </c>
      <c r="I1214" s="27">
        <f t="shared" si="264"/>
        <v>0</v>
      </c>
      <c r="J1214" s="27">
        <f t="shared" si="265"/>
        <v>0</v>
      </c>
      <c r="K1214" s="27">
        <f t="shared" si="266"/>
        <v>0</v>
      </c>
      <c r="L1214" s="28" t="s">
        <v>52</v>
      </c>
      <c r="Z1214" s="27">
        <f t="shared" si="267"/>
        <v>0</v>
      </c>
      <c r="AB1214" s="27">
        <f t="shared" si="268"/>
        <v>0</v>
      </c>
      <c r="AC1214" s="27">
        <f t="shared" si="269"/>
        <v>0</v>
      </c>
      <c r="AD1214" s="27">
        <f t="shared" si="270"/>
        <v>0</v>
      </c>
      <c r="AE1214" s="27">
        <f t="shared" si="271"/>
        <v>0</v>
      </c>
      <c r="AF1214" s="27">
        <f t="shared" si="272"/>
        <v>0</v>
      </c>
      <c r="AG1214" s="27">
        <f t="shared" si="273"/>
        <v>0</v>
      </c>
      <c r="AH1214" s="27">
        <f t="shared" si="274"/>
        <v>0</v>
      </c>
      <c r="AI1214" s="9" t="s">
        <v>1762</v>
      </c>
      <c r="AJ1214" s="27">
        <f t="shared" si="275"/>
        <v>0</v>
      </c>
      <c r="AK1214" s="27">
        <f t="shared" si="276"/>
        <v>0</v>
      </c>
      <c r="AL1214" s="27">
        <f t="shared" si="277"/>
        <v>0</v>
      </c>
      <c r="AN1214" s="27">
        <v>21</v>
      </c>
      <c r="AO1214" s="27">
        <f t="shared" si="278"/>
        <v>0</v>
      </c>
      <c r="AP1214" s="27">
        <f t="shared" si="279"/>
        <v>0</v>
      </c>
      <c r="AQ1214" s="29" t="s">
        <v>84</v>
      </c>
      <c r="AV1214" s="27">
        <f t="shared" si="280"/>
        <v>0</v>
      </c>
      <c r="AW1214" s="27">
        <f t="shared" si="281"/>
        <v>0</v>
      </c>
      <c r="AX1214" s="27">
        <f t="shared" si="282"/>
        <v>0</v>
      </c>
      <c r="AY1214" s="29" t="s">
        <v>205</v>
      </c>
      <c r="AZ1214" s="29" t="s">
        <v>1765</v>
      </c>
      <c r="BA1214" s="9" t="s">
        <v>1766</v>
      </c>
      <c r="BC1214" s="27">
        <f t="shared" si="283"/>
        <v>0</v>
      </c>
      <c r="BD1214" s="27">
        <f t="shared" si="284"/>
        <v>0</v>
      </c>
      <c r="BE1214" s="27">
        <v>0</v>
      </c>
      <c r="BF1214" s="27">
        <f>1214</f>
        <v>1214</v>
      </c>
      <c r="BH1214" s="27">
        <f t="shared" si="285"/>
        <v>0</v>
      </c>
      <c r="BI1214" s="27">
        <f t="shared" si="286"/>
        <v>0</v>
      </c>
      <c r="BJ1214" s="27">
        <f t="shared" si="287"/>
        <v>0</v>
      </c>
      <c r="BK1214" s="27"/>
      <c r="BL1214" s="27">
        <v>721</v>
      </c>
      <c r="BW1214" s="27">
        <v>21</v>
      </c>
    </row>
    <row r="1215" spans="1:75" ht="13.5" customHeight="1">
      <c r="A1215" s="2" t="s">
        <v>1777</v>
      </c>
      <c r="B1215" s="3" t="s">
        <v>1762</v>
      </c>
      <c r="C1215" s="3" t="s">
        <v>679</v>
      </c>
      <c r="D1215" s="148" t="s">
        <v>680</v>
      </c>
      <c r="E1215" s="143"/>
      <c r="F1215" s="3" t="s">
        <v>126</v>
      </c>
      <c r="G1215" s="27">
        <v>1</v>
      </c>
      <c r="H1215" s="27">
        <v>0</v>
      </c>
      <c r="I1215" s="27">
        <f t="shared" si="264"/>
        <v>0</v>
      </c>
      <c r="J1215" s="27">
        <f t="shared" si="265"/>
        <v>0</v>
      </c>
      <c r="K1215" s="27">
        <f t="shared" si="266"/>
        <v>0</v>
      </c>
      <c r="L1215" s="28" t="s">
        <v>52</v>
      </c>
      <c r="Z1215" s="27">
        <f t="shared" si="267"/>
        <v>0</v>
      </c>
      <c r="AB1215" s="27">
        <f t="shared" si="268"/>
        <v>0</v>
      </c>
      <c r="AC1215" s="27">
        <f t="shared" si="269"/>
        <v>0</v>
      </c>
      <c r="AD1215" s="27">
        <f t="shared" si="270"/>
        <v>0</v>
      </c>
      <c r="AE1215" s="27">
        <f t="shared" si="271"/>
        <v>0</v>
      </c>
      <c r="AF1215" s="27">
        <f t="shared" si="272"/>
        <v>0</v>
      </c>
      <c r="AG1215" s="27">
        <f t="shared" si="273"/>
        <v>0</v>
      </c>
      <c r="AH1215" s="27">
        <f t="shared" si="274"/>
        <v>0</v>
      </c>
      <c r="AI1215" s="9" t="s">
        <v>1762</v>
      </c>
      <c r="AJ1215" s="27">
        <f t="shared" si="275"/>
        <v>0</v>
      </c>
      <c r="AK1215" s="27">
        <f t="shared" si="276"/>
        <v>0</v>
      </c>
      <c r="AL1215" s="27">
        <f t="shared" si="277"/>
        <v>0</v>
      </c>
      <c r="AN1215" s="27">
        <v>21</v>
      </c>
      <c r="AO1215" s="27">
        <f t="shared" si="278"/>
        <v>0</v>
      </c>
      <c r="AP1215" s="27">
        <f t="shared" si="279"/>
        <v>0</v>
      </c>
      <c r="AQ1215" s="29" t="s">
        <v>84</v>
      </c>
      <c r="AV1215" s="27">
        <f t="shared" si="280"/>
        <v>0</v>
      </c>
      <c r="AW1215" s="27">
        <f t="shared" si="281"/>
        <v>0</v>
      </c>
      <c r="AX1215" s="27">
        <f t="shared" si="282"/>
        <v>0</v>
      </c>
      <c r="AY1215" s="29" t="s">
        <v>205</v>
      </c>
      <c r="AZ1215" s="29" t="s">
        <v>1765</v>
      </c>
      <c r="BA1215" s="9" t="s">
        <v>1766</v>
      </c>
      <c r="BC1215" s="27">
        <f t="shared" si="283"/>
        <v>0</v>
      </c>
      <c r="BD1215" s="27">
        <f t="shared" si="284"/>
        <v>0</v>
      </c>
      <c r="BE1215" s="27">
        <v>0</v>
      </c>
      <c r="BF1215" s="27">
        <f>1215</f>
        <v>1215</v>
      </c>
      <c r="BH1215" s="27">
        <f t="shared" si="285"/>
        <v>0</v>
      </c>
      <c r="BI1215" s="27">
        <f t="shared" si="286"/>
        <v>0</v>
      </c>
      <c r="BJ1215" s="27">
        <f t="shared" si="287"/>
        <v>0</v>
      </c>
      <c r="BK1215" s="27"/>
      <c r="BL1215" s="27">
        <v>721</v>
      </c>
      <c r="BW1215" s="27">
        <v>21</v>
      </c>
    </row>
    <row r="1216" spans="1:75" ht="13.5" customHeight="1">
      <c r="A1216" s="2" t="s">
        <v>1778</v>
      </c>
      <c r="B1216" s="3" t="s">
        <v>1762</v>
      </c>
      <c r="C1216" s="3" t="s">
        <v>682</v>
      </c>
      <c r="D1216" s="148" t="s">
        <v>683</v>
      </c>
      <c r="E1216" s="143"/>
      <c r="F1216" s="3" t="s">
        <v>126</v>
      </c>
      <c r="G1216" s="27">
        <v>1</v>
      </c>
      <c r="H1216" s="27">
        <v>0</v>
      </c>
      <c r="I1216" s="27">
        <f t="shared" si="264"/>
        <v>0</v>
      </c>
      <c r="J1216" s="27">
        <f t="shared" si="265"/>
        <v>0</v>
      </c>
      <c r="K1216" s="27">
        <f t="shared" si="266"/>
        <v>0</v>
      </c>
      <c r="L1216" s="28" t="s">
        <v>52</v>
      </c>
      <c r="Z1216" s="27">
        <f t="shared" si="267"/>
        <v>0</v>
      </c>
      <c r="AB1216" s="27">
        <f t="shared" si="268"/>
        <v>0</v>
      </c>
      <c r="AC1216" s="27">
        <f t="shared" si="269"/>
        <v>0</v>
      </c>
      <c r="AD1216" s="27">
        <f t="shared" si="270"/>
        <v>0</v>
      </c>
      <c r="AE1216" s="27">
        <f t="shared" si="271"/>
        <v>0</v>
      </c>
      <c r="AF1216" s="27">
        <f t="shared" si="272"/>
        <v>0</v>
      </c>
      <c r="AG1216" s="27">
        <f t="shared" si="273"/>
        <v>0</v>
      </c>
      <c r="AH1216" s="27">
        <f t="shared" si="274"/>
        <v>0</v>
      </c>
      <c r="AI1216" s="9" t="s">
        <v>1762</v>
      </c>
      <c r="AJ1216" s="27">
        <f t="shared" si="275"/>
        <v>0</v>
      </c>
      <c r="AK1216" s="27">
        <f t="shared" si="276"/>
        <v>0</v>
      </c>
      <c r="AL1216" s="27">
        <f t="shared" si="277"/>
        <v>0</v>
      </c>
      <c r="AN1216" s="27">
        <v>21</v>
      </c>
      <c r="AO1216" s="27">
        <f t="shared" si="278"/>
        <v>0</v>
      </c>
      <c r="AP1216" s="27">
        <f t="shared" si="279"/>
        <v>0</v>
      </c>
      <c r="AQ1216" s="29" t="s">
        <v>84</v>
      </c>
      <c r="AV1216" s="27">
        <f t="shared" si="280"/>
        <v>0</v>
      </c>
      <c r="AW1216" s="27">
        <f t="shared" si="281"/>
        <v>0</v>
      </c>
      <c r="AX1216" s="27">
        <f t="shared" si="282"/>
        <v>0</v>
      </c>
      <c r="AY1216" s="29" t="s">
        <v>205</v>
      </c>
      <c r="AZ1216" s="29" t="s">
        <v>1765</v>
      </c>
      <c r="BA1216" s="9" t="s">
        <v>1766</v>
      </c>
      <c r="BC1216" s="27">
        <f t="shared" si="283"/>
        <v>0</v>
      </c>
      <c r="BD1216" s="27">
        <f t="shared" si="284"/>
        <v>0</v>
      </c>
      <c r="BE1216" s="27">
        <v>0</v>
      </c>
      <c r="BF1216" s="27">
        <f>1216</f>
        <v>1216</v>
      </c>
      <c r="BH1216" s="27">
        <f t="shared" si="285"/>
        <v>0</v>
      </c>
      <c r="BI1216" s="27">
        <f t="shared" si="286"/>
        <v>0</v>
      </c>
      <c r="BJ1216" s="27">
        <f t="shared" si="287"/>
        <v>0</v>
      </c>
      <c r="BK1216" s="27"/>
      <c r="BL1216" s="27">
        <v>721</v>
      </c>
      <c r="BW1216" s="27">
        <v>21</v>
      </c>
    </row>
    <row r="1217" spans="1:75" ht="13.5" customHeight="1">
      <c r="A1217" s="2" t="s">
        <v>1779</v>
      </c>
      <c r="B1217" s="3" t="s">
        <v>1762</v>
      </c>
      <c r="C1217" s="3" t="s">
        <v>1780</v>
      </c>
      <c r="D1217" s="148" t="s">
        <v>1781</v>
      </c>
      <c r="E1217" s="143"/>
      <c r="F1217" s="3" t="s">
        <v>126</v>
      </c>
      <c r="G1217" s="27">
        <v>7</v>
      </c>
      <c r="H1217" s="27">
        <v>0</v>
      </c>
      <c r="I1217" s="27">
        <f t="shared" si="264"/>
        <v>0</v>
      </c>
      <c r="J1217" s="27">
        <f t="shared" si="265"/>
        <v>0</v>
      </c>
      <c r="K1217" s="27">
        <f t="shared" si="266"/>
        <v>0</v>
      </c>
      <c r="L1217" s="28" t="s">
        <v>52</v>
      </c>
      <c r="Z1217" s="27">
        <f t="shared" si="267"/>
        <v>0</v>
      </c>
      <c r="AB1217" s="27">
        <f t="shared" si="268"/>
        <v>0</v>
      </c>
      <c r="AC1217" s="27">
        <f t="shared" si="269"/>
        <v>0</v>
      </c>
      <c r="AD1217" s="27">
        <f t="shared" si="270"/>
        <v>0</v>
      </c>
      <c r="AE1217" s="27">
        <f t="shared" si="271"/>
        <v>0</v>
      </c>
      <c r="AF1217" s="27">
        <f t="shared" si="272"/>
        <v>0</v>
      </c>
      <c r="AG1217" s="27">
        <f t="shared" si="273"/>
        <v>0</v>
      </c>
      <c r="AH1217" s="27">
        <f t="shared" si="274"/>
        <v>0</v>
      </c>
      <c r="AI1217" s="9" t="s">
        <v>1762</v>
      </c>
      <c r="AJ1217" s="27">
        <f t="shared" si="275"/>
        <v>0</v>
      </c>
      <c r="AK1217" s="27">
        <f t="shared" si="276"/>
        <v>0</v>
      </c>
      <c r="AL1217" s="27">
        <f t="shared" si="277"/>
        <v>0</v>
      </c>
      <c r="AN1217" s="27">
        <v>21</v>
      </c>
      <c r="AO1217" s="27">
        <f t="shared" si="278"/>
        <v>0</v>
      </c>
      <c r="AP1217" s="27">
        <f t="shared" si="279"/>
        <v>0</v>
      </c>
      <c r="AQ1217" s="29" t="s">
        <v>84</v>
      </c>
      <c r="AV1217" s="27">
        <f t="shared" si="280"/>
        <v>0</v>
      </c>
      <c r="AW1217" s="27">
        <f t="shared" si="281"/>
        <v>0</v>
      </c>
      <c r="AX1217" s="27">
        <f t="shared" si="282"/>
        <v>0</v>
      </c>
      <c r="AY1217" s="29" t="s">
        <v>205</v>
      </c>
      <c r="AZ1217" s="29" t="s">
        <v>1765</v>
      </c>
      <c r="BA1217" s="9" t="s">
        <v>1766</v>
      </c>
      <c r="BC1217" s="27">
        <f t="shared" si="283"/>
        <v>0</v>
      </c>
      <c r="BD1217" s="27">
        <f t="shared" si="284"/>
        <v>0</v>
      </c>
      <c r="BE1217" s="27">
        <v>0</v>
      </c>
      <c r="BF1217" s="27">
        <f>1217</f>
        <v>1217</v>
      </c>
      <c r="BH1217" s="27">
        <f t="shared" si="285"/>
        <v>0</v>
      </c>
      <c r="BI1217" s="27">
        <f t="shared" si="286"/>
        <v>0</v>
      </c>
      <c r="BJ1217" s="27">
        <f t="shared" si="287"/>
        <v>0</v>
      </c>
      <c r="BK1217" s="27"/>
      <c r="BL1217" s="27">
        <v>721</v>
      </c>
      <c r="BW1217" s="27">
        <v>21</v>
      </c>
    </row>
    <row r="1218" spans="1:75" ht="13.5" customHeight="1">
      <c r="A1218" s="2" t="s">
        <v>1782</v>
      </c>
      <c r="B1218" s="3" t="s">
        <v>1762</v>
      </c>
      <c r="C1218" s="3" t="s">
        <v>691</v>
      </c>
      <c r="D1218" s="148" t="s">
        <v>692</v>
      </c>
      <c r="E1218" s="143"/>
      <c r="F1218" s="3" t="s">
        <v>154</v>
      </c>
      <c r="G1218" s="27">
        <v>1</v>
      </c>
      <c r="H1218" s="27">
        <v>0</v>
      </c>
      <c r="I1218" s="27">
        <f t="shared" si="264"/>
        <v>0</v>
      </c>
      <c r="J1218" s="27">
        <f t="shared" si="265"/>
        <v>0</v>
      </c>
      <c r="K1218" s="27">
        <f t="shared" si="266"/>
        <v>0</v>
      </c>
      <c r="L1218" s="28" t="s">
        <v>52</v>
      </c>
      <c r="Z1218" s="27">
        <f t="shared" si="267"/>
        <v>0</v>
      </c>
      <c r="AB1218" s="27">
        <f t="shared" si="268"/>
        <v>0</v>
      </c>
      <c r="AC1218" s="27">
        <f t="shared" si="269"/>
        <v>0</v>
      </c>
      <c r="AD1218" s="27">
        <f t="shared" si="270"/>
        <v>0</v>
      </c>
      <c r="AE1218" s="27">
        <f t="shared" si="271"/>
        <v>0</v>
      </c>
      <c r="AF1218" s="27">
        <f t="shared" si="272"/>
        <v>0</v>
      </c>
      <c r="AG1218" s="27">
        <f t="shared" si="273"/>
        <v>0</v>
      </c>
      <c r="AH1218" s="27">
        <f t="shared" si="274"/>
        <v>0</v>
      </c>
      <c r="AI1218" s="9" t="s">
        <v>1762</v>
      </c>
      <c r="AJ1218" s="27">
        <f t="shared" si="275"/>
        <v>0</v>
      </c>
      <c r="AK1218" s="27">
        <f t="shared" si="276"/>
        <v>0</v>
      </c>
      <c r="AL1218" s="27">
        <f t="shared" si="277"/>
        <v>0</v>
      </c>
      <c r="AN1218" s="27">
        <v>21</v>
      </c>
      <c r="AO1218" s="27">
        <f t="shared" si="278"/>
        <v>0</v>
      </c>
      <c r="AP1218" s="27">
        <f t="shared" si="279"/>
        <v>0</v>
      </c>
      <c r="AQ1218" s="29" t="s">
        <v>84</v>
      </c>
      <c r="AV1218" s="27">
        <f t="shared" si="280"/>
        <v>0</v>
      </c>
      <c r="AW1218" s="27">
        <f t="shared" si="281"/>
        <v>0</v>
      </c>
      <c r="AX1218" s="27">
        <f t="shared" si="282"/>
        <v>0</v>
      </c>
      <c r="AY1218" s="29" t="s">
        <v>205</v>
      </c>
      <c r="AZ1218" s="29" t="s">
        <v>1765</v>
      </c>
      <c r="BA1218" s="9" t="s">
        <v>1766</v>
      </c>
      <c r="BC1218" s="27">
        <f t="shared" si="283"/>
        <v>0</v>
      </c>
      <c r="BD1218" s="27">
        <f t="shared" si="284"/>
        <v>0</v>
      </c>
      <c r="BE1218" s="27">
        <v>0</v>
      </c>
      <c r="BF1218" s="27">
        <f>1218</f>
        <v>1218</v>
      </c>
      <c r="BH1218" s="27">
        <f t="shared" si="285"/>
        <v>0</v>
      </c>
      <c r="BI1218" s="27">
        <f t="shared" si="286"/>
        <v>0</v>
      </c>
      <c r="BJ1218" s="27">
        <f t="shared" si="287"/>
        <v>0</v>
      </c>
      <c r="BK1218" s="27"/>
      <c r="BL1218" s="27">
        <v>721</v>
      </c>
      <c r="BW1218" s="27">
        <v>21</v>
      </c>
    </row>
    <row r="1219" spans="1:75" ht="13.5" customHeight="1">
      <c r="A1219" s="2" t="s">
        <v>1783</v>
      </c>
      <c r="B1219" s="3" t="s">
        <v>1762</v>
      </c>
      <c r="C1219" s="3" t="s">
        <v>1784</v>
      </c>
      <c r="D1219" s="148" t="s">
        <v>1785</v>
      </c>
      <c r="E1219" s="143"/>
      <c r="F1219" s="3" t="s">
        <v>154</v>
      </c>
      <c r="G1219" s="27">
        <v>6</v>
      </c>
      <c r="H1219" s="27">
        <v>0</v>
      </c>
      <c r="I1219" s="27">
        <f t="shared" si="264"/>
        <v>0</v>
      </c>
      <c r="J1219" s="27">
        <f t="shared" si="265"/>
        <v>0</v>
      </c>
      <c r="K1219" s="27">
        <f t="shared" si="266"/>
        <v>0</v>
      </c>
      <c r="L1219" s="28" t="s">
        <v>52</v>
      </c>
      <c r="Z1219" s="27">
        <f t="shared" si="267"/>
        <v>0</v>
      </c>
      <c r="AB1219" s="27">
        <f t="shared" si="268"/>
        <v>0</v>
      </c>
      <c r="AC1219" s="27">
        <f t="shared" si="269"/>
        <v>0</v>
      </c>
      <c r="AD1219" s="27">
        <f t="shared" si="270"/>
        <v>0</v>
      </c>
      <c r="AE1219" s="27">
        <f t="shared" si="271"/>
        <v>0</v>
      </c>
      <c r="AF1219" s="27">
        <f t="shared" si="272"/>
        <v>0</v>
      </c>
      <c r="AG1219" s="27">
        <f t="shared" si="273"/>
        <v>0</v>
      </c>
      <c r="AH1219" s="27">
        <f t="shared" si="274"/>
        <v>0</v>
      </c>
      <c r="AI1219" s="9" t="s">
        <v>1762</v>
      </c>
      <c r="AJ1219" s="27">
        <f t="shared" si="275"/>
        <v>0</v>
      </c>
      <c r="AK1219" s="27">
        <f t="shared" si="276"/>
        <v>0</v>
      </c>
      <c r="AL1219" s="27">
        <f t="shared" si="277"/>
        <v>0</v>
      </c>
      <c r="AN1219" s="27">
        <v>21</v>
      </c>
      <c r="AO1219" s="27">
        <f t="shared" si="278"/>
        <v>0</v>
      </c>
      <c r="AP1219" s="27">
        <f t="shared" si="279"/>
        <v>0</v>
      </c>
      <c r="AQ1219" s="29" t="s">
        <v>84</v>
      </c>
      <c r="AV1219" s="27">
        <f t="shared" si="280"/>
        <v>0</v>
      </c>
      <c r="AW1219" s="27">
        <f t="shared" si="281"/>
        <v>0</v>
      </c>
      <c r="AX1219" s="27">
        <f t="shared" si="282"/>
        <v>0</v>
      </c>
      <c r="AY1219" s="29" t="s">
        <v>205</v>
      </c>
      <c r="AZ1219" s="29" t="s">
        <v>1765</v>
      </c>
      <c r="BA1219" s="9" t="s">
        <v>1766</v>
      </c>
      <c r="BC1219" s="27">
        <f t="shared" si="283"/>
        <v>0</v>
      </c>
      <c r="BD1219" s="27">
        <f t="shared" si="284"/>
        <v>0</v>
      </c>
      <c r="BE1219" s="27">
        <v>0</v>
      </c>
      <c r="BF1219" s="27">
        <f>1219</f>
        <v>1219</v>
      </c>
      <c r="BH1219" s="27">
        <f t="shared" si="285"/>
        <v>0</v>
      </c>
      <c r="BI1219" s="27">
        <f t="shared" si="286"/>
        <v>0</v>
      </c>
      <c r="BJ1219" s="27">
        <f t="shared" si="287"/>
        <v>0</v>
      </c>
      <c r="BK1219" s="27"/>
      <c r="BL1219" s="27">
        <v>721</v>
      </c>
      <c r="BW1219" s="27">
        <v>21</v>
      </c>
    </row>
    <row r="1220" spans="1:75" ht="13.5" customHeight="1">
      <c r="A1220" s="2" t="s">
        <v>1786</v>
      </c>
      <c r="B1220" s="3" t="s">
        <v>1762</v>
      </c>
      <c r="C1220" s="3" t="s">
        <v>697</v>
      </c>
      <c r="D1220" s="148" t="s">
        <v>698</v>
      </c>
      <c r="E1220" s="143"/>
      <c r="F1220" s="3" t="s">
        <v>126</v>
      </c>
      <c r="G1220" s="27">
        <v>24</v>
      </c>
      <c r="H1220" s="27">
        <v>0</v>
      </c>
      <c r="I1220" s="27">
        <f t="shared" si="264"/>
        <v>0</v>
      </c>
      <c r="J1220" s="27">
        <f t="shared" si="265"/>
        <v>0</v>
      </c>
      <c r="K1220" s="27">
        <f t="shared" si="266"/>
        <v>0</v>
      </c>
      <c r="L1220" s="28" t="s">
        <v>52</v>
      </c>
      <c r="Z1220" s="27">
        <f t="shared" si="267"/>
        <v>0</v>
      </c>
      <c r="AB1220" s="27">
        <f t="shared" si="268"/>
        <v>0</v>
      </c>
      <c r="AC1220" s="27">
        <f t="shared" si="269"/>
        <v>0</v>
      </c>
      <c r="AD1220" s="27">
        <f t="shared" si="270"/>
        <v>0</v>
      </c>
      <c r="AE1220" s="27">
        <f t="shared" si="271"/>
        <v>0</v>
      </c>
      <c r="AF1220" s="27">
        <f t="shared" si="272"/>
        <v>0</v>
      </c>
      <c r="AG1220" s="27">
        <f t="shared" si="273"/>
        <v>0</v>
      </c>
      <c r="AH1220" s="27">
        <f t="shared" si="274"/>
        <v>0</v>
      </c>
      <c r="AI1220" s="9" t="s">
        <v>1762</v>
      </c>
      <c r="AJ1220" s="27">
        <f t="shared" si="275"/>
        <v>0</v>
      </c>
      <c r="AK1220" s="27">
        <f t="shared" si="276"/>
        <v>0</v>
      </c>
      <c r="AL1220" s="27">
        <f t="shared" si="277"/>
        <v>0</v>
      </c>
      <c r="AN1220" s="27">
        <v>21</v>
      </c>
      <c r="AO1220" s="27">
        <f t="shared" si="278"/>
        <v>0</v>
      </c>
      <c r="AP1220" s="27">
        <f t="shared" si="279"/>
        <v>0</v>
      </c>
      <c r="AQ1220" s="29" t="s">
        <v>84</v>
      </c>
      <c r="AV1220" s="27">
        <f t="shared" si="280"/>
        <v>0</v>
      </c>
      <c r="AW1220" s="27">
        <f t="shared" si="281"/>
        <v>0</v>
      </c>
      <c r="AX1220" s="27">
        <f t="shared" si="282"/>
        <v>0</v>
      </c>
      <c r="AY1220" s="29" t="s">
        <v>205</v>
      </c>
      <c r="AZ1220" s="29" t="s">
        <v>1765</v>
      </c>
      <c r="BA1220" s="9" t="s">
        <v>1766</v>
      </c>
      <c r="BC1220" s="27">
        <f t="shared" si="283"/>
        <v>0</v>
      </c>
      <c r="BD1220" s="27">
        <f t="shared" si="284"/>
        <v>0</v>
      </c>
      <c r="BE1220" s="27">
        <v>0</v>
      </c>
      <c r="BF1220" s="27">
        <f>1220</f>
        <v>1220</v>
      </c>
      <c r="BH1220" s="27">
        <f t="shared" si="285"/>
        <v>0</v>
      </c>
      <c r="BI1220" s="27">
        <f t="shared" si="286"/>
        <v>0</v>
      </c>
      <c r="BJ1220" s="27">
        <f t="shared" si="287"/>
        <v>0</v>
      </c>
      <c r="BK1220" s="27"/>
      <c r="BL1220" s="27">
        <v>721</v>
      </c>
      <c r="BW1220" s="27">
        <v>21</v>
      </c>
    </row>
    <row r="1221" spans="1:47" ht="15">
      <c r="A1221" s="23" t="s">
        <v>52</v>
      </c>
      <c r="B1221" s="24" t="s">
        <v>1762</v>
      </c>
      <c r="C1221" s="24" t="s">
        <v>699</v>
      </c>
      <c r="D1221" s="164" t="s">
        <v>700</v>
      </c>
      <c r="E1221" s="165"/>
      <c r="F1221" s="25" t="s">
        <v>4</v>
      </c>
      <c r="G1221" s="25" t="s">
        <v>4</v>
      </c>
      <c r="H1221" s="25" t="s">
        <v>4</v>
      </c>
      <c r="I1221" s="1">
        <f>SUM(I1222:I1243)</f>
        <v>0</v>
      </c>
      <c r="J1221" s="1">
        <f>SUM(J1222:J1243)</f>
        <v>0</v>
      </c>
      <c r="K1221" s="1">
        <f>SUM(K1222:K1243)</f>
        <v>0</v>
      </c>
      <c r="L1221" s="26" t="s">
        <v>52</v>
      </c>
      <c r="AI1221" s="9" t="s">
        <v>1762</v>
      </c>
      <c r="AS1221" s="1">
        <f>SUM(AJ1222:AJ1243)</f>
        <v>0</v>
      </c>
      <c r="AT1221" s="1">
        <f>SUM(AK1222:AK1243)</f>
        <v>0</v>
      </c>
      <c r="AU1221" s="1">
        <f>SUM(AL1222:AL1243)</f>
        <v>0</v>
      </c>
    </row>
    <row r="1222" spans="1:75" ht="13.5" customHeight="1">
      <c r="A1222" s="2" t="s">
        <v>1787</v>
      </c>
      <c r="B1222" s="3" t="s">
        <v>1762</v>
      </c>
      <c r="C1222" s="3" t="s">
        <v>702</v>
      </c>
      <c r="D1222" s="148" t="s">
        <v>703</v>
      </c>
      <c r="E1222" s="143"/>
      <c r="F1222" s="3" t="s">
        <v>126</v>
      </c>
      <c r="G1222" s="27">
        <v>1</v>
      </c>
      <c r="H1222" s="27">
        <v>0</v>
      </c>
      <c r="I1222" s="27">
        <f aca="true" t="shared" si="288" ref="I1222:I1243">G1222*AO1222</f>
        <v>0</v>
      </c>
      <c r="J1222" s="27">
        <f aca="true" t="shared" si="289" ref="J1222:J1243">G1222*AP1222</f>
        <v>0</v>
      </c>
      <c r="K1222" s="27">
        <f aca="true" t="shared" si="290" ref="K1222:K1243">G1222*H1222</f>
        <v>0</v>
      </c>
      <c r="L1222" s="28" t="s">
        <v>52</v>
      </c>
      <c r="Z1222" s="27">
        <f aca="true" t="shared" si="291" ref="Z1222:Z1243">IF(AQ1222="5",BJ1222,0)</f>
        <v>0</v>
      </c>
      <c r="AB1222" s="27">
        <f aca="true" t="shared" si="292" ref="AB1222:AB1243">IF(AQ1222="1",BH1222,0)</f>
        <v>0</v>
      </c>
      <c r="AC1222" s="27">
        <f aca="true" t="shared" si="293" ref="AC1222:AC1243">IF(AQ1222="1",BI1222,0)</f>
        <v>0</v>
      </c>
      <c r="AD1222" s="27">
        <f aca="true" t="shared" si="294" ref="AD1222:AD1243">IF(AQ1222="7",BH1222,0)</f>
        <v>0</v>
      </c>
      <c r="AE1222" s="27">
        <f aca="true" t="shared" si="295" ref="AE1222:AE1243">IF(AQ1222="7",BI1222,0)</f>
        <v>0</v>
      </c>
      <c r="AF1222" s="27">
        <f aca="true" t="shared" si="296" ref="AF1222:AF1243">IF(AQ1222="2",BH1222,0)</f>
        <v>0</v>
      </c>
      <c r="AG1222" s="27">
        <f aca="true" t="shared" si="297" ref="AG1222:AG1243">IF(AQ1222="2",BI1222,0)</f>
        <v>0</v>
      </c>
      <c r="AH1222" s="27">
        <f aca="true" t="shared" si="298" ref="AH1222:AH1243">IF(AQ1222="0",BJ1222,0)</f>
        <v>0</v>
      </c>
      <c r="AI1222" s="9" t="s">
        <v>1762</v>
      </c>
      <c r="AJ1222" s="27">
        <f aca="true" t="shared" si="299" ref="AJ1222:AJ1243">IF(AN1222=0,K1222,0)</f>
        <v>0</v>
      </c>
      <c r="AK1222" s="27">
        <f aca="true" t="shared" si="300" ref="AK1222:AK1243">IF(AN1222=12,K1222,0)</f>
        <v>0</v>
      </c>
      <c r="AL1222" s="27">
        <f aca="true" t="shared" si="301" ref="AL1222:AL1243">IF(AN1222=21,K1222,0)</f>
        <v>0</v>
      </c>
      <c r="AN1222" s="27">
        <v>21</v>
      </c>
      <c r="AO1222" s="27">
        <f aca="true" t="shared" si="302" ref="AO1222:AO1243">H1222*0</f>
        <v>0</v>
      </c>
      <c r="AP1222" s="27">
        <f aca="true" t="shared" si="303" ref="AP1222:AP1243">H1222*(1-0)</f>
        <v>0</v>
      </c>
      <c r="AQ1222" s="29" t="s">
        <v>84</v>
      </c>
      <c r="AV1222" s="27">
        <f aca="true" t="shared" si="304" ref="AV1222:AV1243">AW1222+AX1222</f>
        <v>0</v>
      </c>
      <c r="AW1222" s="27">
        <f aca="true" t="shared" si="305" ref="AW1222:AW1243">G1222*AO1222</f>
        <v>0</v>
      </c>
      <c r="AX1222" s="27">
        <f aca="true" t="shared" si="306" ref="AX1222:AX1243">G1222*AP1222</f>
        <v>0</v>
      </c>
      <c r="AY1222" s="29" t="s">
        <v>704</v>
      </c>
      <c r="AZ1222" s="29" t="s">
        <v>1765</v>
      </c>
      <c r="BA1222" s="9" t="s">
        <v>1766</v>
      </c>
      <c r="BC1222" s="27">
        <f aca="true" t="shared" si="307" ref="BC1222:BC1243">AW1222+AX1222</f>
        <v>0</v>
      </c>
      <c r="BD1222" s="27">
        <f aca="true" t="shared" si="308" ref="BD1222:BD1243">H1222/(100-BE1222)*100</f>
        <v>0</v>
      </c>
      <c r="BE1222" s="27">
        <v>0</v>
      </c>
      <c r="BF1222" s="27">
        <f>1222</f>
        <v>1222</v>
      </c>
      <c r="BH1222" s="27">
        <f aca="true" t="shared" si="309" ref="BH1222:BH1243">G1222*AO1222</f>
        <v>0</v>
      </c>
      <c r="BI1222" s="27">
        <f aca="true" t="shared" si="310" ref="BI1222:BI1243">G1222*AP1222</f>
        <v>0</v>
      </c>
      <c r="BJ1222" s="27">
        <f aca="true" t="shared" si="311" ref="BJ1222:BJ1243">G1222*H1222</f>
        <v>0</v>
      </c>
      <c r="BK1222" s="27"/>
      <c r="BL1222" s="27">
        <v>722</v>
      </c>
      <c r="BW1222" s="27">
        <v>21</v>
      </c>
    </row>
    <row r="1223" spans="1:75" ht="13.5" customHeight="1">
      <c r="A1223" s="2" t="s">
        <v>1788</v>
      </c>
      <c r="B1223" s="3" t="s">
        <v>1762</v>
      </c>
      <c r="C1223" s="3" t="s">
        <v>706</v>
      </c>
      <c r="D1223" s="148" t="s">
        <v>707</v>
      </c>
      <c r="E1223" s="143"/>
      <c r="F1223" s="3" t="s">
        <v>154</v>
      </c>
      <c r="G1223" s="27">
        <v>2</v>
      </c>
      <c r="H1223" s="27">
        <v>0</v>
      </c>
      <c r="I1223" s="27">
        <f t="shared" si="288"/>
        <v>0</v>
      </c>
      <c r="J1223" s="27">
        <f t="shared" si="289"/>
        <v>0</v>
      </c>
      <c r="K1223" s="27">
        <f t="shared" si="290"/>
        <v>0</v>
      </c>
      <c r="L1223" s="28" t="s">
        <v>52</v>
      </c>
      <c r="Z1223" s="27">
        <f t="shared" si="291"/>
        <v>0</v>
      </c>
      <c r="AB1223" s="27">
        <f t="shared" si="292"/>
        <v>0</v>
      </c>
      <c r="AC1223" s="27">
        <f t="shared" si="293"/>
        <v>0</v>
      </c>
      <c r="AD1223" s="27">
        <f t="shared" si="294"/>
        <v>0</v>
      </c>
      <c r="AE1223" s="27">
        <f t="shared" si="295"/>
        <v>0</v>
      </c>
      <c r="AF1223" s="27">
        <f t="shared" si="296"/>
        <v>0</v>
      </c>
      <c r="AG1223" s="27">
        <f t="shared" si="297"/>
        <v>0</v>
      </c>
      <c r="AH1223" s="27">
        <f t="shared" si="298"/>
        <v>0</v>
      </c>
      <c r="AI1223" s="9" t="s">
        <v>1762</v>
      </c>
      <c r="AJ1223" s="27">
        <f t="shared" si="299"/>
        <v>0</v>
      </c>
      <c r="AK1223" s="27">
        <f t="shared" si="300"/>
        <v>0</v>
      </c>
      <c r="AL1223" s="27">
        <f t="shared" si="301"/>
        <v>0</v>
      </c>
      <c r="AN1223" s="27">
        <v>21</v>
      </c>
      <c r="AO1223" s="27">
        <f t="shared" si="302"/>
        <v>0</v>
      </c>
      <c r="AP1223" s="27">
        <f t="shared" si="303"/>
        <v>0</v>
      </c>
      <c r="AQ1223" s="29" t="s">
        <v>84</v>
      </c>
      <c r="AV1223" s="27">
        <f t="shared" si="304"/>
        <v>0</v>
      </c>
      <c r="AW1223" s="27">
        <f t="shared" si="305"/>
        <v>0</v>
      </c>
      <c r="AX1223" s="27">
        <f t="shared" si="306"/>
        <v>0</v>
      </c>
      <c r="AY1223" s="29" t="s">
        <v>704</v>
      </c>
      <c r="AZ1223" s="29" t="s">
        <v>1765</v>
      </c>
      <c r="BA1223" s="9" t="s">
        <v>1766</v>
      </c>
      <c r="BC1223" s="27">
        <f t="shared" si="307"/>
        <v>0</v>
      </c>
      <c r="BD1223" s="27">
        <f t="shared" si="308"/>
        <v>0</v>
      </c>
      <c r="BE1223" s="27">
        <v>0</v>
      </c>
      <c r="BF1223" s="27">
        <f>1223</f>
        <v>1223</v>
      </c>
      <c r="BH1223" s="27">
        <f t="shared" si="309"/>
        <v>0</v>
      </c>
      <c r="BI1223" s="27">
        <f t="shared" si="310"/>
        <v>0</v>
      </c>
      <c r="BJ1223" s="27">
        <f t="shared" si="311"/>
        <v>0</v>
      </c>
      <c r="BK1223" s="27"/>
      <c r="BL1223" s="27">
        <v>722</v>
      </c>
      <c r="BW1223" s="27">
        <v>21</v>
      </c>
    </row>
    <row r="1224" spans="1:75" ht="13.5" customHeight="1">
      <c r="A1224" s="2" t="s">
        <v>1789</v>
      </c>
      <c r="B1224" s="3" t="s">
        <v>1762</v>
      </c>
      <c r="C1224" s="3" t="s">
        <v>709</v>
      </c>
      <c r="D1224" s="148" t="s">
        <v>710</v>
      </c>
      <c r="E1224" s="143"/>
      <c r="F1224" s="3" t="s">
        <v>154</v>
      </c>
      <c r="G1224" s="27">
        <v>2</v>
      </c>
      <c r="H1224" s="27">
        <v>0</v>
      </c>
      <c r="I1224" s="27">
        <f t="shared" si="288"/>
        <v>0</v>
      </c>
      <c r="J1224" s="27">
        <f t="shared" si="289"/>
        <v>0</v>
      </c>
      <c r="K1224" s="27">
        <f t="shared" si="290"/>
        <v>0</v>
      </c>
      <c r="L1224" s="28" t="s">
        <v>52</v>
      </c>
      <c r="Z1224" s="27">
        <f t="shared" si="291"/>
        <v>0</v>
      </c>
      <c r="AB1224" s="27">
        <f t="shared" si="292"/>
        <v>0</v>
      </c>
      <c r="AC1224" s="27">
        <f t="shared" si="293"/>
        <v>0</v>
      </c>
      <c r="AD1224" s="27">
        <f t="shared" si="294"/>
        <v>0</v>
      </c>
      <c r="AE1224" s="27">
        <f t="shared" si="295"/>
        <v>0</v>
      </c>
      <c r="AF1224" s="27">
        <f t="shared" si="296"/>
        <v>0</v>
      </c>
      <c r="AG1224" s="27">
        <f t="shared" si="297"/>
        <v>0</v>
      </c>
      <c r="AH1224" s="27">
        <f t="shared" si="298"/>
        <v>0</v>
      </c>
      <c r="AI1224" s="9" t="s">
        <v>1762</v>
      </c>
      <c r="AJ1224" s="27">
        <f t="shared" si="299"/>
        <v>0</v>
      </c>
      <c r="AK1224" s="27">
        <f t="shared" si="300"/>
        <v>0</v>
      </c>
      <c r="AL1224" s="27">
        <f t="shared" si="301"/>
        <v>0</v>
      </c>
      <c r="AN1224" s="27">
        <v>21</v>
      </c>
      <c r="AO1224" s="27">
        <f t="shared" si="302"/>
        <v>0</v>
      </c>
      <c r="AP1224" s="27">
        <f t="shared" si="303"/>
        <v>0</v>
      </c>
      <c r="AQ1224" s="29" t="s">
        <v>84</v>
      </c>
      <c r="AV1224" s="27">
        <f t="shared" si="304"/>
        <v>0</v>
      </c>
      <c r="AW1224" s="27">
        <f t="shared" si="305"/>
        <v>0</v>
      </c>
      <c r="AX1224" s="27">
        <f t="shared" si="306"/>
        <v>0</v>
      </c>
      <c r="AY1224" s="29" t="s">
        <v>704</v>
      </c>
      <c r="AZ1224" s="29" t="s">
        <v>1765</v>
      </c>
      <c r="BA1224" s="9" t="s">
        <v>1766</v>
      </c>
      <c r="BC1224" s="27">
        <f t="shared" si="307"/>
        <v>0</v>
      </c>
      <c r="BD1224" s="27">
        <f t="shared" si="308"/>
        <v>0</v>
      </c>
      <c r="BE1224" s="27">
        <v>0</v>
      </c>
      <c r="BF1224" s="27">
        <f>1224</f>
        <v>1224</v>
      </c>
      <c r="BH1224" s="27">
        <f t="shared" si="309"/>
        <v>0</v>
      </c>
      <c r="BI1224" s="27">
        <f t="shared" si="310"/>
        <v>0</v>
      </c>
      <c r="BJ1224" s="27">
        <f t="shared" si="311"/>
        <v>0</v>
      </c>
      <c r="BK1224" s="27"/>
      <c r="BL1224" s="27">
        <v>722</v>
      </c>
      <c r="BW1224" s="27">
        <v>21</v>
      </c>
    </row>
    <row r="1225" spans="1:75" ht="13.5" customHeight="1">
      <c r="A1225" s="2" t="s">
        <v>1790</v>
      </c>
      <c r="B1225" s="3" t="s">
        <v>1762</v>
      </c>
      <c r="C1225" s="3" t="s">
        <v>712</v>
      </c>
      <c r="D1225" s="148" t="s">
        <v>713</v>
      </c>
      <c r="E1225" s="143"/>
      <c r="F1225" s="3" t="s">
        <v>126</v>
      </c>
      <c r="G1225" s="27">
        <v>2</v>
      </c>
      <c r="H1225" s="27">
        <v>0</v>
      </c>
      <c r="I1225" s="27">
        <f t="shared" si="288"/>
        <v>0</v>
      </c>
      <c r="J1225" s="27">
        <f t="shared" si="289"/>
        <v>0</v>
      </c>
      <c r="K1225" s="27">
        <f t="shared" si="290"/>
        <v>0</v>
      </c>
      <c r="L1225" s="28" t="s">
        <v>52</v>
      </c>
      <c r="Z1225" s="27">
        <f t="shared" si="291"/>
        <v>0</v>
      </c>
      <c r="AB1225" s="27">
        <f t="shared" si="292"/>
        <v>0</v>
      </c>
      <c r="AC1225" s="27">
        <f t="shared" si="293"/>
        <v>0</v>
      </c>
      <c r="AD1225" s="27">
        <f t="shared" si="294"/>
        <v>0</v>
      </c>
      <c r="AE1225" s="27">
        <f t="shared" si="295"/>
        <v>0</v>
      </c>
      <c r="AF1225" s="27">
        <f t="shared" si="296"/>
        <v>0</v>
      </c>
      <c r="AG1225" s="27">
        <f t="shared" si="297"/>
        <v>0</v>
      </c>
      <c r="AH1225" s="27">
        <f t="shared" si="298"/>
        <v>0</v>
      </c>
      <c r="AI1225" s="9" t="s">
        <v>1762</v>
      </c>
      <c r="AJ1225" s="27">
        <f t="shared" si="299"/>
        <v>0</v>
      </c>
      <c r="AK1225" s="27">
        <f t="shared" si="300"/>
        <v>0</v>
      </c>
      <c r="AL1225" s="27">
        <f t="shared" si="301"/>
        <v>0</v>
      </c>
      <c r="AN1225" s="27">
        <v>21</v>
      </c>
      <c r="AO1225" s="27">
        <f t="shared" si="302"/>
        <v>0</v>
      </c>
      <c r="AP1225" s="27">
        <f t="shared" si="303"/>
        <v>0</v>
      </c>
      <c r="AQ1225" s="29" t="s">
        <v>84</v>
      </c>
      <c r="AV1225" s="27">
        <f t="shared" si="304"/>
        <v>0</v>
      </c>
      <c r="AW1225" s="27">
        <f t="shared" si="305"/>
        <v>0</v>
      </c>
      <c r="AX1225" s="27">
        <f t="shared" si="306"/>
        <v>0</v>
      </c>
      <c r="AY1225" s="29" t="s">
        <v>704</v>
      </c>
      <c r="AZ1225" s="29" t="s">
        <v>1765</v>
      </c>
      <c r="BA1225" s="9" t="s">
        <v>1766</v>
      </c>
      <c r="BC1225" s="27">
        <f t="shared" si="307"/>
        <v>0</v>
      </c>
      <c r="BD1225" s="27">
        <f t="shared" si="308"/>
        <v>0</v>
      </c>
      <c r="BE1225" s="27">
        <v>0</v>
      </c>
      <c r="BF1225" s="27">
        <f>1225</f>
        <v>1225</v>
      </c>
      <c r="BH1225" s="27">
        <f t="shared" si="309"/>
        <v>0</v>
      </c>
      <c r="BI1225" s="27">
        <f t="shared" si="310"/>
        <v>0</v>
      </c>
      <c r="BJ1225" s="27">
        <f t="shared" si="311"/>
        <v>0</v>
      </c>
      <c r="BK1225" s="27"/>
      <c r="BL1225" s="27">
        <v>722</v>
      </c>
      <c r="BW1225" s="27">
        <v>21</v>
      </c>
    </row>
    <row r="1226" spans="1:75" ht="13.5" customHeight="1">
      <c r="A1226" s="2" t="s">
        <v>1791</v>
      </c>
      <c r="B1226" s="3" t="s">
        <v>1762</v>
      </c>
      <c r="C1226" s="3" t="s">
        <v>718</v>
      </c>
      <c r="D1226" s="148" t="s">
        <v>719</v>
      </c>
      <c r="E1226" s="143"/>
      <c r="F1226" s="3" t="s">
        <v>126</v>
      </c>
      <c r="G1226" s="27">
        <v>14</v>
      </c>
      <c r="H1226" s="27">
        <v>0</v>
      </c>
      <c r="I1226" s="27">
        <f t="shared" si="288"/>
        <v>0</v>
      </c>
      <c r="J1226" s="27">
        <f t="shared" si="289"/>
        <v>0</v>
      </c>
      <c r="K1226" s="27">
        <f t="shared" si="290"/>
        <v>0</v>
      </c>
      <c r="L1226" s="28" t="s">
        <v>52</v>
      </c>
      <c r="Z1226" s="27">
        <f t="shared" si="291"/>
        <v>0</v>
      </c>
      <c r="AB1226" s="27">
        <f t="shared" si="292"/>
        <v>0</v>
      </c>
      <c r="AC1226" s="27">
        <f t="shared" si="293"/>
        <v>0</v>
      </c>
      <c r="AD1226" s="27">
        <f t="shared" si="294"/>
        <v>0</v>
      </c>
      <c r="AE1226" s="27">
        <f t="shared" si="295"/>
        <v>0</v>
      </c>
      <c r="AF1226" s="27">
        <f t="shared" si="296"/>
        <v>0</v>
      </c>
      <c r="AG1226" s="27">
        <f t="shared" si="297"/>
        <v>0</v>
      </c>
      <c r="AH1226" s="27">
        <f t="shared" si="298"/>
        <v>0</v>
      </c>
      <c r="AI1226" s="9" t="s">
        <v>1762</v>
      </c>
      <c r="AJ1226" s="27">
        <f t="shared" si="299"/>
        <v>0</v>
      </c>
      <c r="AK1226" s="27">
        <f t="shared" si="300"/>
        <v>0</v>
      </c>
      <c r="AL1226" s="27">
        <f t="shared" si="301"/>
        <v>0</v>
      </c>
      <c r="AN1226" s="27">
        <v>21</v>
      </c>
      <c r="AO1226" s="27">
        <f t="shared" si="302"/>
        <v>0</v>
      </c>
      <c r="AP1226" s="27">
        <f t="shared" si="303"/>
        <v>0</v>
      </c>
      <c r="AQ1226" s="29" t="s">
        <v>84</v>
      </c>
      <c r="AV1226" s="27">
        <f t="shared" si="304"/>
        <v>0</v>
      </c>
      <c r="AW1226" s="27">
        <f t="shared" si="305"/>
        <v>0</v>
      </c>
      <c r="AX1226" s="27">
        <f t="shared" si="306"/>
        <v>0</v>
      </c>
      <c r="AY1226" s="29" t="s">
        <v>704</v>
      </c>
      <c r="AZ1226" s="29" t="s">
        <v>1765</v>
      </c>
      <c r="BA1226" s="9" t="s">
        <v>1766</v>
      </c>
      <c r="BC1226" s="27">
        <f t="shared" si="307"/>
        <v>0</v>
      </c>
      <c r="BD1226" s="27">
        <f t="shared" si="308"/>
        <v>0</v>
      </c>
      <c r="BE1226" s="27">
        <v>0</v>
      </c>
      <c r="BF1226" s="27">
        <f>1226</f>
        <v>1226</v>
      </c>
      <c r="BH1226" s="27">
        <f t="shared" si="309"/>
        <v>0</v>
      </c>
      <c r="BI1226" s="27">
        <f t="shared" si="310"/>
        <v>0</v>
      </c>
      <c r="BJ1226" s="27">
        <f t="shared" si="311"/>
        <v>0</v>
      </c>
      <c r="BK1226" s="27"/>
      <c r="BL1226" s="27">
        <v>722</v>
      </c>
      <c r="BW1226" s="27">
        <v>21</v>
      </c>
    </row>
    <row r="1227" spans="1:75" ht="13.5" customHeight="1">
      <c r="A1227" s="2" t="s">
        <v>1792</v>
      </c>
      <c r="B1227" s="3" t="s">
        <v>1762</v>
      </c>
      <c r="C1227" s="3" t="s">
        <v>721</v>
      </c>
      <c r="D1227" s="148" t="s">
        <v>722</v>
      </c>
      <c r="E1227" s="143"/>
      <c r="F1227" s="3" t="s">
        <v>126</v>
      </c>
      <c r="G1227" s="27">
        <v>5</v>
      </c>
      <c r="H1227" s="27">
        <v>0</v>
      </c>
      <c r="I1227" s="27">
        <f t="shared" si="288"/>
        <v>0</v>
      </c>
      <c r="J1227" s="27">
        <f t="shared" si="289"/>
        <v>0</v>
      </c>
      <c r="K1227" s="27">
        <f t="shared" si="290"/>
        <v>0</v>
      </c>
      <c r="L1227" s="28" t="s">
        <v>52</v>
      </c>
      <c r="Z1227" s="27">
        <f t="shared" si="291"/>
        <v>0</v>
      </c>
      <c r="AB1227" s="27">
        <f t="shared" si="292"/>
        <v>0</v>
      </c>
      <c r="AC1227" s="27">
        <f t="shared" si="293"/>
        <v>0</v>
      </c>
      <c r="AD1227" s="27">
        <f t="shared" si="294"/>
        <v>0</v>
      </c>
      <c r="AE1227" s="27">
        <f t="shared" si="295"/>
        <v>0</v>
      </c>
      <c r="AF1227" s="27">
        <f t="shared" si="296"/>
        <v>0</v>
      </c>
      <c r="AG1227" s="27">
        <f t="shared" si="297"/>
        <v>0</v>
      </c>
      <c r="AH1227" s="27">
        <f t="shared" si="298"/>
        <v>0</v>
      </c>
      <c r="AI1227" s="9" t="s">
        <v>1762</v>
      </c>
      <c r="AJ1227" s="27">
        <f t="shared" si="299"/>
        <v>0</v>
      </c>
      <c r="AK1227" s="27">
        <f t="shared" si="300"/>
        <v>0</v>
      </c>
      <c r="AL1227" s="27">
        <f t="shared" si="301"/>
        <v>0</v>
      </c>
      <c r="AN1227" s="27">
        <v>21</v>
      </c>
      <c r="AO1227" s="27">
        <f t="shared" si="302"/>
        <v>0</v>
      </c>
      <c r="AP1227" s="27">
        <f t="shared" si="303"/>
        <v>0</v>
      </c>
      <c r="AQ1227" s="29" t="s">
        <v>84</v>
      </c>
      <c r="AV1227" s="27">
        <f t="shared" si="304"/>
        <v>0</v>
      </c>
      <c r="AW1227" s="27">
        <f t="shared" si="305"/>
        <v>0</v>
      </c>
      <c r="AX1227" s="27">
        <f t="shared" si="306"/>
        <v>0</v>
      </c>
      <c r="AY1227" s="29" t="s">
        <v>704</v>
      </c>
      <c r="AZ1227" s="29" t="s">
        <v>1765</v>
      </c>
      <c r="BA1227" s="9" t="s">
        <v>1766</v>
      </c>
      <c r="BC1227" s="27">
        <f t="shared" si="307"/>
        <v>0</v>
      </c>
      <c r="BD1227" s="27">
        <f t="shared" si="308"/>
        <v>0</v>
      </c>
      <c r="BE1227" s="27">
        <v>0</v>
      </c>
      <c r="BF1227" s="27">
        <f>1227</f>
        <v>1227</v>
      </c>
      <c r="BH1227" s="27">
        <f t="shared" si="309"/>
        <v>0</v>
      </c>
      <c r="BI1227" s="27">
        <f t="shared" si="310"/>
        <v>0</v>
      </c>
      <c r="BJ1227" s="27">
        <f t="shared" si="311"/>
        <v>0</v>
      </c>
      <c r="BK1227" s="27"/>
      <c r="BL1227" s="27">
        <v>722</v>
      </c>
      <c r="BW1227" s="27">
        <v>21</v>
      </c>
    </row>
    <row r="1228" spans="1:75" ht="13.5" customHeight="1">
      <c r="A1228" s="2" t="s">
        <v>1793</v>
      </c>
      <c r="B1228" s="3" t="s">
        <v>1762</v>
      </c>
      <c r="C1228" s="3" t="s">
        <v>724</v>
      </c>
      <c r="D1228" s="148" t="s">
        <v>725</v>
      </c>
      <c r="E1228" s="143"/>
      <c r="F1228" s="3" t="s">
        <v>126</v>
      </c>
      <c r="G1228" s="27">
        <v>14</v>
      </c>
      <c r="H1228" s="27">
        <v>0</v>
      </c>
      <c r="I1228" s="27">
        <f t="shared" si="288"/>
        <v>0</v>
      </c>
      <c r="J1228" s="27">
        <f t="shared" si="289"/>
        <v>0</v>
      </c>
      <c r="K1228" s="27">
        <f t="shared" si="290"/>
        <v>0</v>
      </c>
      <c r="L1228" s="28" t="s">
        <v>52</v>
      </c>
      <c r="Z1228" s="27">
        <f t="shared" si="291"/>
        <v>0</v>
      </c>
      <c r="AB1228" s="27">
        <f t="shared" si="292"/>
        <v>0</v>
      </c>
      <c r="AC1228" s="27">
        <f t="shared" si="293"/>
        <v>0</v>
      </c>
      <c r="AD1228" s="27">
        <f t="shared" si="294"/>
        <v>0</v>
      </c>
      <c r="AE1228" s="27">
        <f t="shared" si="295"/>
        <v>0</v>
      </c>
      <c r="AF1228" s="27">
        <f t="shared" si="296"/>
        <v>0</v>
      </c>
      <c r="AG1228" s="27">
        <f t="shared" si="297"/>
        <v>0</v>
      </c>
      <c r="AH1228" s="27">
        <f t="shared" si="298"/>
        <v>0</v>
      </c>
      <c r="AI1228" s="9" t="s">
        <v>1762</v>
      </c>
      <c r="AJ1228" s="27">
        <f t="shared" si="299"/>
        <v>0</v>
      </c>
      <c r="AK1228" s="27">
        <f t="shared" si="300"/>
        <v>0</v>
      </c>
      <c r="AL1228" s="27">
        <f t="shared" si="301"/>
        <v>0</v>
      </c>
      <c r="AN1228" s="27">
        <v>21</v>
      </c>
      <c r="AO1228" s="27">
        <f t="shared" si="302"/>
        <v>0</v>
      </c>
      <c r="AP1228" s="27">
        <f t="shared" si="303"/>
        <v>0</v>
      </c>
      <c r="AQ1228" s="29" t="s">
        <v>84</v>
      </c>
      <c r="AV1228" s="27">
        <f t="shared" si="304"/>
        <v>0</v>
      </c>
      <c r="AW1228" s="27">
        <f t="shared" si="305"/>
        <v>0</v>
      </c>
      <c r="AX1228" s="27">
        <f t="shared" si="306"/>
        <v>0</v>
      </c>
      <c r="AY1228" s="29" t="s">
        <v>704</v>
      </c>
      <c r="AZ1228" s="29" t="s">
        <v>1765</v>
      </c>
      <c r="BA1228" s="9" t="s">
        <v>1766</v>
      </c>
      <c r="BC1228" s="27">
        <f t="shared" si="307"/>
        <v>0</v>
      </c>
      <c r="BD1228" s="27">
        <f t="shared" si="308"/>
        <v>0</v>
      </c>
      <c r="BE1228" s="27">
        <v>0</v>
      </c>
      <c r="BF1228" s="27">
        <f>1228</f>
        <v>1228</v>
      </c>
      <c r="BH1228" s="27">
        <f t="shared" si="309"/>
        <v>0</v>
      </c>
      <c r="BI1228" s="27">
        <f t="shared" si="310"/>
        <v>0</v>
      </c>
      <c r="BJ1228" s="27">
        <f t="shared" si="311"/>
        <v>0</v>
      </c>
      <c r="BK1228" s="27"/>
      <c r="BL1228" s="27">
        <v>722</v>
      </c>
      <c r="BW1228" s="27">
        <v>21</v>
      </c>
    </row>
    <row r="1229" spans="1:75" ht="13.5" customHeight="1">
      <c r="A1229" s="2" t="s">
        <v>1794</v>
      </c>
      <c r="B1229" s="3" t="s">
        <v>1762</v>
      </c>
      <c r="C1229" s="3" t="s">
        <v>727</v>
      </c>
      <c r="D1229" s="148" t="s">
        <v>728</v>
      </c>
      <c r="E1229" s="143"/>
      <c r="F1229" s="3" t="s">
        <v>126</v>
      </c>
      <c r="G1229" s="27">
        <v>5</v>
      </c>
      <c r="H1229" s="27">
        <v>0</v>
      </c>
      <c r="I1229" s="27">
        <f t="shared" si="288"/>
        <v>0</v>
      </c>
      <c r="J1229" s="27">
        <f t="shared" si="289"/>
        <v>0</v>
      </c>
      <c r="K1229" s="27">
        <f t="shared" si="290"/>
        <v>0</v>
      </c>
      <c r="L1229" s="28" t="s">
        <v>52</v>
      </c>
      <c r="Z1229" s="27">
        <f t="shared" si="291"/>
        <v>0</v>
      </c>
      <c r="AB1229" s="27">
        <f t="shared" si="292"/>
        <v>0</v>
      </c>
      <c r="AC1229" s="27">
        <f t="shared" si="293"/>
        <v>0</v>
      </c>
      <c r="AD1229" s="27">
        <f t="shared" si="294"/>
        <v>0</v>
      </c>
      <c r="AE1229" s="27">
        <f t="shared" si="295"/>
        <v>0</v>
      </c>
      <c r="AF1229" s="27">
        <f t="shared" si="296"/>
        <v>0</v>
      </c>
      <c r="AG1229" s="27">
        <f t="shared" si="297"/>
        <v>0</v>
      </c>
      <c r="AH1229" s="27">
        <f t="shared" si="298"/>
        <v>0</v>
      </c>
      <c r="AI1229" s="9" t="s">
        <v>1762</v>
      </c>
      <c r="AJ1229" s="27">
        <f t="shared" si="299"/>
        <v>0</v>
      </c>
      <c r="AK1229" s="27">
        <f t="shared" si="300"/>
        <v>0</v>
      </c>
      <c r="AL1229" s="27">
        <f t="shared" si="301"/>
        <v>0</v>
      </c>
      <c r="AN1229" s="27">
        <v>21</v>
      </c>
      <c r="AO1229" s="27">
        <f t="shared" si="302"/>
        <v>0</v>
      </c>
      <c r="AP1229" s="27">
        <f t="shared" si="303"/>
        <v>0</v>
      </c>
      <c r="AQ1229" s="29" t="s">
        <v>84</v>
      </c>
      <c r="AV1229" s="27">
        <f t="shared" si="304"/>
        <v>0</v>
      </c>
      <c r="AW1229" s="27">
        <f t="shared" si="305"/>
        <v>0</v>
      </c>
      <c r="AX1229" s="27">
        <f t="shared" si="306"/>
        <v>0</v>
      </c>
      <c r="AY1229" s="29" t="s">
        <v>704</v>
      </c>
      <c r="AZ1229" s="29" t="s">
        <v>1765</v>
      </c>
      <c r="BA1229" s="9" t="s">
        <v>1766</v>
      </c>
      <c r="BC1229" s="27">
        <f t="shared" si="307"/>
        <v>0</v>
      </c>
      <c r="BD1229" s="27">
        <f t="shared" si="308"/>
        <v>0</v>
      </c>
      <c r="BE1229" s="27">
        <v>0</v>
      </c>
      <c r="BF1229" s="27">
        <f>1229</f>
        <v>1229</v>
      </c>
      <c r="BH1229" s="27">
        <f t="shared" si="309"/>
        <v>0</v>
      </c>
      <c r="BI1229" s="27">
        <f t="shared" si="310"/>
        <v>0</v>
      </c>
      <c r="BJ1229" s="27">
        <f t="shared" si="311"/>
        <v>0</v>
      </c>
      <c r="BK1229" s="27"/>
      <c r="BL1229" s="27">
        <v>722</v>
      </c>
      <c r="BW1229" s="27">
        <v>21</v>
      </c>
    </row>
    <row r="1230" spans="1:75" ht="13.5" customHeight="1">
      <c r="A1230" s="2" t="s">
        <v>1795</v>
      </c>
      <c r="B1230" s="3" t="s">
        <v>1762</v>
      </c>
      <c r="C1230" s="3" t="s">
        <v>730</v>
      </c>
      <c r="D1230" s="148" t="s">
        <v>731</v>
      </c>
      <c r="E1230" s="143"/>
      <c r="F1230" s="3" t="s">
        <v>126</v>
      </c>
      <c r="G1230" s="27">
        <v>14</v>
      </c>
      <c r="H1230" s="27">
        <v>0</v>
      </c>
      <c r="I1230" s="27">
        <f t="shared" si="288"/>
        <v>0</v>
      </c>
      <c r="J1230" s="27">
        <f t="shared" si="289"/>
        <v>0</v>
      </c>
      <c r="K1230" s="27">
        <f t="shared" si="290"/>
        <v>0</v>
      </c>
      <c r="L1230" s="28" t="s">
        <v>52</v>
      </c>
      <c r="Z1230" s="27">
        <f t="shared" si="291"/>
        <v>0</v>
      </c>
      <c r="AB1230" s="27">
        <f t="shared" si="292"/>
        <v>0</v>
      </c>
      <c r="AC1230" s="27">
        <f t="shared" si="293"/>
        <v>0</v>
      </c>
      <c r="AD1230" s="27">
        <f t="shared" si="294"/>
        <v>0</v>
      </c>
      <c r="AE1230" s="27">
        <f t="shared" si="295"/>
        <v>0</v>
      </c>
      <c r="AF1230" s="27">
        <f t="shared" si="296"/>
        <v>0</v>
      </c>
      <c r="AG1230" s="27">
        <f t="shared" si="297"/>
        <v>0</v>
      </c>
      <c r="AH1230" s="27">
        <f t="shared" si="298"/>
        <v>0</v>
      </c>
      <c r="AI1230" s="9" t="s">
        <v>1762</v>
      </c>
      <c r="AJ1230" s="27">
        <f t="shared" si="299"/>
        <v>0</v>
      </c>
      <c r="AK1230" s="27">
        <f t="shared" si="300"/>
        <v>0</v>
      </c>
      <c r="AL1230" s="27">
        <f t="shared" si="301"/>
        <v>0</v>
      </c>
      <c r="AN1230" s="27">
        <v>21</v>
      </c>
      <c r="AO1230" s="27">
        <f t="shared" si="302"/>
        <v>0</v>
      </c>
      <c r="AP1230" s="27">
        <f t="shared" si="303"/>
        <v>0</v>
      </c>
      <c r="AQ1230" s="29" t="s">
        <v>84</v>
      </c>
      <c r="AV1230" s="27">
        <f t="shared" si="304"/>
        <v>0</v>
      </c>
      <c r="AW1230" s="27">
        <f t="shared" si="305"/>
        <v>0</v>
      </c>
      <c r="AX1230" s="27">
        <f t="shared" si="306"/>
        <v>0</v>
      </c>
      <c r="AY1230" s="29" t="s">
        <v>704</v>
      </c>
      <c r="AZ1230" s="29" t="s">
        <v>1765</v>
      </c>
      <c r="BA1230" s="9" t="s">
        <v>1766</v>
      </c>
      <c r="BC1230" s="27">
        <f t="shared" si="307"/>
        <v>0</v>
      </c>
      <c r="BD1230" s="27">
        <f t="shared" si="308"/>
        <v>0</v>
      </c>
      <c r="BE1230" s="27">
        <v>0</v>
      </c>
      <c r="BF1230" s="27">
        <f>1230</f>
        <v>1230</v>
      </c>
      <c r="BH1230" s="27">
        <f t="shared" si="309"/>
        <v>0</v>
      </c>
      <c r="BI1230" s="27">
        <f t="shared" si="310"/>
        <v>0</v>
      </c>
      <c r="BJ1230" s="27">
        <f t="shared" si="311"/>
        <v>0</v>
      </c>
      <c r="BK1230" s="27"/>
      <c r="BL1230" s="27">
        <v>722</v>
      </c>
      <c r="BW1230" s="27">
        <v>21</v>
      </c>
    </row>
    <row r="1231" spans="1:75" ht="13.5" customHeight="1">
      <c r="A1231" s="2" t="s">
        <v>1796</v>
      </c>
      <c r="B1231" s="3" t="s">
        <v>1762</v>
      </c>
      <c r="C1231" s="3" t="s">
        <v>733</v>
      </c>
      <c r="D1231" s="148" t="s">
        <v>734</v>
      </c>
      <c r="E1231" s="143"/>
      <c r="F1231" s="3" t="s">
        <v>126</v>
      </c>
      <c r="G1231" s="27">
        <v>6</v>
      </c>
      <c r="H1231" s="27">
        <v>0</v>
      </c>
      <c r="I1231" s="27">
        <f t="shared" si="288"/>
        <v>0</v>
      </c>
      <c r="J1231" s="27">
        <f t="shared" si="289"/>
        <v>0</v>
      </c>
      <c r="K1231" s="27">
        <f t="shared" si="290"/>
        <v>0</v>
      </c>
      <c r="L1231" s="28" t="s">
        <v>52</v>
      </c>
      <c r="Z1231" s="27">
        <f t="shared" si="291"/>
        <v>0</v>
      </c>
      <c r="AB1231" s="27">
        <f t="shared" si="292"/>
        <v>0</v>
      </c>
      <c r="AC1231" s="27">
        <f t="shared" si="293"/>
        <v>0</v>
      </c>
      <c r="AD1231" s="27">
        <f t="shared" si="294"/>
        <v>0</v>
      </c>
      <c r="AE1231" s="27">
        <f t="shared" si="295"/>
        <v>0</v>
      </c>
      <c r="AF1231" s="27">
        <f t="shared" si="296"/>
        <v>0</v>
      </c>
      <c r="AG1231" s="27">
        <f t="shared" si="297"/>
        <v>0</v>
      </c>
      <c r="AH1231" s="27">
        <f t="shared" si="298"/>
        <v>0</v>
      </c>
      <c r="AI1231" s="9" t="s">
        <v>1762</v>
      </c>
      <c r="AJ1231" s="27">
        <f t="shared" si="299"/>
        <v>0</v>
      </c>
      <c r="AK1231" s="27">
        <f t="shared" si="300"/>
        <v>0</v>
      </c>
      <c r="AL1231" s="27">
        <f t="shared" si="301"/>
        <v>0</v>
      </c>
      <c r="AN1231" s="27">
        <v>21</v>
      </c>
      <c r="AO1231" s="27">
        <f t="shared" si="302"/>
        <v>0</v>
      </c>
      <c r="AP1231" s="27">
        <f t="shared" si="303"/>
        <v>0</v>
      </c>
      <c r="AQ1231" s="29" t="s">
        <v>84</v>
      </c>
      <c r="AV1231" s="27">
        <f t="shared" si="304"/>
        <v>0</v>
      </c>
      <c r="AW1231" s="27">
        <f t="shared" si="305"/>
        <v>0</v>
      </c>
      <c r="AX1231" s="27">
        <f t="shared" si="306"/>
        <v>0</v>
      </c>
      <c r="AY1231" s="29" t="s">
        <v>704</v>
      </c>
      <c r="AZ1231" s="29" t="s">
        <v>1765</v>
      </c>
      <c r="BA1231" s="9" t="s">
        <v>1766</v>
      </c>
      <c r="BC1231" s="27">
        <f t="shared" si="307"/>
        <v>0</v>
      </c>
      <c r="BD1231" s="27">
        <f t="shared" si="308"/>
        <v>0</v>
      </c>
      <c r="BE1231" s="27">
        <v>0</v>
      </c>
      <c r="BF1231" s="27">
        <f>1231</f>
        <v>1231</v>
      </c>
      <c r="BH1231" s="27">
        <f t="shared" si="309"/>
        <v>0</v>
      </c>
      <c r="BI1231" s="27">
        <f t="shared" si="310"/>
        <v>0</v>
      </c>
      <c r="BJ1231" s="27">
        <f t="shared" si="311"/>
        <v>0</v>
      </c>
      <c r="BK1231" s="27"/>
      <c r="BL1231" s="27">
        <v>722</v>
      </c>
      <c r="BW1231" s="27">
        <v>21</v>
      </c>
    </row>
    <row r="1232" spans="1:75" ht="13.5" customHeight="1">
      <c r="A1232" s="2" t="s">
        <v>1797</v>
      </c>
      <c r="B1232" s="3" t="s">
        <v>1762</v>
      </c>
      <c r="C1232" s="3" t="s">
        <v>739</v>
      </c>
      <c r="D1232" s="148" t="s">
        <v>740</v>
      </c>
      <c r="E1232" s="143"/>
      <c r="F1232" s="3" t="s">
        <v>126</v>
      </c>
      <c r="G1232" s="27">
        <v>20</v>
      </c>
      <c r="H1232" s="27">
        <v>0</v>
      </c>
      <c r="I1232" s="27">
        <f t="shared" si="288"/>
        <v>0</v>
      </c>
      <c r="J1232" s="27">
        <f t="shared" si="289"/>
        <v>0</v>
      </c>
      <c r="K1232" s="27">
        <f t="shared" si="290"/>
        <v>0</v>
      </c>
      <c r="L1232" s="28" t="s">
        <v>52</v>
      </c>
      <c r="Z1232" s="27">
        <f t="shared" si="291"/>
        <v>0</v>
      </c>
      <c r="AB1232" s="27">
        <f t="shared" si="292"/>
        <v>0</v>
      </c>
      <c r="AC1232" s="27">
        <f t="shared" si="293"/>
        <v>0</v>
      </c>
      <c r="AD1232" s="27">
        <f t="shared" si="294"/>
        <v>0</v>
      </c>
      <c r="AE1232" s="27">
        <f t="shared" si="295"/>
        <v>0</v>
      </c>
      <c r="AF1232" s="27">
        <f t="shared" si="296"/>
        <v>0</v>
      </c>
      <c r="AG1232" s="27">
        <f t="shared" si="297"/>
        <v>0</v>
      </c>
      <c r="AH1232" s="27">
        <f t="shared" si="298"/>
        <v>0</v>
      </c>
      <c r="AI1232" s="9" t="s">
        <v>1762</v>
      </c>
      <c r="AJ1232" s="27">
        <f t="shared" si="299"/>
        <v>0</v>
      </c>
      <c r="AK1232" s="27">
        <f t="shared" si="300"/>
        <v>0</v>
      </c>
      <c r="AL1232" s="27">
        <f t="shared" si="301"/>
        <v>0</v>
      </c>
      <c r="AN1232" s="27">
        <v>21</v>
      </c>
      <c r="AO1232" s="27">
        <f t="shared" si="302"/>
        <v>0</v>
      </c>
      <c r="AP1232" s="27">
        <f t="shared" si="303"/>
        <v>0</v>
      </c>
      <c r="AQ1232" s="29" t="s">
        <v>84</v>
      </c>
      <c r="AV1232" s="27">
        <f t="shared" si="304"/>
        <v>0</v>
      </c>
      <c r="AW1232" s="27">
        <f t="shared" si="305"/>
        <v>0</v>
      </c>
      <c r="AX1232" s="27">
        <f t="shared" si="306"/>
        <v>0</v>
      </c>
      <c r="AY1232" s="29" t="s">
        <v>704</v>
      </c>
      <c r="AZ1232" s="29" t="s">
        <v>1765</v>
      </c>
      <c r="BA1232" s="9" t="s">
        <v>1766</v>
      </c>
      <c r="BC1232" s="27">
        <f t="shared" si="307"/>
        <v>0</v>
      </c>
      <c r="BD1232" s="27">
        <f t="shared" si="308"/>
        <v>0</v>
      </c>
      <c r="BE1232" s="27">
        <v>0</v>
      </c>
      <c r="BF1232" s="27">
        <f>1232</f>
        <v>1232</v>
      </c>
      <c r="BH1232" s="27">
        <f t="shared" si="309"/>
        <v>0</v>
      </c>
      <c r="BI1232" s="27">
        <f t="shared" si="310"/>
        <v>0</v>
      </c>
      <c r="BJ1232" s="27">
        <f t="shared" si="311"/>
        <v>0</v>
      </c>
      <c r="BK1232" s="27"/>
      <c r="BL1232" s="27">
        <v>722</v>
      </c>
      <c r="BW1232" s="27">
        <v>21</v>
      </c>
    </row>
    <row r="1233" spans="1:75" ht="13.5" customHeight="1">
      <c r="A1233" s="2" t="s">
        <v>1798</v>
      </c>
      <c r="B1233" s="3" t="s">
        <v>1762</v>
      </c>
      <c r="C1233" s="3" t="s">
        <v>742</v>
      </c>
      <c r="D1233" s="148" t="s">
        <v>743</v>
      </c>
      <c r="E1233" s="143"/>
      <c r="F1233" s="3" t="s">
        <v>154</v>
      </c>
      <c r="G1233" s="27">
        <v>10</v>
      </c>
      <c r="H1233" s="27">
        <v>0</v>
      </c>
      <c r="I1233" s="27">
        <f t="shared" si="288"/>
        <v>0</v>
      </c>
      <c r="J1233" s="27">
        <f t="shared" si="289"/>
        <v>0</v>
      </c>
      <c r="K1233" s="27">
        <f t="shared" si="290"/>
        <v>0</v>
      </c>
      <c r="L1233" s="28" t="s">
        <v>52</v>
      </c>
      <c r="Z1233" s="27">
        <f t="shared" si="291"/>
        <v>0</v>
      </c>
      <c r="AB1233" s="27">
        <f t="shared" si="292"/>
        <v>0</v>
      </c>
      <c r="AC1233" s="27">
        <f t="shared" si="293"/>
        <v>0</v>
      </c>
      <c r="AD1233" s="27">
        <f t="shared" si="294"/>
        <v>0</v>
      </c>
      <c r="AE1233" s="27">
        <f t="shared" si="295"/>
        <v>0</v>
      </c>
      <c r="AF1233" s="27">
        <f t="shared" si="296"/>
        <v>0</v>
      </c>
      <c r="AG1233" s="27">
        <f t="shared" si="297"/>
        <v>0</v>
      </c>
      <c r="AH1233" s="27">
        <f t="shared" si="298"/>
        <v>0</v>
      </c>
      <c r="AI1233" s="9" t="s">
        <v>1762</v>
      </c>
      <c r="AJ1233" s="27">
        <f t="shared" si="299"/>
        <v>0</v>
      </c>
      <c r="AK1233" s="27">
        <f t="shared" si="300"/>
        <v>0</v>
      </c>
      <c r="AL1233" s="27">
        <f t="shared" si="301"/>
        <v>0</v>
      </c>
      <c r="AN1233" s="27">
        <v>21</v>
      </c>
      <c r="AO1233" s="27">
        <f t="shared" si="302"/>
        <v>0</v>
      </c>
      <c r="AP1233" s="27">
        <f t="shared" si="303"/>
        <v>0</v>
      </c>
      <c r="AQ1233" s="29" t="s">
        <v>84</v>
      </c>
      <c r="AV1233" s="27">
        <f t="shared" si="304"/>
        <v>0</v>
      </c>
      <c r="AW1233" s="27">
        <f t="shared" si="305"/>
        <v>0</v>
      </c>
      <c r="AX1233" s="27">
        <f t="shared" si="306"/>
        <v>0</v>
      </c>
      <c r="AY1233" s="29" t="s">
        <v>704</v>
      </c>
      <c r="AZ1233" s="29" t="s">
        <v>1765</v>
      </c>
      <c r="BA1233" s="9" t="s">
        <v>1766</v>
      </c>
      <c r="BC1233" s="27">
        <f t="shared" si="307"/>
        <v>0</v>
      </c>
      <c r="BD1233" s="27">
        <f t="shared" si="308"/>
        <v>0</v>
      </c>
      <c r="BE1233" s="27">
        <v>0</v>
      </c>
      <c r="BF1233" s="27">
        <f>1233</f>
        <v>1233</v>
      </c>
      <c r="BH1233" s="27">
        <f t="shared" si="309"/>
        <v>0</v>
      </c>
      <c r="BI1233" s="27">
        <f t="shared" si="310"/>
        <v>0</v>
      </c>
      <c r="BJ1233" s="27">
        <f t="shared" si="311"/>
        <v>0</v>
      </c>
      <c r="BK1233" s="27"/>
      <c r="BL1233" s="27">
        <v>722</v>
      </c>
      <c r="BW1233" s="27">
        <v>21</v>
      </c>
    </row>
    <row r="1234" spans="1:75" ht="13.5" customHeight="1">
      <c r="A1234" s="2" t="s">
        <v>1799</v>
      </c>
      <c r="B1234" s="3" t="s">
        <v>1762</v>
      </c>
      <c r="C1234" s="3" t="s">
        <v>745</v>
      </c>
      <c r="D1234" s="148" t="s">
        <v>746</v>
      </c>
      <c r="E1234" s="143"/>
      <c r="F1234" s="3" t="s">
        <v>154</v>
      </c>
      <c r="G1234" s="27">
        <v>10</v>
      </c>
      <c r="H1234" s="27">
        <v>0</v>
      </c>
      <c r="I1234" s="27">
        <f t="shared" si="288"/>
        <v>0</v>
      </c>
      <c r="J1234" s="27">
        <f t="shared" si="289"/>
        <v>0</v>
      </c>
      <c r="K1234" s="27">
        <f t="shared" si="290"/>
        <v>0</v>
      </c>
      <c r="L1234" s="28" t="s">
        <v>52</v>
      </c>
      <c r="Z1234" s="27">
        <f t="shared" si="291"/>
        <v>0</v>
      </c>
      <c r="AB1234" s="27">
        <f t="shared" si="292"/>
        <v>0</v>
      </c>
      <c r="AC1234" s="27">
        <f t="shared" si="293"/>
        <v>0</v>
      </c>
      <c r="AD1234" s="27">
        <f t="shared" si="294"/>
        <v>0</v>
      </c>
      <c r="AE1234" s="27">
        <f t="shared" si="295"/>
        <v>0</v>
      </c>
      <c r="AF1234" s="27">
        <f t="shared" si="296"/>
        <v>0</v>
      </c>
      <c r="AG1234" s="27">
        <f t="shared" si="297"/>
        <v>0</v>
      </c>
      <c r="AH1234" s="27">
        <f t="shared" si="298"/>
        <v>0</v>
      </c>
      <c r="AI1234" s="9" t="s">
        <v>1762</v>
      </c>
      <c r="AJ1234" s="27">
        <f t="shared" si="299"/>
        <v>0</v>
      </c>
      <c r="AK1234" s="27">
        <f t="shared" si="300"/>
        <v>0</v>
      </c>
      <c r="AL1234" s="27">
        <f t="shared" si="301"/>
        <v>0</v>
      </c>
      <c r="AN1234" s="27">
        <v>21</v>
      </c>
      <c r="AO1234" s="27">
        <f t="shared" si="302"/>
        <v>0</v>
      </c>
      <c r="AP1234" s="27">
        <f t="shared" si="303"/>
        <v>0</v>
      </c>
      <c r="AQ1234" s="29" t="s">
        <v>84</v>
      </c>
      <c r="AV1234" s="27">
        <f t="shared" si="304"/>
        <v>0</v>
      </c>
      <c r="AW1234" s="27">
        <f t="shared" si="305"/>
        <v>0</v>
      </c>
      <c r="AX1234" s="27">
        <f t="shared" si="306"/>
        <v>0</v>
      </c>
      <c r="AY1234" s="29" t="s">
        <v>704</v>
      </c>
      <c r="AZ1234" s="29" t="s">
        <v>1765</v>
      </c>
      <c r="BA1234" s="9" t="s">
        <v>1766</v>
      </c>
      <c r="BC1234" s="27">
        <f t="shared" si="307"/>
        <v>0</v>
      </c>
      <c r="BD1234" s="27">
        <f t="shared" si="308"/>
        <v>0</v>
      </c>
      <c r="BE1234" s="27">
        <v>0</v>
      </c>
      <c r="BF1234" s="27">
        <f>1234</f>
        <v>1234</v>
      </c>
      <c r="BH1234" s="27">
        <f t="shared" si="309"/>
        <v>0</v>
      </c>
      <c r="BI1234" s="27">
        <f t="shared" si="310"/>
        <v>0</v>
      </c>
      <c r="BJ1234" s="27">
        <f t="shared" si="311"/>
        <v>0</v>
      </c>
      <c r="BK1234" s="27"/>
      <c r="BL1234" s="27">
        <v>722</v>
      </c>
      <c r="BW1234" s="27">
        <v>21</v>
      </c>
    </row>
    <row r="1235" spans="1:75" ht="13.5" customHeight="1">
      <c r="A1235" s="2" t="s">
        <v>1800</v>
      </c>
      <c r="B1235" s="3" t="s">
        <v>1762</v>
      </c>
      <c r="C1235" s="3" t="s">
        <v>748</v>
      </c>
      <c r="D1235" s="148" t="s">
        <v>749</v>
      </c>
      <c r="E1235" s="143"/>
      <c r="F1235" s="3" t="s">
        <v>154</v>
      </c>
      <c r="G1235" s="27">
        <v>8</v>
      </c>
      <c r="H1235" s="27">
        <v>0</v>
      </c>
      <c r="I1235" s="27">
        <f t="shared" si="288"/>
        <v>0</v>
      </c>
      <c r="J1235" s="27">
        <f t="shared" si="289"/>
        <v>0</v>
      </c>
      <c r="K1235" s="27">
        <f t="shared" si="290"/>
        <v>0</v>
      </c>
      <c r="L1235" s="28" t="s">
        <v>52</v>
      </c>
      <c r="Z1235" s="27">
        <f t="shared" si="291"/>
        <v>0</v>
      </c>
      <c r="AB1235" s="27">
        <f t="shared" si="292"/>
        <v>0</v>
      </c>
      <c r="AC1235" s="27">
        <f t="shared" si="293"/>
        <v>0</v>
      </c>
      <c r="AD1235" s="27">
        <f t="shared" si="294"/>
        <v>0</v>
      </c>
      <c r="AE1235" s="27">
        <f t="shared" si="295"/>
        <v>0</v>
      </c>
      <c r="AF1235" s="27">
        <f t="shared" si="296"/>
        <v>0</v>
      </c>
      <c r="AG1235" s="27">
        <f t="shared" si="297"/>
        <v>0</v>
      </c>
      <c r="AH1235" s="27">
        <f t="shared" si="298"/>
        <v>0</v>
      </c>
      <c r="AI1235" s="9" t="s">
        <v>1762</v>
      </c>
      <c r="AJ1235" s="27">
        <f t="shared" si="299"/>
        <v>0</v>
      </c>
      <c r="AK1235" s="27">
        <f t="shared" si="300"/>
        <v>0</v>
      </c>
      <c r="AL1235" s="27">
        <f t="shared" si="301"/>
        <v>0</v>
      </c>
      <c r="AN1235" s="27">
        <v>21</v>
      </c>
      <c r="AO1235" s="27">
        <f t="shared" si="302"/>
        <v>0</v>
      </c>
      <c r="AP1235" s="27">
        <f t="shared" si="303"/>
        <v>0</v>
      </c>
      <c r="AQ1235" s="29" t="s">
        <v>84</v>
      </c>
      <c r="AV1235" s="27">
        <f t="shared" si="304"/>
        <v>0</v>
      </c>
      <c r="AW1235" s="27">
        <f t="shared" si="305"/>
        <v>0</v>
      </c>
      <c r="AX1235" s="27">
        <f t="shared" si="306"/>
        <v>0</v>
      </c>
      <c r="AY1235" s="29" t="s">
        <v>704</v>
      </c>
      <c r="AZ1235" s="29" t="s">
        <v>1765</v>
      </c>
      <c r="BA1235" s="9" t="s">
        <v>1766</v>
      </c>
      <c r="BC1235" s="27">
        <f t="shared" si="307"/>
        <v>0</v>
      </c>
      <c r="BD1235" s="27">
        <f t="shared" si="308"/>
        <v>0</v>
      </c>
      <c r="BE1235" s="27">
        <v>0</v>
      </c>
      <c r="BF1235" s="27">
        <f>1235</f>
        <v>1235</v>
      </c>
      <c r="BH1235" s="27">
        <f t="shared" si="309"/>
        <v>0</v>
      </c>
      <c r="BI1235" s="27">
        <f t="shared" si="310"/>
        <v>0</v>
      </c>
      <c r="BJ1235" s="27">
        <f t="shared" si="311"/>
        <v>0</v>
      </c>
      <c r="BK1235" s="27"/>
      <c r="BL1235" s="27">
        <v>722</v>
      </c>
      <c r="BW1235" s="27">
        <v>21</v>
      </c>
    </row>
    <row r="1236" spans="1:75" ht="13.5" customHeight="1">
      <c r="A1236" s="2" t="s">
        <v>1801</v>
      </c>
      <c r="B1236" s="3" t="s">
        <v>1762</v>
      </c>
      <c r="C1236" s="3" t="s">
        <v>751</v>
      </c>
      <c r="D1236" s="148" t="s">
        <v>752</v>
      </c>
      <c r="E1236" s="143"/>
      <c r="F1236" s="3" t="s">
        <v>224</v>
      </c>
      <c r="G1236" s="27">
        <v>6</v>
      </c>
      <c r="H1236" s="27">
        <v>0</v>
      </c>
      <c r="I1236" s="27">
        <f t="shared" si="288"/>
        <v>0</v>
      </c>
      <c r="J1236" s="27">
        <f t="shared" si="289"/>
        <v>0</v>
      </c>
      <c r="K1236" s="27">
        <f t="shared" si="290"/>
        <v>0</v>
      </c>
      <c r="L1236" s="28" t="s">
        <v>52</v>
      </c>
      <c r="Z1236" s="27">
        <f t="shared" si="291"/>
        <v>0</v>
      </c>
      <c r="AB1236" s="27">
        <f t="shared" si="292"/>
        <v>0</v>
      </c>
      <c r="AC1236" s="27">
        <f t="shared" si="293"/>
        <v>0</v>
      </c>
      <c r="AD1236" s="27">
        <f t="shared" si="294"/>
        <v>0</v>
      </c>
      <c r="AE1236" s="27">
        <f t="shared" si="295"/>
        <v>0</v>
      </c>
      <c r="AF1236" s="27">
        <f t="shared" si="296"/>
        <v>0</v>
      </c>
      <c r="AG1236" s="27">
        <f t="shared" si="297"/>
        <v>0</v>
      </c>
      <c r="AH1236" s="27">
        <f t="shared" si="298"/>
        <v>0</v>
      </c>
      <c r="AI1236" s="9" t="s">
        <v>1762</v>
      </c>
      <c r="AJ1236" s="27">
        <f t="shared" si="299"/>
        <v>0</v>
      </c>
      <c r="AK1236" s="27">
        <f t="shared" si="300"/>
        <v>0</v>
      </c>
      <c r="AL1236" s="27">
        <f t="shared" si="301"/>
        <v>0</v>
      </c>
      <c r="AN1236" s="27">
        <v>21</v>
      </c>
      <c r="AO1236" s="27">
        <f t="shared" si="302"/>
        <v>0</v>
      </c>
      <c r="AP1236" s="27">
        <f t="shared" si="303"/>
        <v>0</v>
      </c>
      <c r="AQ1236" s="29" t="s">
        <v>84</v>
      </c>
      <c r="AV1236" s="27">
        <f t="shared" si="304"/>
        <v>0</v>
      </c>
      <c r="AW1236" s="27">
        <f t="shared" si="305"/>
        <v>0</v>
      </c>
      <c r="AX1236" s="27">
        <f t="shared" si="306"/>
        <v>0</v>
      </c>
      <c r="AY1236" s="29" t="s">
        <v>704</v>
      </c>
      <c r="AZ1236" s="29" t="s">
        <v>1765</v>
      </c>
      <c r="BA1236" s="9" t="s">
        <v>1766</v>
      </c>
      <c r="BC1236" s="27">
        <f t="shared" si="307"/>
        <v>0</v>
      </c>
      <c r="BD1236" s="27">
        <f t="shared" si="308"/>
        <v>0</v>
      </c>
      <c r="BE1236" s="27">
        <v>0</v>
      </c>
      <c r="BF1236" s="27">
        <f>1236</f>
        <v>1236</v>
      </c>
      <c r="BH1236" s="27">
        <f t="shared" si="309"/>
        <v>0</v>
      </c>
      <c r="BI1236" s="27">
        <f t="shared" si="310"/>
        <v>0</v>
      </c>
      <c r="BJ1236" s="27">
        <f t="shared" si="311"/>
        <v>0</v>
      </c>
      <c r="BK1236" s="27"/>
      <c r="BL1236" s="27">
        <v>722</v>
      </c>
      <c r="BW1236" s="27">
        <v>21</v>
      </c>
    </row>
    <row r="1237" spans="1:75" ht="13.5" customHeight="1">
      <c r="A1237" s="2" t="s">
        <v>1802</v>
      </c>
      <c r="B1237" s="3" t="s">
        <v>1762</v>
      </c>
      <c r="C1237" s="3" t="s">
        <v>754</v>
      </c>
      <c r="D1237" s="148" t="s">
        <v>755</v>
      </c>
      <c r="E1237" s="143"/>
      <c r="F1237" s="3" t="s">
        <v>224</v>
      </c>
      <c r="G1237" s="27">
        <v>2</v>
      </c>
      <c r="H1237" s="27">
        <v>0</v>
      </c>
      <c r="I1237" s="27">
        <f t="shared" si="288"/>
        <v>0</v>
      </c>
      <c r="J1237" s="27">
        <f t="shared" si="289"/>
        <v>0</v>
      </c>
      <c r="K1237" s="27">
        <f t="shared" si="290"/>
        <v>0</v>
      </c>
      <c r="L1237" s="28" t="s">
        <v>52</v>
      </c>
      <c r="Z1237" s="27">
        <f t="shared" si="291"/>
        <v>0</v>
      </c>
      <c r="AB1237" s="27">
        <f t="shared" si="292"/>
        <v>0</v>
      </c>
      <c r="AC1237" s="27">
        <f t="shared" si="293"/>
        <v>0</v>
      </c>
      <c r="AD1237" s="27">
        <f t="shared" si="294"/>
        <v>0</v>
      </c>
      <c r="AE1237" s="27">
        <f t="shared" si="295"/>
        <v>0</v>
      </c>
      <c r="AF1237" s="27">
        <f t="shared" si="296"/>
        <v>0</v>
      </c>
      <c r="AG1237" s="27">
        <f t="shared" si="297"/>
        <v>0</v>
      </c>
      <c r="AH1237" s="27">
        <f t="shared" si="298"/>
        <v>0</v>
      </c>
      <c r="AI1237" s="9" t="s">
        <v>1762</v>
      </c>
      <c r="AJ1237" s="27">
        <f t="shared" si="299"/>
        <v>0</v>
      </c>
      <c r="AK1237" s="27">
        <f t="shared" si="300"/>
        <v>0</v>
      </c>
      <c r="AL1237" s="27">
        <f t="shared" si="301"/>
        <v>0</v>
      </c>
      <c r="AN1237" s="27">
        <v>21</v>
      </c>
      <c r="AO1237" s="27">
        <f t="shared" si="302"/>
        <v>0</v>
      </c>
      <c r="AP1237" s="27">
        <f t="shared" si="303"/>
        <v>0</v>
      </c>
      <c r="AQ1237" s="29" t="s">
        <v>84</v>
      </c>
      <c r="AV1237" s="27">
        <f t="shared" si="304"/>
        <v>0</v>
      </c>
      <c r="AW1237" s="27">
        <f t="shared" si="305"/>
        <v>0</v>
      </c>
      <c r="AX1237" s="27">
        <f t="shared" si="306"/>
        <v>0</v>
      </c>
      <c r="AY1237" s="29" t="s">
        <v>704</v>
      </c>
      <c r="AZ1237" s="29" t="s">
        <v>1765</v>
      </c>
      <c r="BA1237" s="9" t="s">
        <v>1766</v>
      </c>
      <c r="BC1237" s="27">
        <f t="shared" si="307"/>
        <v>0</v>
      </c>
      <c r="BD1237" s="27">
        <f t="shared" si="308"/>
        <v>0</v>
      </c>
      <c r="BE1237" s="27">
        <v>0</v>
      </c>
      <c r="BF1237" s="27">
        <f>1237</f>
        <v>1237</v>
      </c>
      <c r="BH1237" s="27">
        <f t="shared" si="309"/>
        <v>0</v>
      </c>
      <c r="BI1237" s="27">
        <f t="shared" si="310"/>
        <v>0</v>
      </c>
      <c r="BJ1237" s="27">
        <f t="shared" si="311"/>
        <v>0</v>
      </c>
      <c r="BK1237" s="27"/>
      <c r="BL1237" s="27">
        <v>722</v>
      </c>
      <c r="BW1237" s="27">
        <v>21</v>
      </c>
    </row>
    <row r="1238" spans="1:75" ht="13.5" customHeight="1">
      <c r="A1238" s="2" t="s">
        <v>1803</v>
      </c>
      <c r="B1238" s="3" t="s">
        <v>1762</v>
      </c>
      <c r="C1238" s="3" t="s">
        <v>760</v>
      </c>
      <c r="D1238" s="148" t="s">
        <v>761</v>
      </c>
      <c r="E1238" s="143"/>
      <c r="F1238" s="3" t="s">
        <v>762</v>
      </c>
      <c r="G1238" s="27">
        <v>1</v>
      </c>
      <c r="H1238" s="27">
        <v>0</v>
      </c>
      <c r="I1238" s="27">
        <f t="shared" si="288"/>
        <v>0</v>
      </c>
      <c r="J1238" s="27">
        <f t="shared" si="289"/>
        <v>0</v>
      </c>
      <c r="K1238" s="27">
        <f t="shared" si="290"/>
        <v>0</v>
      </c>
      <c r="L1238" s="28" t="s">
        <v>52</v>
      </c>
      <c r="Z1238" s="27">
        <f t="shared" si="291"/>
        <v>0</v>
      </c>
      <c r="AB1238" s="27">
        <f t="shared" si="292"/>
        <v>0</v>
      </c>
      <c r="AC1238" s="27">
        <f t="shared" si="293"/>
        <v>0</v>
      </c>
      <c r="AD1238" s="27">
        <f t="shared" si="294"/>
        <v>0</v>
      </c>
      <c r="AE1238" s="27">
        <f t="shared" si="295"/>
        <v>0</v>
      </c>
      <c r="AF1238" s="27">
        <f t="shared" si="296"/>
        <v>0</v>
      </c>
      <c r="AG1238" s="27">
        <f t="shared" si="297"/>
        <v>0</v>
      </c>
      <c r="AH1238" s="27">
        <f t="shared" si="298"/>
        <v>0</v>
      </c>
      <c r="AI1238" s="9" t="s">
        <v>1762</v>
      </c>
      <c r="AJ1238" s="27">
        <f t="shared" si="299"/>
        <v>0</v>
      </c>
      <c r="AK1238" s="27">
        <f t="shared" si="300"/>
        <v>0</v>
      </c>
      <c r="AL1238" s="27">
        <f t="shared" si="301"/>
        <v>0</v>
      </c>
      <c r="AN1238" s="27">
        <v>21</v>
      </c>
      <c r="AO1238" s="27">
        <f t="shared" si="302"/>
        <v>0</v>
      </c>
      <c r="AP1238" s="27">
        <f t="shared" si="303"/>
        <v>0</v>
      </c>
      <c r="AQ1238" s="29" t="s">
        <v>84</v>
      </c>
      <c r="AV1238" s="27">
        <f t="shared" si="304"/>
        <v>0</v>
      </c>
      <c r="AW1238" s="27">
        <f t="shared" si="305"/>
        <v>0</v>
      </c>
      <c r="AX1238" s="27">
        <f t="shared" si="306"/>
        <v>0</v>
      </c>
      <c r="AY1238" s="29" t="s">
        <v>704</v>
      </c>
      <c r="AZ1238" s="29" t="s">
        <v>1765</v>
      </c>
      <c r="BA1238" s="9" t="s">
        <v>1766</v>
      </c>
      <c r="BC1238" s="27">
        <f t="shared" si="307"/>
        <v>0</v>
      </c>
      <c r="BD1238" s="27">
        <f t="shared" si="308"/>
        <v>0</v>
      </c>
      <c r="BE1238" s="27">
        <v>0</v>
      </c>
      <c r="BF1238" s="27">
        <f>1238</f>
        <v>1238</v>
      </c>
      <c r="BH1238" s="27">
        <f t="shared" si="309"/>
        <v>0</v>
      </c>
      <c r="BI1238" s="27">
        <f t="shared" si="310"/>
        <v>0</v>
      </c>
      <c r="BJ1238" s="27">
        <f t="shared" si="311"/>
        <v>0</v>
      </c>
      <c r="BK1238" s="27"/>
      <c r="BL1238" s="27">
        <v>722</v>
      </c>
      <c r="BW1238" s="27">
        <v>21</v>
      </c>
    </row>
    <row r="1239" spans="1:75" ht="13.5" customHeight="1">
      <c r="A1239" s="2" t="s">
        <v>1804</v>
      </c>
      <c r="B1239" s="3" t="s">
        <v>1762</v>
      </c>
      <c r="C1239" s="3" t="s">
        <v>764</v>
      </c>
      <c r="D1239" s="148" t="s">
        <v>765</v>
      </c>
      <c r="E1239" s="143"/>
      <c r="F1239" s="3" t="s">
        <v>126</v>
      </c>
      <c r="G1239" s="27">
        <v>19</v>
      </c>
      <c r="H1239" s="27">
        <v>0</v>
      </c>
      <c r="I1239" s="27">
        <f t="shared" si="288"/>
        <v>0</v>
      </c>
      <c r="J1239" s="27">
        <f t="shared" si="289"/>
        <v>0</v>
      </c>
      <c r="K1239" s="27">
        <f t="shared" si="290"/>
        <v>0</v>
      </c>
      <c r="L1239" s="28" t="s">
        <v>52</v>
      </c>
      <c r="Z1239" s="27">
        <f t="shared" si="291"/>
        <v>0</v>
      </c>
      <c r="AB1239" s="27">
        <f t="shared" si="292"/>
        <v>0</v>
      </c>
      <c r="AC1239" s="27">
        <f t="shared" si="293"/>
        <v>0</v>
      </c>
      <c r="AD1239" s="27">
        <f t="shared" si="294"/>
        <v>0</v>
      </c>
      <c r="AE1239" s="27">
        <f t="shared" si="295"/>
        <v>0</v>
      </c>
      <c r="AF1239" s="27">
        <f t="shared" si="296"/>
        <v>0</v>
      </c>
      <c r="AG1239" s="27">
        <f t="shared" si="297"/>
        <v>0</v>
      </c>
      <c r="AH1239" s="27">
        <f t="shared" si="298"/>
        <v>0</v>
      </c>
      <c r="AI1239" s="9" t="s">
        <v>1762</v>
      </c>
      <c r="AJ1239" s="27">
        <f t="shared" si="299"/>
        <v>0</v>
      </c>
      <c r="AK1239" s="27">
        <f t="shared" si="300"/>
        <v>0</v>
      </c>
      <c r="AL1239" s="27">
        <f t="shared" si="301"/>
        <v>0</v>
      </c>
      <c r="AN1239" s="27">
        <v>21</v>
      </c>
      <c r="AO1239" s="27">
        <f t="shared" si="302"/>
        <v>0</v>
      </c>
      <c r="AP1239" s="27">
        <f t="shared" si="303"/>
        <v>0</v>
      </c>
      <c r="AQ1239" s="29" t="s">
        <v>84</v>
      </c>
      <c r="AV1239" s="27">
        <f t="shared" si="304"/>
        <v>0</v>
      </c>
      <c r="AW1239" s="27">
        <f t="shared" si="305"/>
        <v>0</v>
      </c>
      <c r="AX1239" s="27">
        <f t="shared" si="306"/>
        <v>0</v>
      </c>
      <c r="AY1239" s="29" t="s">
        <v>704</v>
      </c>
      <c r="AZ1239" s="29" t="s">
        <v>1765</v>
      </c>
      <c r="BA1239" s="9" t="s">
        <v>1766</v>
      </c>
      <c r="BC1239" s="27">
        <f t="shared" si="307"/>
        <v>0</v>
      </c>
      <c r="BD1239" s="27">
        <f t="shared" si="308"/>
        <v>0</v>
      </c>
      <c r="BE1239" s="27">
        <v>0</v>
      </c>
      <c r="BF1239" s="27">
        <f>1239</f>
        <v>1239</v>
      </c>
      <c r="BH1239" s="27">
        <f t="shared" si="309"/>
        <v>0</v>
      </c>
      <c r="BI1239" s="27">
        <f t="shared" si="310"/>
        <v>0</v>
      </c>
      <c r="BJ1239" s="27">
        <f t="shared" si="311"/>
        <v>0</v>
      </c>
      <c r="BK1239" s="27"/>
      <c r="BL1239" s="27">
        <v>722</v>
      </c>
      <c r="BW1239" s="27">
        <v>21</v>
      </c>
    </row>
    <row r="1240" spans="1:75" ht="13.5" customHeight="1">
      <c r="A1240" s="2" t="s">
        <v>1805</v>
      </c>
      <c r="B1240" s="3" t="s">
        <v>1762</v>
      </c>
      <c r="C1240" s="3" t="s">
        <v>767</v>
      </c>
      <c r="D1240" s="148" t="s">
        <v>768</v>
      </c>
      <c r="E1240" s="143"/>
      <c r="F1240" s="3" t="s">
        <v>126</v>
      </c>
      <c r="G1240" s="27">
        <v>11</v>
      </c>
      <c r="H1240" s="27">
        <v>0</v>
      </c>
      <c r="I1240" s="27">
        <f t="shared" si="288"/>
        <v>0</v>
      </c>
      <c r="J1240" s="27">
        <f t="shared" si="289"/>
        <v>0</v>
      </c>
      <c r="K1240" s="27">
        <f t="shared" si="290"/>
        <v>0</v>
      </c>
      <c r="L1240" s="28" t="s">
        <v>52</v>
      </c>
      <c r="Z1240" s="27">
        <f t="shared" si="291"/>
        <v>0</v>
      </c>
      <c r="AB1240" s="27">
        <f t="shared" si="292"/>
        <v>0</v>
      </c>
      <c r="AC1240" s="27">
        <f t="shared" si="293"/>
        <v>0</v>
      </c>
      <c r="AD1240" s="27">
        <f t="shared" si="294"/>
        <v>0</v>
      </c>
      <c r="AE1240" s="27">
        <f t="shared" si="295"/>
        <v>0</v>
      </c>
      <c r="AF1240" s="27">
        <f t="shared" si="296"/>
        <v>0</v>
      </c>
      <c r="AG1240" s="27">
        <f t="shared" si="297"/>
        <v>0</v>
      </c>
      <c r="AH1240" s="27">
        <f t="shared" si="298"/>
        <v>0</v>
      </c>
      <c r="AI1240" s="9" t="s">
        <v>1762</v>
      </c>
      <c r="AJ1240" s="27">
        <f t="shared" si="299"/>
        <v>0</v>
      </c>
      <c r="AK1240" s="27">
        <f t="shared" si="300"/>
        <v>0</v>
      </c>
      <c r="AL1240" s="27">
        <f t="shared" si="301"/>
        <v>0</v>
      </c>
      <c r="AN1240" s="27">
        <v>21</v>
      </c>
      <c r="AO1240" s="27">
        <f t="shared" si="302"/>
        <v>0</v>
      </c>
      <c r="AP1240" s="27">
        <f t="shared" si="303"/>
        <v>0</v>
      </c>
      <c r="AQ1240" s="29" t="s">
        <v>84</v>
      </c>
      <c r="AV1240" s="27">
        <f t="shared" si="304"/>
        <v>0</v>
      </c>
      <c r="AW1240" s="27">
        <f t="shared" si="305"/>
        <v>0</v>
      </c>
      <c r="AX1240" s="27">
        <f t="shared" si="306"/>
        <v>0</v>
      </c>
      <c r="AY1240" s="29" t="s">
        <v>704</v>
      </c>
      <c r="AZ1240" s="29" t="s">
        <v>1765</v>
      </c>
      <c r="BA1240" s="9" t="s">
        <v>1766</v>
      </c>
      <c r="BC1240" s="27">
        <f t="shared" si="307"/>
        <v>0</v>
      </c>
      <c r="BD1240" s="27">
        <f t="shared" si="308"/>
        <v>0</v>
      </c>
      <c r="BE1240" s="27">
        <v>0</v>
      </c>
      <c r="BF1240" s="27">
        <f>1240</f>
        <v>1240</v>
      </c>
      <c r="BH1240" s="27">
        <f t="shared" si="309"/>
        <v>0</v>
      </c>
      <c r="BI1240" s="27">
        <f t="shared" si="310"/>
        <v>0</v>
      </c>
      <c r="BJ1240" s="27">
        <f t="shared" si="311"/>
        <v>0</v>
      </c>
      <c r="BK1240" s="27"/>
      <c r="BL1240" s="27">
        <v>722</v>
      </c>
      <c r="BW1240" s="27">
        <v>21</v>
      </c>
    </row>
    <row r="1241" spans="1:75" ht="13.5" customHeight="1">
      <c r="A1241" s="2" t="s">
        <v>1806</v>
      </c>
      <c r="B1241" s="3" t="s">
        <v>1762</v>
      </c>
      <c r="C1241" s="3" t="s">
        <v>770</v>
      </c>
      <c r="D1241" s="148" t="s">
        <v>771</v>
      </c>
      <c r="E1241" s="143"/>
      <c r="F1241" s="3" t="s">
        <v>126</v>
      </c>
      <c r="G1241" s="27">
        <v>19</v>
      </c>
      <c r="H1241" s="27">
        <v>0</v>
      </c>
      <c r="I1241" s="27">
        <f t="shared" si="288"/>
        <v>0</v>
      </c>
      <c r="J1241" s="27">
        <f t="shared" si="289"/>
        <v>0</v>
      </c>
      <c r="K1241" s="27">
        <f t="shared" si="290"/>
        <v>0</v>
      </c>
      <c r="L1241" s="28" t="s">
        <v>52</v>
      </c>
      <c r="Z1241" s="27">
        <f t="shared" si="291"/>
        <v>0</v>
      </c>
      <c r="AB1241" s="27">
        <f t="shared" si="292"/>
        <v>0</v>
      </c>
      <c r="AC1241" s="27">
        <f t="shared" si="293"/>
        <v>0</v>
      </c>
      <c r="AD1241" s="27">
        <f t="shared" si="294"/>
        <v>0</v>
      </c>
      <c r="AE1241" s="27">
        <f t="shared" si="295"/>
        <v>0</v>
      </c>
      <c r="AF1241" s="27">
        <f t="shared" si="296"/>
        <v>0</v>
      </c>
      <c r="AG1241" s="27">
        <f t="shared" si="297"/>
        <v>0</v>
      </c>
      <c r="AH1241" s="27">
        <f t="shared" si="298"/>
        <v>0</v>
      </c>
      <c r="AI1241" s="9" t="s">
        <v>1762</v>
      </c>
      <c r="AJ1241" s="27">
        <f t="shared" si="299"/>
        <v>0</v>
      </c>
      <c r="AK1241" s="27">
        <f t="shared" si="300"/>
        <v>0</v>
      </c>
      <c r="AL1241" s="27">
        <f t="shared" si="301"/>
        <v>0</v>
      </c>
      <c r="AN1241" s="27">
        <v>21</v>
      </c>
      <c r="AO1241" s="27">
        <f t="shared" si="302"/>
        <v>0</v>
      </c>
      <c r="AP1241" s="27">
        <f t="shared" si="303"/>
        <v>0</v>
      </c>
      <c r="AQ1241" s="29" t="s">
        <v>84</v>
      </c>
      <c r="AV1241" s="27">
        <f t="shared" si="304"/>
        <v>0</v>
      </c>
      <c r="AW1241" s="27">
        <f t="shared" si="305"/>
        <v>0</v>
      </c>
      <c r="AX1241" s="27">
        <f t="shared" si="306"/>
        <v>0</v>
      </c>
      <c r="AY1241" s="29" t="s">
        <v>704</v>
      </c>
      <c r="AZ1241" s="29" t="s">
        <v>1765</v>
      </c>
      <c r="BA1241" s="9" t="s">
        <v>1766</v>
      </c>
      <c r="BC1241" s="27">
        <f t="shared" si="307"/>
        <v>0</v>
      </c>
      <c r="BD1241" s="27">
        <f t="shared" si="308"/>
        <v>0</v>
      </c>
      <c r="BE1241" s="27">
        <v>0</v>
      </c>
      <c r="BF1241" s="27">
        <f>1241</f>
        <v>1241</v>
      </c>
      <c r="BH1241" s="27">
        <f t="shared" si="309"/>
        <v>0</v>
      </c>
      <c r="BI1241" s="27">
        <f t="shared" si="310"/>
        <v>0</v>
      </c>
      <c r="BJ1241" s="27">
        <f t="shared" si="311"/>
        <v>0</v>
      </c>
      <c r="BK1241" s="27"/>
      <c r="BL1241" s="27">
        <v>722</v>
      </c>
      <c r="BW1241" s="27">
        <v>21</v>
      </c>
    </row>
    <row r="1242" spans="1:75" ht="13.5" customHeight="1">
      <c r="A1242" s="2" t="s">
        <v>1807</v>
      </c>
      <c r="B1242" s="3" t="s">
        <v>1762</v>
      </c>
      <c r="C1242" s="3" t="s">
        <v>773</v>
      </c>
      <c r="D1242" s="148" t="s">
        <v>774</v>
      </c>
      <c r="E1242" s="143"/>
      <c r="F1242" s="3" t="s">
        <v>546</v>
      </c>
      <c r="G1242" s="27">
        <v>2</v>
      </c>
      <c r="H1242" s="27">
        <v>0</v>
      </c>
      <c r="I1242" s="27">
        <f t="shared" si="288"/>
        <v>0</v>
      </c>
      <c r="J1242" s="27">
        <f t="shared" si="289"/>
        <v>0</v>
      </c>
      <c r="K1242" s="27">
        <f t="shared" si="290"/>
        <v>0</v>
      </c>
      <c r="L1242" s="28" t="s">
        <v>52</v>
      </c>
      <c r="Z1242" s="27">
        <f t="shared" si="291"/>
        <v>0</v>
      </c>
      <c r="AB1242" s="27">
        <f t="shared" si="292"/>
        <v>0</v>
      </c>
      <c r="AC1242" s="27">
        <f t="shared" si="293"/>
        <v>0</v>
      </c>
      <c r="AD1242" s="27">
        <f t="shared" si="294"/>
        <v>0</v>
      </c>
      <c r="AE1242" s="27">
        <f t="shared" si="295"/>
        <v>0</v>
      </c>
      <c r="AF1242" s="27">
        <f t="shared" si="296"/>
        <v>0</v>
      </c>
      <c r="AG1242" s="27">
        <f t="shared" si="297"/>
        <v>0</v>
      </c>
      <c r="AH1242" s="27">
        <f t="shared" si="298"/>
        <v>0</v>
      </c>
      <c r="AI1242" s="9" t="s">
        <v>1762</v>
      </c>
      <c r="AJ1242" s="27">
        <f t="shared" si="299"/>
        <v>0</v>
      </c>
      <c r="AK1242" s="27">
        <f t="shared" si="300"/>
        <v>0</v>
      </c>
      <c r="AL1242" s="27">
        <f t="shared" si="301"/>
        <v>0</v>
      </c>
      <c r="AN1242" s="27">
        <v>21</v>
      </c>
      <c r="AO1242" s="27">
        <f t="shared" si="302"/>
        <v>0</v>
      </c>
      <c r="AP1242" s="27">
        <f t="shared" si="303"/>
        <v>0</v>
      </c>
      <c r="AQ1242" s="29" t="s">
        <v>84</v>
      </c>
      <c r="AV1242" s="27">
        <f t="shared" si="304"/>
        <v>0</v>
      </c>
      <c r="AW1242" s="27">
        <f t="shared" si="305"/>
        <v>0</v>
      </c>
      <c r="AX1242" s="27">
        <f t="shared" si="306"/>
        <v>0</v>
      </c>
      <c r="AY1242" s="29" t="s">
        <v>704</v>
      </c>
      <c r="AZ1242" s="29" t="s">
        <v>1765</v>
      </c>
      <c r="BA1242" s="9" t="s">
        <v>1766</v>
      </c>
      <c r="BC1242" s="27">
        <f t="shared" si="307"/>
        <v>0</v>
      </c>
      <c r="BD1242" s="27">
        <f t="shared" si="308"/>
        <v>0</v>
      </c>
      <c r="BE1242" s="27">
        <v>0</v>
      </c>
      <c r="BF1242" s="27">
        <f>1242</f>
        <v>1242</v>
      </c>
      <c r="BH1242" s="27">
        <f t="shared" si="309"/>
        <v>0</v>
      </c>
      <c r="BI1242" s="27">
        <f t="shared" si="310"/>
        <v>0</v>
      </c>
      <c r="BJ1242" s="27">
        <f t="shared" si="311"/>
        <v>0</v>
      </c>
      <c r="BK1242" s="27"/>
      <c r="BL1242" s="27">
        <v>722</v>
      </c>
      <c r="BW1242" s="27">
        <v>21</v>
      </c>
    </row>
    <row r="1243" spans="1:75" ht="13.5" customHeight="1">
      <c r="A1243" s="2" t="s">
        <v>1808</v>
      </c>
      <c r="B1243" s="3" t="s">
        <v>1762</v>
      </c>
      <c r="C1243" s="3" t="s">
        <v>776</v>
      </c>
      <c r="D1243" s="148" t="s">
        <v>777</v>
      </c>
      <c r="E1243" s="143"/>
      <c r="F1243" s="3" t="s">
        <v>546</v>
      </c>
      <c r="G1243" s="27">
        <v>3</v>
      </c>
      <c r="H1243" s="27">
        <v>0</v>
      </c>
      <c r="I1243" s="27">
        <f t="shared" si="288"/>
        <v>0</v>
      </c>
      <c r="J1243" s="27">
        <f t="shared" si="289"/>
        <v>0</v>
      </c>
      <c r="K1243" s="27">
        <f t="shared" si="290"/>
        <v>0</v>
      </c>
      <c r="L1243" s="28" t="s">
        <v>52</v>
      </c>
      <c r="Z1243" s="27">
        <f t="shared" si="291"/>
        <v>0</v>
      </c>
      <c r="AB1243" s="27">
        <f t="shared" si="292"/>
        <v>0</v>
      </c>
      <c r="AC1243" s="27">
        <f t="shared" si="293"/>
        <v>0</v>
      </c>
      <c r="AD1243" s="27">
        <f t="shared" si="294"/>
        <v>0</v>
      </c>
      <c r="AE1243" s="27">
        <f t="shared" si="295"/>
        <v>0</v>
      </c>
      <c r="AF1243" s="27">
        <f t="shared" si="296"/>
        <v>0</v>
      </c>
      <c r="AG1243" s="27">
        <f t="shared" si="297"/>
        <v>0</v>
      </c>
      <c r="AH1243" s="27">
        <f t="shared" si="298"/>
        <v>0</v>
      </c>
      <c r="AI1243" s="9" t="s">
        <v>1762</v>
      </c>
      <c r="AJ1243" s="27">
        <f t="shared" si="299"/>
        <v>0</v>
      </c>
      <c r="AK1243" s="27">
        <f t="shared" si="300"/>
        <v>0</v>
      </c>
      <c r="AL1243" s="27">
        <f t="shared" si="301"/>
        <v>0</v>
      </c>
      <c r="AN1243" s="27">
        <v>21</v>
      </c>
      <c r="AO1243" s="27">
        <f t="shared" si="302"/>
        <v>0</v>
      </c>
      <c r="AP1243" s="27">
        <f t="shared" si="303"/>
        <v>0</v>
      </c>
      <c r="AQ1243" s="29" t="s">
        <v>84</v>
      </c>
      <c r="AV1243" s="27">
        <f t="shared" si="304"/>
        <v>0</v>
      </c>
      <c r="AW1243" s="27">
        <f t="shared" si="305"/>
        <v>0</v>
      </c>
      <c r="AX1243" s="27">
        <f t="shared" si="306"/>
        <v>0</v>
      </c>
      <c r="AY1243" s="29" t="s">
        <v>704</v>
      </c>
      <c r="AZ1243" s="29" t="s">
        <v>1765</v>
      </c>
      <c r="BA1243" s="9" t="s">
        <v>1766</v>
      </c>
      <c r="BC1243" s="27">
        <f t="shared" si="307"/>
        <v>0</v>
      </c>
      <c r="BD1243" s="27">
        <f t="shared" si="308"/>
        <v>0</v>
      </c>
      <c r="BE1243" s="27">
        <v>0</v>
      </c>
      <c r="BF1243" s="27">
        <f>1243</f>
        <v>1243</v>
      </c>
      <c r="BH1243" s="27">
        <f t="shared" si="309"/>
        <v>0</v>
      </c>
      <c r="BI1243" s="27">
        <f t="shared" si="310"/>
        <v>0</v>
      </c>
      <c r="BJ1243" s="27">
        <f t="shared" si="311"/>
        <v>0</v>
      </c>
      <c r="BK1243" s="27"/>
      <c r="BL1243" s="27">
        <v>722</v>
      </c>
      <c r="BW1243" s="27">
        <v>21</v>
      </c>
    </row>
    <row r="1244" spans="1:47" ht="15">
      <c r="A1244" s="23" t="s">
        <v>52</v>
      </c>
      <c r="B1244" s="24" t="s">
        <v>1762</v>
      </c>
      <c r="C1244" s="24" t="s">
        <v>209</v>
      </c>
      <c r="D1244" s="164" t="s">
        <v>210</v>
      </c>
      <c r="E1244" s="165"/>
      <c r="F1244" s="25" t="s">
        <v>4</v>
      </c>
      <c r="G1244" s="25" t="s">
        <v>4</v>
      </c>
      <c r="H1244" s="25" t="s">
        <v>4</v>
      </c>
      <c r="I1244" s="1">
        <f>SUM(I1245:I1262)</f>
        <v>0</v>
      </c>
      <c r="J1244" s="1">
        <f>SUM(J1245:J1262)</f>
        <v>0</v>
      </c>
      <c r="K1244" s="1">
        <f>SUM(K1245:K1262)</f>
        <v>0</v>
      </c>
      <c r="L1244" s="26" t="s">
        <v>52</v>
      </c>
      <c r="AI1244" s="9" t="s">
        <v>1762</v>
      </c>
      <c r="AS1244" s="1">
        <f>SUM(AJ1245:AJ1262)</f>
        <v>0</v>
      </c>
      <c r="AT1244" s="1">
        <f>SUM(AK1245:AK1262)</f>
        <v>0</v>
      </c>
      <c r="AU1244" s="1">
        <f>SUM(AL1245:AL1262)</f>
        <v>0</v>
      </c>
    </row>
    <row r="1245" spans="1:75" ht="13.5" customHeight="1">
      <c r="A1245" s="2" t="s">
        <v>1809</v>
      </c>
      <c r="B1245" s="3" t="s">
        <v>1762</v>
      </c>
      <c r="C1245" s="3" t="s">
        <v>782</v>
      </c>
      <c r="D1245" s="148" t="s">
        <v>783</v>
      </c>
      <c r="E1245" s="143"/>
      <c r="F1245" s="3" t="s">
        <v>224</v>
      </c>
      <c r="G1245" s="27">
        <v>1</v>
      </c>
      <c r="H1245" s="27">
        <v>0</v>
      </c>
      <c r="I1245" s="27">
        <f aca="true" t="shared" si="312" ref="I1245:I1262">G1245*AO1245</f>
        <v>0</v>
      </c>
      <c r="J1245" s="27">
        <f aca="true" t="shared" si="313" ref="J1245:J1262">G1245*AP1245</f>
        <v>0</v>
      </c>
      <c r="K1245" s="27">
        <f aca="true" t="shared" si="314" ref="K1245:K1262">G1245*H1245</f>
        <v>0</v>
      </c>
      <c r="L1245" s="28" t="s">
        <v>52</v>
      </c>
      <c r="Z1245" s="27">
        <f aca="true" t="shared" si="315" ref="Z1245:Z1262">IF(AQ1245="5",BJ1245,0)</f>
        <v>0</v>
      </c>
      <c r="AB1245" s="27">
        <f aca="true" t="shared" si="316" ref="AB1245:AB1262">IF(AQ1245="1",BH1245,0)</f>
        <v>0</v>
      </c>
      <c r="AC1245" s="27">
        <f aca="true" t="shared" si="317" ref="AC1245:AC1262">IF(AQ1245="1",BI1245,0)</f>
        <v>0</v>
      </c>
      <c r="AD1245" s="27">
        <f aca="true" t="shared" si="318" ref="AD1245:AD1262">IF(AQ1245="7",BH1245,0)</f>
        <v>0</v>
      </c>
      <c r="AE1245" s="27">
        <f aca="true" t="shared" si="319" ref="AE1245:AE1262">IF(AQ1245="7",BI1245,0)</f>
        <v>0</v>
      </c>
      <c r="AF1245" s="27">
        <f aca="true" t="shared" si="320" ref="AF1245:AF1262">IF(AQ1245="2",BH1245,0)</f>
        <v>0</v>
      </c>
      <c r="AG1245" s="27">
        <f aca="true" t="shared" si="321" ref="AG1245:AG1262">IF(AQ1245="2",BI1245,0)</f>
        <v>0</v>
      </c>
      <c r="AH1245" s="27">
        <f aca="true" t="shared" si="322" ref="AH1245:AH1262">IF(AQ1245="0",BJ1245,0)</f>
        <v>0</v>
      </c>
      <c r="AI1245" s="9" t="s">
        <v>1762</v>
      </c>
      <c r="AJ1245" s="27">
        <f aca="true" t="shared" si="323" ref="AJ1245:AJ1262">IF(AN1245=0,K1245,0)</f>
        <v>0</v>
      </c>
      <c r="AK1245" s="27">
        <f aca="true" t="shared" si="324" ref="AK1245:AK1262">IF(AN1245=12,K1245,0)</f>
        <v>0</v>
      </c>
      <c r="AL1245" s="27">
        <f aca="true" t="shared" si="325" ref="AL1245:AL1262">IF(AN1245=21,K1245,0)</f>
        <v>0</v>
      </c>
      <c r="AN1245" s="27">
        <v>21</v>
      </c>
      <c r="AO1245" s="27">
        <f aca="true" t="shared" si="326" ref="AO1245:AO1262">H1245*0</f>
        <v>0</v>
      </c>
      <c r="AP1245" s="27">
        <f aca="true" t="shared" si="327" ref="AP1245:AP1262">H1245*(1-0)</f>
        <v>0</v>
      </c>
      <c r="AQ1245" s="29" t="s">
        <v>84</v>
      </c>
      <c r="AV1245" s="27">
        <f aca="true" t="shared" si="328" ref="AV1245:AV1262">AW1245+AX1245</f>
        <v>0</v>
      </c>
      <c r="AW1245" s="27">
        <f aca="true" t="shared" si="329" ref="AW1245:AW1262">G1245*AO1245</f>
        <v>0</v>
      </c>
      <c r="AX1245" s="27">
        <f aca="true" t="shared" si="330" ref="AX1245:AX1262">G1245*AP1245</f>
        <v>0</v>
      </c>
      <c r="AY1245" s="29" t="s">
        <v>214</v>
      </c>
      <c r="AZ1245" s="29" t="s">
        <v>1765</v>
      </c>
      <c r="BA1245" s="9" t="s">
        <v>1766</v>
      </c>
      <c r="BC1245" s="27">
        <f aca="true" t="shared" si="331" ref="BC1245:BC1262">AW1245+AX1245</f>
        <v>0</v>
      </c>
      <c r="BD1245" s="27">
        <f aca="true" t="shared" si="332" ref="BD1245:BD1262">H1245/(100-BE1245)*100</f>
        <v>0</v>
      </c>
      <c r="BE1245" s="27">
        <v>0</v>
      </c>
      <c r="BF1245" s="27">
        <f>1245</f>
        <v>1245</v>
      </c>
      <c r="BH1245" s="27">
        <f aca="true" t="shared" si="333" ref="BH1245:BH1262">G1245*AO1245</f>
        <v>0</v>
      </c>
      <c r="BI1245" s="27">
        <f aca="true" t="shared" si="334" ref="BI1245:BI1262">G1245*AP1245</f>
        <v>0</v>
      </c>
      <c r="BJ1245" s="27">
        <f aca="true" t="shared" si="335" ref="BJ1245:BJ1262">G1245*H1245</f>
        <v>0</v>
      </c>
      <c r="BK1245" s="27"/>
      <c r="BL1245" s="27">
        <v>725</v>
      </c>
      <c r="BW1245" s="27">
        <v>21</v>
      </c>
    </row>
    <row r="1246" spans="1:75" ht="13.5" customHeight="1">
      <c r="A1246" s="2" t="s">
        <v>1810</v>
      </c>
      <c r="B1246" s="3" t="s">
        <v>1762</v>
      </c>
      <c r="C1246" s="3" t="s">
        <v>785</v>
      </c>
      <c r="D1246" s="148" t="s">
        <v>786</v>
      </c>
      <c r="E1246" s="143"/>
      <c r="F1246" s="3" t="s">
        <v>224</v>
      </c>
      <c r="G1246" s="27">
        <v>1</v>
      </c>
      <c r="H1246" s="27">
        <v>0</v>
      </c>
      <c r="I1246" s="27">
        <f t="shared" si="312"/>
        <v>0</v>
      </c>
      <c r="J1246" s="27">
        <f t="shared" si="313"/>
        <v>0</v>
      </c>
      <c r="K1246" s="27">
        <f t="shared" si="314"/>
        <v>0</v>
      </c>
      <c r="L1246" s="28" t="s">
        <v>52</v>
      </c>
      <c r="Z1246" s="27">
        <f t="shared" si="315"/>
        <v>0</v>
      </c>
      <c r="AB1246" s="27">
        <f t="shared" si="316"/>
        <v>0</v>
      </c>
      <c r="AC1246" s="27">
        <f t="shared" si="317"/>
        <v>0</v>
      </c>
      <c r="AD1246" s="27">
        <f t="shared" si="318"/>
        <v>0</v>
      </c>
      <c r="AE1246" s="27">
        <f t="shared" si="319"/>
        <v>0</v>
      </c>
      <c r="AF1246" s="27">
        <f t="shared" si="320"/>
        <v>0</v>
      </c>
      <c r="AG1246" s="27">
        <f t="shared" si="321"/>
        <v>0</v>
      </c>
      <c r="AH1246" s="27">
        <f t="shared" si="322"/>
        <v>0</v>
      </c>
      <c r="AI1246" s="9" t="s">
        <v>1762</v>
      </c>
      <c r="AJ1246" s="27">
        <f t="shared" si="323"/>
        <v>0</v>
      </c>
      <c r="AK1246" s="27">
        <f t="shared" si="324"/>
        <v>0</v>
      </c>
      <c r="AL1246" s="27">
        <f t="shared" si="325"/>
        <v>0</v>
      </c>
      <c r="AN1246" s="27">
        <v>21</v>
      </c>
      <c r="AO1246" s="27">
        <f t="shared" si="326"/>
        <v>0</v>
      </c>
      <c r="AP1246" s="27">
        <f t="shared" si="327"/>
        <v>0</v>
      </c>
      <c r="AQ1246" s="29" t="s">
        <v>84</v>
      </c>
      <c r="AV1246" s="27">
        <f t="shared" si="328"/>
        <v>0</v>
      </c>
      <c r="AW1246" s="27">
        <f t="shared" si="329"/>
        <v>0</v>
      </c>
      <c r="AX1246" s="27">
        <f t="shared" si="330"/>
        <v>0</v>
      </c>
      <c r="AY1246" s="29" t="s">
        <v>214</v>
      </c>
      <c r="AZ1246" s="29" t="s">
        <v>1765</v>
      </c>
      <c r="BA1246" s="9" t="s">
        <v>1766</v>
      </c>
      <c r="BC1246" s="27">
        <f t="shared" si="331"/>
        <v>0</v>
      </c>
      <c r="BD1246" s="27">
        <f t="shared" si="332"/>
        <v>0</v>
      </c>
      <c r="BE1246" s="27">
        <v>0</v>
      </c>
      <c r="BF1246" s="27">
        <f>1246</f>
        <v>1246</v>
      </c>
      <c r="BH1246" s="27">
        <f t="shared" si="333"/>
        <v>0</v>
      </c>
      <c r="BI1246" s="27">
        <f t="shared" si="334"/>
        <v>0</v>
      </c>
      <c r="BJ1246" s="27">
        <f t="shared" si="335"/>
        <v>0</v>
      </c>
      <c r="BK1246" s="27"/>
      <c r="BL1246" s="27">
        <v>725</v>
      </c>
      <c r="BW1246" s="27">
        <v>21</v>
      </c>
    </row>
    <row r="1247" spans="1:75" ht="13.5" customHeight="1">
      <c r="A1247" s="2" t="s">
        <v>1811</v>
      </c>
      <c r="B1247" s="3" t="s">
        <v>1762</v>
      </c>
      <c r="C1247" s="3" t="s">
        <v>788</v>
      </c>
      <c r="D1247" s="148" t="s">
        <v>789</v>
      </c>
      <c r="E1247" s="143"/>
      <c r="F1247" s="3" t="s">
        <v>154</v>
      </c>
      <c r="G1247" s="27">
        <v>1</v>
      </c>
      <c r="H1247" s="27">
        <v>0</v>
      </c>
      <c r="I1247" s="27">
        <f t="shared" si="312"/>
        <v>0</v>
      </c>
      <c r="J1247" s="27">
        <f t="shared" si="313"/>
        <v>0</v>
      </c>
      <c r="K1247" s="27">
        <f t="shared" si="314"/>
        <v>0</v>
      </c>
      <c r="L1247" s="28" t="s">
        <v>52</v>
      </c>
      <c r="Z1247" s="27">
        <f t="shared" si="315"/>
        <v>0</v>
      </c>
      <c r="AB1247" s="27">
        <f t="shared" si="316"/>
        <v>0</v>
      </c>
      <c r="AC1247" s="27">
        <f t="shared" si="317"/>
        <v>0</v>
      </c>
      <c r="AD1247" s="27">
        <f t="shared" si="318"/>
        <v>0</v>
      </c>
      <c r="AE1247" s="27">
        <f t="shared" si="319"/>
        <v>0</v>
      </c>
      <c r="AF1247" s="27">
        <f t="shared" si="320"/>
        <v>0</v>
      </c>
      <c r="AG1247" s="27">
        <f t="shared" si="321"/>
        <v>0</v>
      </c>
      <c r="AH1247" s="27">
        <f t="shared" si="322"/>
        <v>0</v>
      </c>
      <c r="AI1247" s="9" t="s">
        <v>1762</v>
      </c>
      <c r="AJ1247" s="27">
        <f t="shared" si="323"/>
        <v>0</v>
      </c>
      <c r="AK1247" s="27">
        <f t="shared" si="324"/>
        <v>0</v>
      </c>
      <c r="AL1247" s="27">
        <f t="shared" si="325"/>
        <v>0</v>
      </c>
      <c r="AN1247" s="27">
        <v>21</v>
      </c>
      <c r="AO1247" s="27">
        <f t="shared" si="326"/>
        <v>0</v>
      </c>
      <c r="AP1247" s="27">
        <f t="shared" si="327"/>
        <v>0</v>
      </c>
      <c r="AQ1247" s="29" t="s">
        <v>84</v>
      </c>
      <c r="AV1247" s="27">
        <f t="shared" si="328"/>
        <v>0</v>
      </c>
      <c r="AW1247" s="27">
        <f t="shared" si="329"/>
        <v>0</v>
      </c>
      <c r="AX1247" s="27">
        <f t="shared" si="330"/>
        <v>0</v>
      </c>
      <c r="AY1247" s="29" t="s">
        <v>214</v>
      </c>
      <c r="AZ1247" s="29" t="s">
        <v>1765</v>
      </c>
      <c r="BA1247" s="9" t="s">
        <v>1766</v>
      </c>
      <c r="BC1247" s="27">
        <f t="shared" si="331"/>
        <v>0</v>
      </c>
      <c r="BD1247" s="27">
        <f t="shared" si="332"/>
        <v>0</v>
      </c>
      <c r="BE1247" s="27">
        <v>0</v>
      </c>
      <c r="BF1247" s="27">
        <f>1247</f>
        <v>1247</v>
      </c>
      <c r="BH1247" s="27">
        <f t="shared" si="333"/>
        <v>0</v>
      </c>
      <c r="BI1247" s="27">
        <f t="shared" si="334"/>
        <v>0</v>
      </c>
      <c r="BJ1247" s="27">
        <f t="shared" si="335"/>
        <v>0</v>
      </c>
      <c r="BK1247" s="27"/>
      <c r="BL1247" s="27">
        <v>725</v>
      </c>
      <c r="BW1247" s="27">
        <v>21</v>
      </c>
    </row>
    <row r="1248" spans="1:75" ht="13.5" customHeight="1">
      <c r="A1248" s="2" t="s">
        <v>1812</v>
      </c>
      <c r="B1248" s="3" t="s">
        <v>1762</v>
      </c>
      <c r="C1248" s="3" t="s">
        <v>791</v>
      </c>
      <c r="D1248" s="148" t="s">
        <v>792</v>
      </c>
      <c r="E1248" s="143"/>
      <c r="F1248" s="3" t="s">
        <v>154</v>
      </c>
      <c r="G1248" s="27">
        <v>2</v>
      </c>
      <c r="H1248" s="27">
        <v>0</v>
      </c>
      <c r="I1248" s="27">
        <f t="shared" si="312"/>
        <v>0</v>
      </c>
      <c r="J1248" s="27">
        <f t="shared" si="313"/>
        <v>0</v>
      </c>
      <c r="K1248" s="27">
        <f t="shared" si="314"/>
        <v>0</v>
      </c>
      <c r="L1248" s="28" t="s">
        <v>52</v>
      </c>
      <c r="Z1248" s="27">
        <f t="shared" si="315"/>
        <v>0</v>
      </c>
      <c r="AB1248" s="27">
        <f t="shared" si="316"/>
        <v>0</v>
      </c>
      <c r="AC1248" s="27">
        <f t="shared" si="317"/>
        <v>0</v>
      </c>
      <c r="AD1248" s="27">
        <f t="shared" si="318"/>
        <v>0</v>
      </c>
      <c r="AE1248" s="27">
        <f t="shared" si="319"/>
        <v>0</v>
      </c>
      <c r="AF1248" s="27">
        <f t="shared" si="320"/>
        <v>0</v>
      </c>
      <c r="AG1248" s="27">
        <f t="shared" si="321"/>
        <v>0</v>
      </c>
      <c r="AH1248" s="27">
        <f t="shared" si="322"/>
        <v>0</v>
      </c>
      <c r="AI1248" s="9" t="s">
        <v>1762</v>
      </c>
      <c r="AJ1248" s="27">
        <f t="shared" si="323"/>
        <v>0</v>
      </c>
      <c r="AK1248" s="27">
        <f t="shared" si="324"/>
        <v>0</v>
      </c>
      <c r="AL1248" s="27">
        <f t="shared" si="325"/>
        <v>0</v>
      </c>
      <c r="AN1248" s="27">
        <v>21</v>
      </c>
      <c r="AO1248" s="27">
        <f t="shared" si="326"/>
        <v>0</v>
      </c>
      <c r="AP1248" s="27">
        <f t="shared" si="327"/>
        <v>0</v>
      </c>
      <c r="AQ1248" s="29" t="s">
        <v>84</v>
      </c>
      <c r="AV1248" s="27">
        <f t="shared" si="328"/>
        <v>0</v>
      </c>
      <c r="AW1248" s="27">
        <f t="shared" si="329"/>
        <v>0</v>
      </c>
      <c r="AX1248" s="27">
        <f t="shared" si="330"/>
        <v>0</v>
      </c>
      <c r="AY1248" s="29" t="s">
        <v>214</v>
      </c>
      <c r="AZ1248" s="29" t="s">
        <v>1765</v>
      </c>
      <c r="BA1248" s="9" t="s">
        <v>1766</v>
      </c>
      <c r="BC1248" s="27">
        <f t="shared" si="331"/>
        <v>0</v>
      </c>
      <c r="BD1248" s="27">
        <f t="shared" si="332"/>
        <v>0</v>
      </c>
      <c r="BE1248" s="27">
        <v>0</v>
      </c>
      <c r="BF1248" s="27">
        <f>1248</f>
        <v>1248</v>
      </c>
      <c r="BH1248" s="27">
        <f t="shared" si="333"/>
        <v>0</v>
      </c>
      <c r="BI1248" s="27">
        <f t="shared" si="334"/>
        <v>0</v>
      </c>
      <c r="BJ1248" s="27">
        <f t="shared" si="335"/>
        <v>0</v>
      </c>
      <c r="BK1248" s="27"/>
      <c r="BL1248" s="27">
        <v>725</v>
      </c>
      <c r="BW1248" s="27">
        <v>21</v>
      </c>
    </row>
    <row r="1249" spans="1:75" ht="13.5" customHeight="1">
      <c r="A1249" s="2" t="s">
        <v>1813</v>
      </c>
      <c r="B1249" s="3" t="s">
        <v>1762</v>
      </c>
      <c r="C1249" s="3" t="s">
        <v>1190</v>
      </c>
      <c r="D1249" s="148" t="s">
        <v>1191</v>
      </c>
      <c r="E1249" s="143"/>
      <c r="F1249" s="3" t="s">
        <v>224</v>
      </c>
      <c r="G1249" s="27">
        <v>1</v>
      </c>
      <c r="H1249" s="27">
        <v>0</v>
      </c>
      <c r="I1249" s="27">
        <f t="shared" si="312"/>
        <v>0</v>
      </c>
      <c r="J1249" s="27">
        <f t="shared" si="313"/>
        <v>0</v>
      </c>
      <c r="K1249" s="27">
        <f t="shared" si="314"/>
        <v>0</v>
      </c>
      <c r="L1249" s="28" t="s">
        <v>52</v>
      </c>
      <c r="Z1249" s="27">
        <f t="shared" si="315"/>
        <v>0</v>
      </c>
      <c r="AB1249" s="27">
        <f t="shared" si="316"/>
        <v>0</v>
      </c>
      <c r="AC1249" s="27">
        <f t="shared" si="317"/>
        <v>0</v>
      </c>
      <c r="AD1249" s="27">
        <f t="shared" si="318"/>
        <v>0</v>
      </c>
      <c r="AE1249" s="27">
        <f t="shared" si="319"/>
        <v>0</v>
      </c>
      <c r="AF1249" s="27">
        <f t="shared" si="320"/>
        <v>0</v>
      </c>
      <c r="AG1249" s="27">
        <f t="shared" si="321"/>
        <v>0</v>
      </c>
      <c r="AH1249" s="27">
        <f t="shared" si="322"/>
        <v>0</v>
      </c>
      <c r="AI1249" s="9" t="s">
        <v>1762</v>
      </c>
      <c r="AJ1249" s="27">
        <f t="shared" si="323"/>
        <v>0</v>
      </c>
      <c r="AK1249" s="27">
        <f t="shared" si="324"/>
        <v>0</v>
      </c>
      <c r="AL1249" s="27">
        <f t="shared" si="325"/>
        <v>0</v>
      </c>
      <c r="AN1249" s="27">
        <v>21</v>
      </c>
      <c r="AO1249" s="27">
        <f t="shared" si="326"/>
        <v>0</v>
      </c>
      <c r="AP1249" s="27">
        <f t="shared" si="327"/>
        <v>0</v>
      </c>
      <c r="AQ1249" s="29" t="s">
        <v>84</v>
      </c>
      <c r="AV1249" s="27">
        <f t="shared" si="328"/>
        <v>0</v>
      </c>
      <c r="AW1249" s="27">
        <f t="shared" si="329"/>
        <v>0</v>
      </c>
      <c r="AX1249" s="27">
        <f t="shared" si="330"/>
        <v>0</v>
      </c>
      <c r="AY1249" s="29" t="s">
        <v>214</v>
      </c>
      <c r="AZ1249" s="29" t="s">
        <v>1765</v>
      </c>
      <c r="BA1249" s="9" t="s">
        <v>1766</v>
      </c>
      <c r="BC1249" s="27">
        <f t="shared" si="331"/>
        <v>0</v>
      </c>
      <c r="BD1249" s="27">
        <f t="shared" si="332"/>
        <v>0</v>
      </c>
      <c r="BE1249" s="27">
        <v>0</v>
      </c>
      <c r="BF1249" s="27">
        <f>1249</f>
        <v>1249</v>
      </c>
      <c r="BH1249" s="27">
        <f t="shared" si="333"/>
        <v>0</v>
      </c>
      <c r="BI1249" s="27">
        <f t="shared" si="334"/>
        <v>0</v>
      </c>
      <c r="BJ1249" s="27">
        <f t="shared" si="335"/>
        <v>0</v>
      </c>
      <c r="BK1249" s="27"/>
      <c r="BL1249" s="27">
        <v>725</v>
      </c>
      <c r="BW1249" s="27">
        <v>21</v>
      </c>
    </row>
    <row r="1250" spans="1:75" ht="13.5" customHeight="1">
      <c r="A1250" s="2" t="s">
        <v>1814</v>
      </c>
      <c r="B1250" s="3" t="s">
        <v>1762</v>
      </c>
      <c r="C1250" s="3" t="s">
        <v>1815</v>
      </c>
      <c r="D1250" s="148" t="s">
        <v>1816</v>
      </c>
      <c r="E1250" s="143"/>
      <c r="F1250" s="3" t="s">
        <v>224</v>
      </c>
      <c r="G1250" s="27">
        <v>1</v>
      </c>
      <c r="H1250" s="27">
        <v>0</v>
      </c>
      <c r="I1250" s="27">
        <f t="shared" si="312"/>
        <v>0</v>
      </c>
      <c r="J1250" s="27">
        <f t="shared" si="313"/>
        <v>0</v>
      </c>
      <c r="K1250" s="27">
        <f t="shared" si="314"/>
        <v>0</v>
      </c>
      <c r="L1250" s="28" t="s">
        <v>52</v>
      </c>
      <c r="Z1250" s="27">
        <f t="shared" si="315"/>
        <v>0</v>
      </c>
      <c r="AB1250" s="27">
        <f t="shared" si="316"/>
        <v>0</v>
      </c>
      <c r="AC1250" s="27">
        <f t="shared" si="317"/>
        <v>0</v>
      </c>
      <c r="AD1250" s="27">
        <f t="shared" si="318"/>
        <v>0</v>
      </c>
      <c r="AE1250" s="27">
        <f t="shared" si="319"/>
        <v>0</v>
      </c>
      <c r="AF1250" s="27">
        <f t="shared" si="320"/>
        <v>0</v>
      </c>
      <c r="AG1250" s="27">
        <f t="shared" si="321"/>
        <v>0</v>
      </c>
      <c r="AH1250" s="27">
        <f t="shared" si="322"/>
        <v>0</v>
      </c>
      <c r="AI1250" s="9" t="s">
        <v>1762</v>
      </c>
      <c r="AJ1250" s="27">
        <f t="shared" si="323"/>
        <v>0</v>
      </c>
      <c r="AK1250" s="27">
        <f t="shared" si="324"/>
        <v>0</v>
      </c>
      <c r="AL1250" s="27">
        <f t="shared" si="325"/>
        <v>0</v>
      </c>
      <c r="AN1250" s="27">
        <v>21</v>
      </c>
      <c r="AO1250" s="27">
        <f t="shared" si="326"/>
        <v>0</v>
      </c>
      <c r="AP1250" s="27">
        <f t="shared" si="327"/>
        <v>0</v>
      </c>
      <c r="AQ1250" s="29" t="s">
        <v>84</v>
      </c>
      <c r="AV1250" s="27">
        <f t="shared" si="328"/>
        <v>0</v>
      </c>
      <c r="AW1250" s="27">
        <f t="shared" si="329"/>
        <v>0</v>
      </c>
      <c r="AX1250" s="27">
        <f t="shared" si="330"/>
        <v>0</v>
      </c>
      <c r="AY1250" s="29" t="s">
        <v>214</v>
      </c>
      <c r="AZ1250" s="29" t="s">
        <v>1765</v>
      </c>
      <c r="BA1250" s="9" t="s">
        <v>1766</v>
      </c>
      <c r="BC1250" s="27">
        <f t="shared" si="331"/>
        <v>0</v>
      </c>
      <c r="BD1250" s="27">
        <f t="shared" si="332"/>
        <v>0</v>
      </c>
      <c r="BE1250" s="27">
        <v>0</v>
      </c>
      <c r="BF1250" s="27">
        <f>1250</f>
        <v>1250</v>
      </c>
      <c r="BH1250" s="27">
        <f t="shared" si="333"/>
        <v>0</v>
      </c>
      <c r="BI1250" s="27">
        <f t="shared" si="334"/>
        <v>0</v>
      </c>
      <c r="BJ1250" s="27">
        <f t="shared" si="335"/>
        <v>0</v>
      </c>
      <c r="BK1250" s="27"/>
      <c r="BL1250" s="27">
        <v>725</v>
      </c>
      <c r="BW1250" s="27">
        <v>21</v>
      </c>
    </row>
    <row r="1251" spans="1:75" ht="13.5" customHeight="1">
      <c r="A1251" s="2" t="s">
        <v>1817</v>
      </c>
      <c r="B1251" s="3" t="s">
        <v>1762</v>
      </c>
      <c r="C1251" s="3" t="s">
        <v>1818</v>
      </c>
      <c r="D1251" s="148" t="s">
        <v>1819</v>
      </c>
      <c r="E1251" s="143"/>
      <c r="F1251" s="3" t="s">
        <v>224</v>
      </c>
      <c r="G1251" s="27">
        <v>1</v>
      </c>
      <c r="H1251" s="27">
        <v>0</v>
      </c>
      <c r="I1251" s="27">
        <f t="shared" si="312"/>
        <v>0</v>
      </c>
      <c r="J1251" s="27">
        <f t="shared" si="313"/>
        <v>0</v>
      </c>
      <c r="K1251" s="27">
        <f t="shared" si="314"/>
        <v>0</v>
      </c>
      <c r="L1251" s="28" t="s">
        <v>52</v>
      </c>
      <c r="Z1251" s="27">
        <f t="shared" si="315"/>
        <v>0</v>
      </c>
      <c r="AB1251" s="27">
        <f t="shared" si="316"/>
        <v>0</v>
      </c>
      <c r="AC1251" s="27">
        <f t="shared" si="317"/>
        <v>0</v>
      </c>
      <c r="AD1251" s="27">
        <f t="shared" si="318"/>
        <v>0</v>
      </c>
      <c r="AE1251" s="27">
        <f t="shared" si="319"/>
        <v>0</v>
      </c>
      <c r="AF1251" s="27">
        <f t="shared" si="320"/>
        <v>0</v>
      </c>
      <c r="AG1251" s="27">
        <f t="shared" si="321"/>
        <v>0</v>
      </c>
      <c r="AH1251" s="27">
        <f t="shared" si="322"/>
        <v>0</v>
      </c>
      <c r="AI1251" s="9" t="s">
        <v>1762</v>
      </c>
      <c r="AJ1251" s="27">
        <f t="shared" si="323"/>
        <v>0</v>
      </c>
      <c r="AK1251" s="27">
        <f t="shared" si="324"/>
        <v>0</v>
      </c>
      <c r="AL1251" s="27">
        <f t="shared" si="325"/>
        <v>0</v>
      </c>
      <c r="AN1251" s="27">
        <v>21</v>
      </c>
      <c r="AO1251" s="27">
        <f t="shared" si="326"/>
        <v>0</v>
      </c>
      <c r="AP1251" s="27">
        <f t="shared" si="327"/>
        <v>0</v>
      </c>
      <c r="AQ1251" s="29" t="s">
        <v>84</v>
      </c>
      <c r="AV1251" s="27">
        <f t="shared" si="328"/>
        <v>0</v>
      </c>
      <c r="AW1251" s="27">
        <f t="shared" si="329"/>
        <v>0</v>
      </c>
      <c r="AX1251" s="27">
        <f t="shared" si="330"/>
        <v>0</v>
      </c>
      <c r="AY1251" s="29" t="s">
        <v>214</v>
      </c>
      <c r="AZ1251" s="29" t="s">
        <v>1765</v>
      </c>
      <c r="BA1251" s="9" t="s">
        <v>1766</v>
      </c>
      <c r="BC1251" s="27">
        <f t="shared" si="331"/>
        <v>0</v>
      </c>
      <c r="BD1251" s="27">
        <f t="shared" si="332"/>
        <v>0</v>
      </c>
      <c r="BE1251" s="27">
        <v>0</v>
      </c>
      <c r="BF1251" s="27">
        <f>1251</f>
        <v>1251</v>
      </c>
      <c r="BH1251" s="27">
        <f t="shared" si="333"/>
        <v>0</v>
      </c>
      <c r="BI1251" s="27">
        <f t="shared" si="334"/>
        <v>0</v>
      </c>
      <c r="BJ1251" s="27">
        <f t="shared" si="335"/>
        <v>0</v>
      </c>
      <c r="BK1251" s="27"/>
      <c r="BL1251" s="27">
        <v>725</v>
      </c>
      <c r="BW1251" s="27">
        <v>21</v>
      </c>
    </row>
    <row r="1252" spans="1:75" ht="13.5" customHeight="1">
      <c r="A1252" s="2" t="s">
        <v>1820</v>
      </c>
      <c r="B1252" s="3" t="s">
        <v>1762</v>
      </c>
      <c r="C1252" s="3" t="s">
        <v>1821</v>
      </c>
      <c r="D1252" s="148" t="s">
        <v>1822</v>
      </c>
      <c r="E1252" s="143"/>
      <c r="F1252" s="3" t="s">
        <v>224</v>
      </c>
      <c r="G1252" s="27">
        <v>1</v>
      </c>
      <c r="H1252" s="27">
        <v>0</v>
      </c>
      <c r="I1252" s="27">
        <f t="shared" si="312"/>
        <v>0</v>
      </c>
      <c r="J1252" s="27">
        <f t="shared" si="313"/>
        <v>0</v>
      </c>
      <c r="K1252" s="27">
        <f t="shared" si="314"/>
        <v>0</v>
      </c>
      <c r="L1252" s="28" t="s">
        <v>52</v>
      </c>
      <c r="Z1252" s="27">
        <f t="shared" si="315"/>
        <v>0</v>
      </c>
      <c r="AB1252" s="27">
        <f t="shared" si="316"/>
        <v>0</v>
      </c>
      <c r="AC1252" s="27">
        <f t="shared" si="317"/>
        <v>0</v>
      </c>
      <c r="AD1252" s="27">
        <f t="shared" si="318"/>
        <v>0</v>
      </c>
      <c r="AE1252" s="27">
        <f t="shared" si="319"/>
        <v>0</v>
      </c>
      <c r="AF1252" s="27">
        <f t="shared" si="320"/>
        <v>0</v>
      </c>
      <c r="AG1252" s="27">
        <f t="shared" si="321"/>
        <v>0</v>
      </c>
      <c r="AH1252" s="27">
        <f t="shared" si="322"/>
        <v>0</v>
      </c>
      <c r="AI1252" s="9" t="s">
        <v>1762</v>
      </c>
      <c r="AJ1252" s="27">
        <f t="shared" si="323"/>
        <v>0</v>
      </c>
      <c r="AK1252" s="27">
        <f t="shared" si="324"/>
        <v>0</v>
      </c>
      <c r="AL1252" s="27">
        <f t="shared" si="325"/>
        <v>0</v>
      </c>
      <c r="AN1252" s="27">
        <v>21</v>
      </c>
      <c r="AO1252" s="27">
        <f t="shared" si="326"/>
        <v>0</v>
      </c>
      <c r="AP1252" s="27">
        <f t="shared" si="327"/>
        <v>0</v>
      </c>
      <c r="AQ1252" s="29" t="s">
        <v>84</v>
      </c>
      <c r="AV1252" s="27">
        <f t="shared" si="328"/>
        <v>0</v>
      </c>
      <c r="AW1252" s="27">
        <f t="shared" si="329"/>
        <v>0</v>
      </c>
      <c r="AX1252" s="27">
        <f t="shared" si="330"/>
        <v>0</v>
      </c>
      <c r="AY1252" s="29" t="s">
        <v>214</v>
      </c>
      <c r="AZ1252" s="29" t="s">
        <v>1765</v>
      </c>
      <c r="BA1252" s="9" t="s">
        <v>1766</v>
      </c>
      <c r="BC1252" s="27">
        <f t="shared" si="331"/>
        <v>0</v>
      </c>
      <c r="BD1252" s="27">
        <f t="shared" si="332"/>
        <v>0</v>
      </c>
      <c r="BE1252" s="27">
        <v>0</v>
      </c>
      <c r="BF1252" s="27">
        <f>1252</f>
        <v>1252</v>
      </c>
      <c r="BH1252" s="27">
        <f t="shared" si="333"/>
        <v>0</v>
      </c>
      <c r="BI1252" s="27">
        <f t="shared" si="334"/>
        <v>0</v>
      </c>
      <c r="BJ1252" s="27">
        <f t="shared" si="335"/>
        <v>0</v>
      </c>
      <c r="BK1252" s="27"/>
      <c r="BL1252" s="27">
        <v>725</v>
      </c>
      <c r="BW1252" s="27">
        <v>21</v>
      </c>
    </row>
    <row r="1253" spans="1:75" ht="13.5" customHeight="1">
      <c r="A1253" s="2" t="s">
        <v>1823</v>
      </c>
      <c r="B1253" s="3" t="s">
        <v>1762</v>
      </c>
      <c r="C1253" s="3" t="s">
        <v>1824</v>
      </c>
      <c r="D1253" s="148" t="s">
        <v>1825</v>
      </c>
      <c r="E1253" s="143"/>
      <c r="F1253" s="3" t="s">
        <v>154</v>
      </c>
      <c r="G1253" s="27">
        <v>6</v>
      </c>
      <c r="H1253" s="27">
        <v>0</v>
      </c>
      <c r="I1253" s="27">
        <f t="shared" si="312"/>
        <v>0</v>
      </c>
      <c r="J1253" s="27">
        <f t="shared" si="313"/>
        <v>0</v>
      </c>
      <c r="K1253" s="27">
        <f t="shared" si="314"/>
        <v>0</v>
      </c>
      <c r="L1253" s="28" t="s">
        <v>52</v>
      </c>
      <c r="Z1253" s="27">
        <f t="shared" si="315"/>
        <v>0</v>
      </c>
      <c r="AB1253" s="27">
        <f t="shared" si="316"/>
        <v>0</v>
      </c>
      <c r="AC1253" s="27">
        <f t="shared" si="317"/>
        <v>0</v>
      </c>
      <c r="AD1253" s="27">
        <f t="shared" si="318"/>
        <v>0</v>
      </c>
      <c r="AE1253" s="27">
        <f t="shared" si="319"/>
        <v>0</v>
      </c>
      <c r="AF1253" s="27">
        <f t="shared" si="320"/>
        <v>0</v>
      </c>
      <c r="AG1253" s="27">
        <f t="shared" si="321"/>
        <v>0</v>
      </c>
      <c r="AH1253" s="27">
        <f t="shared" si="322"/>
        <v>0</v>
      </c>
      <c r="AI1253" s="9" t="s">
        <v>1762</v>
      </c>
      <c r="AJ1253" s="27">
        <f t="shared" si="323"/>
        <v>0</v>
      </c>
      <c r="AK1253" s="27">
        <f t="shared" si="324"/>
        <v>0</v>
      </c>
      <c r="AL1253" s="27">
        <f t="shared" si="325"/>
        <v>0</v>
      </c>
      <c r="AN1253" s="27">
        <v>21</v>
      </c>
      <c r="AO1253" s="27">
        <f t="shared" si="326"/>
        <v>0</v>
      </c>
      <c r="AP1253" s="27">
        <f t="shared" si="327"/>
        <v>0</v>
      </c>
      <c r="AQ1253" s="29" t="s">
        <v>84</v>
      </c>
      <c r="AV1253" s="27">
        <f t="shared" si="328"/>
        <v>0</v>
      </c>
      <c r="AW1253" s="27">
        <f t="shared" si="329"/>
        <v>0</v>
      </c>
      <c r="AX1253" s="27">
        <f t="shared" si="330"/>
        <v>0</v>
      </c>
      <c r="AY1253" s="29" t="s">
        <v>214</v>
      </c>
      <c r="AZ1253" s="29" t="s">
        <v>1765</v>
      </c>
      <c r="BA1253" s="9" t="s">
        <v>1766</v>
      </c>
      <c r="BC1253" s="27">
        <f t="shared" si="331"/>
        <v>0</v>
      </c>
      <c r="BD1253" s="27">
        <f t="shared" si="332"/>
        <v>0</v>
      </c>
      <c r="BE1253" s="27">
        <v>0</v>
      </c>
      <c r="BF1253" s="27">
        <f>1253</f>
        <v>1253</v>
      </c>
      <c r="BH1253" s="27">
        <f t="shared" si="333"/>
        <v>0</v>
      </c>
      <c r="BI1253" s="27">
        <f t="shared" si="334"/>
        <v>0</v>
      </c>
      <c r="BJ1253" s="27">
        <f t="shared" si="335"/>
        <v>0</v>
      </c>
      <c r="BK1253" s="27"/>
      <c r="BL1253" s="27">
        <v>725</v>
      </c>
      <c r="BW1253" s="27">
        <v>21</v>
      </c>
    </row>
    <row r="1254" spans="1:75" ht="13.5" customHeight="1">
      <c r="A1254" s="2" t="s">
        <v>1826</v>
      </c>
      <c r="B1254" s="3" t="s">
        <v>1762</v>
      </c>
      <c r="C1254" s="3" t="s">
        <v>1827</v>
      </c>
      <c r="D1254" s="148" t="s">
        <v>1828</v>
      </c>
      <c r="E1254" s="143"/>
      <c r="F1254" s="3" t="s">
        <v>154</v>
      </c>
      <c r="G1254" s="27">
        <v>6</v>
      </c>
      <c r="H1254" s="27">
        <v>0</v>
      </c>
      <c r="I1254" s="27">
        <f t="shared" si="312"/>
        <v>0</v>
      </c>
      <c r="J1254" s="27">
        <f t="shared" si="313"/>
        <v>0</v>
      </c>
      <c r="K1254" s="27">
        <f t="shared" si="314"/>
        <v>0</v>
      </c>
      <c r="L1254" s="28" t="s">
        <v>52</v>
      </c>
      <c r="Z1254" s="27">
        <f t="shared" si="315"/>
        <v>0</v>
      </c>
      <c r="AB1254" s="27">
        <f t="shared" si="316"/>
        <v>0</v>
      </c>
      <c r="AC1254" s="27">
        <f t="shared" si="317"/>
        <v>0</v>
      </c>
      <c r="AD1254" s="27">
        <f t="shared" si="318"/>
        <v>0</v>
      </c>
      <c r="AE1254" s="27">
        <f t="shared" si="319"/>
        <v>0</v>
      </c>
      <c r="AF1254" s="27">
        <f t="shared" si="320"/>
        <v>0</v>
      </c>
      <c r="AG1254" s="27">
        <f t="shared" si="321"/>
        <v>0</v>
      </c>
      <c r="AH1254" s="27">
        <f t="shared" si="322"/>
        <v>0</v>
      </c>
      <c r="AI1254" s="9" t="s">
        <v>1762</v>
      </c>
      <c r="AJ1254" s="27">
        <f t="shared" si="323"/>
        <v>0</v>
      </c>
      <c r="AK1254" s="27">
        <f t="shared" si="324"/>
        <v>0</v>
      </c>
      <c r="AL1254" s="27">
        <f t="shared" si="325"/>
        <v>0</v>
      </c>
      <c r="AN1254" s="27">
        <v>21</v>
      </c>
      <c r="AO1254" s="27">
        <f t="shared" si="326"/>
        <v>0</v>
      </c>
      <c r="AP1254" s="27">
        <f t="shared" si="327"/>
        <v>0</v>
      </c>
      <c r="AQ1254" s="29" t="s">
        <v>84</v>
      </c>
      <c r="AV1254" s="27">
        <f t="shared" si="328"/>
        <v>0</v>
      </c>
      <c r="AW1254" s="27">
        <f t="shared" si="329"/>
        <v>0</v>
      </c>
      <c r="AX1254" s="27">
        <f t="shared" si="330"/>
        <v>0</v>
      </c>
      <c r="AY1254" s="29" t="s">
        <v>214</v>
      </c>
      <c r="AZ1254" s="29" t="s">
        <v>1765</v>
      </c>
      <c r="BA1254" s="9" t="s">
        <v>1766</v>
      </c>
      <c r="BC1254" s="27">
        <f t="shared" si="331"/>
        <v>0</v>
      </c>
      <c r="BD1254" s="27">
        <f t="shared" si="332"/>
        <v>0</v>
      </c>
      <c r="BE1254" s="27">
        <v>0</v>
      </c>
      <c r="BF1254" s="27">
        <f>1254</f>
        <v>1254</v>
      </c>
      <c r="BH1254" s="27">
        <f t="shared" si="333"/>
        <v>0</v>
      </c>
      <c r="BI1254" s="27">
        <f t="shared" si="334"/>
        <v>0</v>
      </c>
      <c r="BJ1254" s="27">
        <f t="shared" si="335"/>
        <v>0</v>
      </c>
      <c r="BK1254" s="27"/>
      <c r="BL1254" s="27">
        <v>725</v>
      </c>
      <c r="BW1254" s="27">
        <v>21</v>
      </c>
    </row>
    <row r="1255" spans="1:75" ht="13.5" customHeight="1">
      <c r="A1255" s="2" t="s">
        <v>1829</v>
      </c>
      <c r="B1255" s="3" t="s">
        <v>1762</v>
      </c>
      <c r="C1255" s="3" t="s">
        <v>833</v>
      </c>
      <c r="D1255" s="148" t="s">
        <v>834</v>
      </c>
      <c r="E1255" s="143"/>
      <c r="F1255" s="3" t="s">
        <v>224</v>
      </c>
      <c r="G1255" s="27">
        <v>8</v>
      </c>
      <c r="H1255" s="27">
        <v>0</v>
      </c>
      <c r="I1255" s="27">
        <f t="shared" si="312"/>
        <v>0</v>
      </c>
      <c r="J1255" s="27">
        <f t="shared" si="313"/>
        <v>0</v>
      </c>
      <c r="K1255" s="27">
        <f t="shared" si="314"/>
        <v>0</v>
      </c>
      <c r="L1255" s="28" t="s">
        <v>52</v>
      </c>
      <c r="Z1255" s="27">
        <f t="shared" si="315"/>
        <v>0</v>
      </c>
      <c r="AB1255" s="27">
        <f t="shared" si="316"/>
        <v>0</v>
      </c>
      <c r="AC1255" s="27">
        <f t="shared" si="317"/>
        <v>0</v>
      </c>
      <c r="AD1255" s="27">
        <f t="shared" si="318"/>
        <v>0</v>
      </c>
      <c r="AE1255" s="27">
        <f t="shared" si="319"/>
        <v>0</v>
      </c>
      <c r="AF1255" s="27">
        <f t="shared" si="320"/>
        <v>0</v>
      </c>
      <c r="AG1255" s="27">
        <f t="shared" si="321"/>
        <v>0</v>
      </c>
      <c r="AH1255" s="27">
        <f t="shared" si="322"/>
        <v>0</v>
      </c>
      <c r="AI1255" s="9" t="s">
        <v>1762</v>
      </c>
      <c r="AJ1255" s="27">
        <f t="shared" si="323"/>
        <v>0</v>
      </c>
      <c r="AK1255" s="27">
        <f t="shared" si="324"/>
        <v>0</v>
      </c>
      <c r="AL1255" s="27">
        <f t="shared" si="325"/>
        <v>0</v>
      </c>
      <c r="AN1255" s="27">
        <v>21</v>
      </c>
      <c r="AO1255" s="27">
        <f t="shared" si="326"/>
        <v>0</v>
      </c>
      <c r="AP1255" s="27">
        <f t="shared" si="327"/>
        <v>0</v>
      </c>
      <c r="AQ1255" s="29" t="s">
        <v>84</v>
      </c>
      <c r="AV1255" s="27">
        <f t="shared" si="328"/>
        <v>0</v>
      </c>
      <c r="AW1255" s="27">
        <f t="shared" si="329"/>
        <v>0</v>
      </c>
      <c r="AX1255" s="27">
        <f t="shared" si="330"/>
        <v>0</v>
      </c>
      <c r="AY1255" s="29" t="s">
        <v>214</v>
      </c>
      <c r="AZ1255" s="29" t="s">
        <v>1765</v>
      </c>
      <c r="BA1255" s="9" t="s">
        <v>1766</v>
      </c>
      <c r="BC1255" s="27">
        <f t="shared" si="331"/>
        <v>0</v>
      </c>
      <c r="BD1255" s="27">
        <f t="shared" si="332"/>
        <v>0</v>
      </c>
      <c r="BE1255" s="27">
        <v>0</v>
      </c>
      <c r="BF1255" s="27">
        <f>1255</f>
        <v>1255</v>
      </c>
      <c r="BH1255" s="27">
        <f t="shared" si="333"/>
        <v>0</v>
      </c>
      <c r="BI1255" s="27">
        <f t="shared" si="334"/>
        <v>0</v>
      </c>
      <c r="BJ1255" s="27">
        <f t="shared" si="335"/>
        <v>0</v>
      </c>
      <c r="BK1255" s="27"/>
      <c r="BL1255" s="27">
        <v>725</v>
      </c>
      <c r="BW1255" s="27">
        <v>21</v>
      </c>
    </row>
    <row r="1256" spans="1:75" ht="13.5" customHeight="1">
      <c r="A1256" s="2" t="s">
        <v>1830</v>
      </c>
      <c r="B1256" s="3" t="s">
        <v>1762</v>
      </c>
      <c r="C1256" s="3" t="s">
        <v>842</v>
      </c>
      <c r="D1256" s="148" t="s">
        <v>843</v>
      </c>
      <c r="E1256" s="143"/>
      <c r="F1256" s="3" t="s">
        <v>154</v>
      </c>
      <c r="G1256" s="27">
        <v>1</v>
      </c>
      <c r="H1256" s="27">
        <v>0</v>
      </c>
      <c r="I1256" s="27">
        <f t="shared" si="312"/>
        <v>0</v>
      </c>
      <c r="J1256" s="27">
        <f t="shared" si="313"/>
        <v>0</v>
      </c>
      <c r="K1256" s="27">
        <f t="shared" si="314"/>
        <v>0</v>
      </c>
      <c r="L1256" s="28" t="s">
        <v>52</v>
      </c>
      <c r="Z1256" s="27">
        <f t="shared" si="315"/>
        <v>0</v>
      </c>
      <c r="AB1256" s="27">
        <f t="shared" si="316"/>
        <v>0</v>
      </c>
      <c r="AC1256" s="27">
        <f t="shared" si="317"/>
        <v>0</v>
      </c>
      <c r="AD1256" s="27">
        <f t="shared" si="318"/>
        <v>0</v>
      </c>
      <c r="AE1256" s="27">
        <f t="shared" si="319"/>
        <v>0</v>
      </c>
      <c r="AF1256" s="27">
        <f t="shared" si="320"/>
        <v>0</v>
      </c>
      <c r="AG1256" s="27">
        <f t="shared" si="321"/>
        <v>0</v>
      </c>
      <c r="AH1256" s="27">
        <f t="shared" si="322"/>
        <v>0</v>
      </c>
      <c r="AI1256" s="9" t="s">
        <v>1762</v>
      </c>
      <c r="AJ1256" s="27">
        <f t="shared" si="323"/>
        <v>0</v>
      </c>
      <c r="AK1256" s="27">
        <f t="shared" si="324"/>
        <v>0</v>
      </c>
      <c r="AL1256" s="27">
        <f t="shared" si="325"/>
        <v>0</v>
      </c>
      <c r="AN1256" s="27">
        <v>21</v>
      </c>
      <c r="AO1256" s="27">
        <f t="shared" si="326"/>
        <v>0</v>
      </c>
      <c r="AP1256" s="27">
        <f t="shared" si="327"/>
        <v>0</v>
      </c>
      <c r="AQ1256" s="29" t="s">
        <v>84</v>
      </c>
      <c r="AV1256" s="27">
        <f t="shared" si="328"/>
        <v>0</v>
      </c>
      <c r="AW1256" s="27">
        <f t="shared" si="329"/>
        <v>0</v>
      </c>
      <c r="AX1256" s="27">
        <f t="shared" si="330"/>
        <v>0</v>
      </c>
      <c r="AY1256" s="29" t="s">
        <v>214</v>
      </c>
      <c r="AZ1256" s="29" t="s">
        <v>1765</v>
      </c>
      <c r="BA1256" s="9" t="s">
        <v>1766</v>
      </c>
      <c r="BC1256" s="27">
        <f t="shared" si="331"/>
        <v>0</v>
      </c>
      <c r="BD1256" s="27">
        <f t="shared" si="332"/>
        <v>0</v>
      </c>
      <c r="BE1256" s="27">
        <v>0</v>
      </c>
      <c r="BF1256" s="27">
        <f>1256</f>
        <v>1256</v>
      </c>
      <c r="BH1256" s="27">
        <f t="shared" si="333"/>
        <v>0</v>
      </c>
      <c r="BI1256" s="27">
        <f t="shared" si="334"/>
        <v>0</v>
      </c>
      <c r="BJ1256" s="27">
        <f t="shared" si="335"/>
        <v>0</v>
      </c>
      <c r="BK1256" s="27"/>
      <c r="BL1256" s="27">
        <v>725</v>
      </c>
      <c r="BW1256" s="27">
        <v>21</v>
      </c>
    </row>
    <row r="1257" spans="1:75" ht="13.5" customHeight="1">
      <c r="A1257" s="2" t="s">
        <v>1831</v>
      </c>
      <c r="B1257" s="3" t="s">
        <v>1762</v>
      </c>
      <c r="C1257" s="3" t="s">
        <v>848</v>
      </c>
      <c r="D1257" s="148" t="s">
        <v>849</v>
      </c>
      <c r="E1257" s="143"/>
      <c r="F1257" s="3" t="s">
        <v>154</v>
      </c>
      <c r="G1257" s="27">
        <v>1</v>
      </c>
      <c r="H1257" s="27">
        <v>0</v>
      </c>
      <c r="I1257" s="27">
        <f t="shared" si="312"/>
        <v>0</v>
      </c>
      <c r="J1257" s="27">
        <f t="shared" si="313"/>
        <v>0</v>
      </c>
      <c r="K1257" s="27">
        <f t="shared" si="314"/>
        <v>0</v>
      </c>
      <c r="L1257" s="28" t="s">
        <v>52</v>
      </c>
      <c r="Z1257" s="27">
        <f t="shared" si="315"/>
        <v>0</v>
      </c>
      <c r="AB1257" s="27">
        <f t="shared" si="316"/>
        <v>0</v>
      </c>
      <c r="AC1257" s="27">
        <f t="shared" si="317"/>
        <v>0</v>
      </c>
      <c r="AD1257" s="27">
        <f t="shared" si="318"/>
        <v>0</v>
      </c>
      <c r="AE1257" s="27">
        <f t="shared" si="319"/>
        <v>0</v>
      </c>
      <c r="AF1257" s="27">
        <f t="shared" si="320"/>
        <v>0</v>
      </c>
      <c r="AG1257" s="27">
        <f t="shared" si="321"/>
        <v>0</v>
      </c>
      <c r="AH1257" s="27">
        <f t="shared" si="322"/>
        <v>0</v>
      </c>
      <c r="AI1257" s="9" t="s">
        <v>1762</v>
      </c>
      <c r="AJ1257" s="27">
        <f t="shared" si="323"/>
        <v>0</v>
      </c>
      <c r="AK1257" s="27">
        <f t="shared" si="324"/>
        <v>0</v>
      </c>
      <c r="AL1257" s="27">
        <f t="shared" si="325"/>
        <v>0</v>
      </c>
      <c r="AN1257" s="27">
        <v>21</v>
      </c>
      <c r="AO1257" s="27">
        <f t="shared" si="326"/>
        <v>0</v>
      </c>
      <c r="AP1257" s="27">
        <f t="shared" si="327"/>
        <v>0</v>
      </c>
      <c r="AQ1257" s="29" t="s">
        <v>84</v>
      </c>
      <c r="AV1257" s="27">
        <f t="shared" si="328"/>
        <v>0</v>
      </c>
      <c r="AW1257" s="27">
        <f t="shared" si="329"/>
        <v>0</v>
      </c>
      <c r="AX1257" s="27">
        <f t="shared" si="330"/>
        <v>0</v>
      </c>
      <c r="AY1257" s="29" t="s">
        <v>214</v>
      </c>
      <c r="AZ1257" s="29" t="s">
        <v>1765</v>
      </c>
      <c r="BA1257" s="9" t="s">
        <v>1766</v>
      </c>
      <c r="BC1257" s="27">
        <f t="shared" si="331"/>
        <v>0</v>
      </c>
      <c r="BD1257" s="27">
        <f t="shared" si="332"/>
        <v>0</v>
      </c>
      <c r="BE1257" s="27">
        <v>0</v>
      </c>
      <c r="BF1257" s="27">
        <f>1257</f>
        <v>1257</v>
      </c>
      <c r="BH1257" s="27">
        <f t="shared" si="333"/>
        <v>0</v>
      </c>
      <c r="BI1257" s="27">
        <f t="shared" si="334"/>
        <v>0</v>
      </c>
      <c r="BJ1257" s="27">
        <f t="shared" si="335"/>
        <v>0</v>
      </c>
      <c r="BK1257" s="27"/>
      <c r="BL1257" s="27">
        <v>725</v>
      </c>
      <c r="BW1257" s="27">
        <v>21</v>
      </c>
    </row>
    <row r="1258" spans="1:75" ht="13.5" customHeight="1">
      <c r="A1258" s="2" t="s">
        <v>1832</v>
      </c>
      <c r="B1258" s="3" t="s">
        <v>1762</v>
      </c>
      <c r="C1258" s="3" t="s">
        <v>1833</v>
      </c>
      <c r="D1258" s="148" t="s">
        <v>1834</v>
      </c>
      <c r="E1258" s="143"/>
      <c r="F1258" s="3" t="s">
        <v>154</v>
      </c>
      <c r="G1258" s="27">
        <v>6</v>
      </c>
      <c r="H1258" s="27">
        <v>0</v>
      </c>
      <c r="I1258" s="27">
        <f t="shared" si="312"/>
        <v>0</v>
      </c>
      <c r="J1258" s="27">
        <f t="shared" si="313"/>
        <v>0</v>
      </c>
      <c r="K1258" s="27">
        <f t="shared" si="314"/>
        <v>0</v>
      </c>
      <c r="L1258" s="28" t="s">
        <v>52</v>
      </c>
      <c r="Z1258" s="27">
        <f t="shared" si="315"/>
        <v>0</v>
      </c>
      <c r="AB1258" s="27">
        <f t="shared" si="316"/>
        <v>0</v>
      </c>
      <c r="AC1258" s="27">
        <f t="shared" si="317"/>
        <v>0</v>
      </c>
      <c r="AD1258" s="27">
        <f t="shared" si="318"/>
        <v>0</v>
      </c>
      <c r="AE1258" s="27">
        <f t="shared" si="319"/>
        <v>0</v>
      </c>
      <c r="AF1258" s="27">
        <f t="shared" si="320"/>
        <v>0</v>
      </c>
      <c r="AG1258" s="27">
        <f t="shared" si="321"/>
        <v>0</v>
      </c>
      <c r="AH1258" s="27">
        <f t="shared" si="322"/>
        <v>0</v>
      </c>
      <c r="AI1258" s="9" t="s">
        <v>1762</v>
      </c>
      <c r="AJ1258" s="27">
        <f t="shared" si="323"/>
        <v>0</v>
      </c>
      <c r="AK1258" s="27">
        <f t="shared" si="324"/>
        <v>0</v>
      </c>
      <c r="AL1258" s="27">
        <f t="shared" si="325"/>
        <v>0</v>
      </c>
      <c r="AN1258" s="27">
        <v>21</v>
      </c>
      <c r="AO1258" s="27">
        <f t="shared" si="326"/>
        <v>0</v>
      </c>
      <c r="AP1258" s="27">
        <f t="shared" si="327"/>
        <v>0</v>
      </c>
      <c r="AQ1258" s="29" t="s">
        <v>84</v>
      </c>
      <c r="AV1258" s="27">
        <f t="shared" si="328"/>
        <v>0</v>
      </c>
      <c r="AW1258" s="27">
        <f t="shared" si="329"/>
        <v>0</v>
      </c>
      <c r="AX1258" s="27">
        <f t="shared" si="330"/>
        <v>0</v>
      </c>
      <c r="AY1258" s="29" t="s">
        <v>214</v>
      </c>
      <c r="AZ1258" s="29" t="s">
        <v>1765</v>
      </c>
      <c r="BA1258" s="9" t="s">
        <v>1766</v>
      </c>
      <c r="BC1258" s="27">
        <f t="shared" si="331"/>
        <v>0</v>
      </c>
      <c r="BD1258" s="27">
        <f t="shared" si="332"/>
        <v>0</v>
      </c>
      <c r="BE1258" s="27">
        <v>0</v>
      </c>
      <c r="BF1258" s="27">
        <f>1258</f>
        <v>1258</v>
      </c>
      <c r="BH1258" s="27">
        <f t="shared" si="333"/>
        <v>0</v>
      </c>
      <c r="BI1258" s="27">
        <f t="shared" si="334"/>
        <v>0</v>
      </c>
      <c r="BJ1258" s="27">
        <f t="shared" si="335"/>
        <v>0</v>
      </c>
      <c r="BK1258" s="27"/>
      <c r="BL1258" s="27">
        <v>725</v>
      </c>
      <c r="BW1258" s="27">
        <v>21</v>
      </c>
    </row>
    <row r="1259" spans="1:75" ht="13.5" customHeight="1">
      <c r="A1259" s="2" t="s">
        <v>1835</v>
      </c>
      <c r="B1259" s="3" t="s">
        <v>1762</v>
      </c>
      <c r="C1259" s="3" t="s">
        <v>851</v>
      </c>
      <c r="D1259" s="148" t="s">
        <v>852</v>
      </c>
      <c r="E1259" s="143"/>
      <c r="F1259" s="3" t="s">
        <v>154</v>
      </c>
      <c r="G1259" s="27">
        <v>1</v>
      </c>
      <c r="H1259" s="27">
        <v>0</v>
      </c>
      <c r="I1259" s="27">
        <f t="shared" si="312"/>
        <v>0</v>
      </c>
      <c r="J1259" s="27">
        <f t="shared" si="313"/>
        <v>0</v>
      </c>
      <c r="K1259" s="27">
        <f t="shared" si="314"/>
        <v>0</v>
      </c>
      <c r="L1259" s="28" t="s">
        <v>52</v>
      </c>
      <c r="Z1259" s="27">
        <f t="shared" si="315"/>
        <v>0</v>
      </c>
      <c r="AB1259" s="27">
        <f t="shared" si="316"/>
        <v>0</v>
      </c>
      <c r="AC1259" s="27">
        <f t="shared" si="317"/>
        <v>0</v>
      </c>
      <c r="AD1259" s="27">
        <f t="shared" si="318"/>
        <v>0</v>
      </c>
      <c r="AE1259" s="27">
        <f t="shared" si="319"/>
        <v>0</v>
      </c>
      <c r="AF1259" s="27">
        <f t="shared" si="320"/>
        <v>0</v>
      </c>
      <c r="AG1259" s="27">
        <f t="shared" si="321"/>
        <v>0</v>
      </c>
      <c r="AH1259" s="27">
        <f t="shared" si="322"/>
        <v>0</v>
      </c>
      <c r="AI1259" s="9" t="s">
        <v>1762</v>
      </c>
      <c r="AJ1259" s="27">
        <f t="shared" si="323"/>
        <v>0</v>
      </c>
      <c r="AK1259" s="27">
        <f t="shared" si="324"/>
        <v>0</v>
      </c>
      <c r="AL1259" s="27">
        <f t="shared" si="325"/>
        <v>0</v>
      </c>
      <c r="AN1259" s="27">
        <v>21</v>
      </c>
      <c r="AO1259" s="27">
        <f t="shared" si="326"/>
        <v>0</v>
      </c>
      <c r="AP1259" s="27">
        <f t="shared" si="327"/>
        <v>0</v>
      </c>
      <c r="AQ1259" s="29" t="s">
        <v>84</v>
      </c>
      <c r="AV1259" s="27">
        <f t="shared" si="328"/>
        <v>0</v>
      </c>
      <c r="AW1259" s="27">
        <f t="shared" si="329"/>
        <v>0</v>
      </c>
      <c r="AX1259" s="27">
        <f t="shared" si="330"/>
        <v>0</v>
      </c>
      <c r="AY1259" s="29" t="s">
        <v>214</v>
      </c>
      <c r="AZ1259" s="29" t="s">
        <v>1765</v>
      </c>
      <c r="BA1259" s="9" t="s">
        <v>1766</v>
      </c>
      <c r="BC1259" s="27">
        <f t="shared" si="331"/>
        <v>0</v>
      </c>
      <c r="BD1259" s="27">
        <f t="shared" si="332"/>
        <v>0</v>
      </c>
      <c r="BE1259" s="27">
        <v>0</v>
      </c>
      <c r="BF1259" s="27">
        <f>1259</f>
        <v>1259</v>
      </c>
      <c r="BH1259" s="27">
        <f t="shared" si="333"/>
        <v>0</v>
      </c>
      <c r="BI1259" s="27">
        <f t="shared" si="334"/>
        <v>0</v>
      </c>
      <c r="BJ1259" s="27">
        <f t="shared" si="335"/>
        <v>0</v>
      </c>
      <c r="BK1259" s="27"/>
      <c r="BL1259" s="27">
        <v>725</v>
      </c>
      <c r="BW1259" s="27">
        <v>21</v>
      </c>
    </row>
    <row r="1260" spans="1:75" ht="13.5" customHeight="1">
      <c r="A1260" s="2" t="s">
        <v>1836</v>
      </c>
      <c r="B1260" s="3" t="s">
        <v>1762</v>
      </c>
      <c r="C1260" s="3" t="s">
        <v>1837</v>
      </c>
      <c r="D1260" s="148" t="s">
        <v>1838</v>
      </c>
      <c r="E1260" s="143"/>
      <c r="F1260" s="3" t="s">
        <v>154</v>
      </c>
      <c r="G1260" s="27">
        <v>6</v>
      </c>
      <c r="H1260" s="27">
        <v>0</v>
      </c>
      <c r="I1260" s="27">
        <f t="shared" si="312"/>
        <v>0</v>
      </c>
      <c r="J1260" s="27">
        <f t="shared" si="313"/>
        <v>0</v>
      </c>
      <c r="K1260" s="27">
        <f t="shared" si="314"/>
        <v>0</v>
      </c>
      <c r="L1260" s="28" t="s">
        <v>52</v>
      </c>
      <c r="Z1260" s="27">
        <f t="shared" si="315"/>
        <v>0</v>
      </c>
      <c r="AB1260" s="27">
        <f t="shared" si="316"/>
        <v>0</v>
      </c>
      <c r="AC1260" s="27">
        <f t="shared" si="317"/>
        <v>0</v>
      </c>
      <c r="AD1260" s="27">
        <f t="shared" si="318"/>
        <v>0</v>
      </c>
      <c r="AE1260" s="27">
        <f t="shared" si="319"/>
        <v>0</v>
      </c>
      <c r="AF1260" s="27">
        <f t="shared" si="320"/>
        <v>0</v>
      </c>
      <c r="AG1260" s="27">
        <f t="shared" si="321"/>
        <v>0</v>
      </c>
      <c r="AH1260" s="27">
        <f t="shared" si="322"/>
        <v>0</v>
      </c>
      <c r="AI1260" s="9" t="s">
        <v>1762</v>
      </c>
      <c r="AJ1260" s="27">
        <f t="shared" si="323"/>
        <v>0</v>
      </c>
      <c r="AK1260" s="27">
        <f t="shared" si="324"/>
        <v>0</v>
      </c>
      <c r="AL1260" s="27">
        <f t="shared" si="325"/>
        <v>0</v>
      </c>
      <c r="AN1260" s="27">
        <v>21</v>
      </c>
      <c r="AO1260" s="27">
        <f t="shared" si="326"/>
        <v>0</v>
      </c>
      <c r="AP1260" s="27">
        <f t="shared" si="327"/>
        <v>0</v>
      </c>
      <c r="AQ1260" s="29" t="s">
        <v>84</v>
      </c>
      <c r="AV1260" s="27">
        <f t="shared" si="328"/>
        <v>0</v>
      </c>
      <c r="AW1260" s="27">
        <f t="shared" si="329"/>
        <v>0</v>
      </c>
      <c r="AX1260" s="27">
        <f t="shared" si="330"/>
        <v>0</v>
      </c>
      <c r="AY1260" s="29" t="s">
        <v>214</v>
      </c>
      <c r="AZ1260" s="29" t="s">
        <v>1765</v>
      </c>
      <c r="BA1260" s="9" t="s">
        <v>1766</v>
      </c>
      <c r="BC1260" s="27">
        <f t="shared" si="331"/>
        <v>0</v>
      </c>
      <c r="BD1260" s="27">
        <f t="shared" si="332"/>
        <v>0</v>
      </c>
      <c r="BE1260" s="27">
        <v>0</v>
      </c>
      <c r="BF1260" s="27">
        <f>1260</f>
        <v>1260</v>
      </c>
      <c r="BH1260" s="27">
        <f t="shared" si="333"/>
        <v>0</v>
      </c>
      <c r="BI1260" s="27">
        <f t="shared" si="334"/>
        <v>0</v>
      </c>
      <c r="BJ1260" s="27">
        <f t="shared" si="335"/>
        <v>0</v>
      </c>
      <c r="BK1260" s="27"/>
      <c r="BL1260" s="27">
        <v>725</v>
      </c>
      <c r="BW1260" s="27">
        <v>21</v>
      </c>
    </row>
    <row r="1261" spans="1:75" ht="13.5" customHeight="1">
      <c r="A1261" s="2" t="s">
        <v>1839</v>
      </c>
      <c r="B1261" s="3" t="s">
        <v>1762</v>
      </c>
      <c r="C1261" s="3" t="s">
        <v>1200</v>
      </c>
      <c r="D1261" s="148" t="s">
        <v>1201</v>
      </c>
      <c r="E1261" s="143"/>
      <c r="F1261" s="3" t="s">
        <v>1202</v>
      </c>
      <c r="G1261" s="27">
        <v>1</v>
      </c>
      <c r="H1261" s="27">
        <v>0</v>
      </c>
      <c r="I1261" s="27">
        <f t="shared" si="312"/>
        <v>0</v>
      </c>
      <c r="J1261" s="27">
        <f t="shared" si="313"/>
        <v>0</v>
      </c>
      <c r="K1261" s="27">
        <f t="shared" si="314"/>
        <v>0</v>
      </c>
      <c r="L1261" s="28" t="s">
        <v>52</v>
      </c>
      <c r="Z1261" s="27">
        <f t="shared" si="315"/>
        <v>0</v>
      </c>
      <c r="AB1261" s="27">
        <f t="shared" si="316"/>
        <v>0</v>
      </c>
      <c r="AC1261" s="27">
        <f t="shared" si="317"/>
        <v>0</v>
      </c>
      <c r="AD1261" s="27">
        <f t="shared" si="318"/>
        <v>0</v>
      </c>
      <c r="AE1261" s="27">
        <f t="shared" si="319"/>
        <v>0</v>
      </c>
      <c r="AF1261" s="27">
        <f t="shared" si="320"/>
        <v>0</v>
      </c>
      <c r="AG1261" s="27">
        <f t="shared" si="321"/>
        <v>0</v>
      </c>
      <c r="AH1261" s="27">
        <f t="shared" si="322"/>
        <v>0</v>
      </c>
      <c r="AI1261" s="9" t="s">
        <v>1762</v>
      </c>
      <c r="AJ1261" s="27">
        <f t="shared" si="323"/>
        <v>0</v>
      </c>
      <c r="AK1261" s="27">
        <f t="shared" si="324"/>
        <v>0</v>
      </c>
      <c r="AL1261" s="27">
        <f t="shared" si="325"/>
        <v>0</v>
      </c>
      <c r="AN1261" s="27">
        <v>21</v>
      </c>
      <c r="AO1261" s="27">
        <f t="shared" si="326"/>
        <v>0</v>
      </c>
      <c r="AP1261" s="27">
        <f t="shared" si="327"/>
        <v>0</v>
      </c>
      <c r="AQ1261" s="29" t="s">
        <v>84</v>
      </c>
      <c r="AV1261" s="27">
        <f t="shared" si="328"/>
        <v>0</v>
      </c>
      <c r="AW1261" s="27">
        <f t="shared" si="329"/>
        <v>0</v>
      </c>
      <c r="AX1261" s="27">
        <f t="shared" si="330"/>
        <v>0</v>
      </c>
      <c r="AY1261" s="29" t="s">
        <v>214</v>
      </c>
      <c r="AZ1261" s="29" t="s">
        <v>1765</v>
      </c>
      <c r="BA1261" s="9" t="s">
        <v>1766</v>
      </c>
      <c r="BC1261" s="27">
        <f t="shared" si="331"/>
        <v>0</v>
      </c>
      <c r="BD1261" s="27">
        <f t="shared" si="332"/>
        <v>0</v>
      </c>
      <c r="BE1261" s="27">
        <v>0</v>
      </c>
      <c r="BF1261" s="27">
        <f>1261</f>
        <v>1261</v>
      </c>
      <c r="BH1261" s="27">
        <f t="shared" si="333"/>
        <v>0</v>
      </c>
      <c r="BI1261" s="27">
        <f t="shared" si="334"/>
        <v>0</v>
      </c>
      <c r="BJ1261" s="27">
        <f t="shared" si="335"/>
        <v>0</v>
      </c>
      <c r="BK1261" s="27"/>
      <c r="BL1261" s="27">
        <v>725</v>
      </c>
      <c r="BW1261" s="27">
        <v>21</v>
      </c>
    </row>
    <row r="1262" spans="1:75" ht="13.5" customHeight="1">
      <c r="A1262" s="2" t="s">
        <v>1840</v>
      </c>
      <c r="B1262" s="3" t="s">
        <v>1762</v>
      </c>
      <c r="C1262" s="3" t="s">
        <v>1204</v>
      </c>
      <c r="D1262" s="148" t="s">
        <v>1205</v>
      </c>
      <c r="E1262" s="143"/>
      <c r="F1262" s="3" t="s">
        <v>1202</v>
      </c>
      <c r="G1262" s="27">
        <v>1</v>
      </c>
      <c r="H1262" s="27">
        <v>0</v>
      </c>
      <c r="I1262" s="27">
        <f t="shared" si="312"/>
        <v>0</v>
      </c>
      <c r="J1262" s="27">
        <f t="shared" si="313"/>
        <v>0</v>
      </c>
      <c r="K1262" s="27">
        <f t="shared" si="314"/>
        <v>0</v>
      </c>
      <c r="L1262" s="28" t="s">
        <v>52</v>
      </c>
      <c r="Z1262" s="27">
        <f t="shared" si="315"/>
        <v>0</v>
      </c>
      <c r="AB1262" s="27">
        <f t="shared" si="316"/>
        <v>0</v>
      </c>
      <c r="AC1262" s="27">
        <f t="shared" si="317"/>
        <v>0</v>
      </c>
      <c r="AD1262" s="27">
        <f t="shared" si="318"/>
        <v>0</v>
      </c>
      <c r="AE1262" s="27">
        <f t="shared" si="319"/>
        <v>0</v>
      </c>
      <c r="AF1262" s="27">
        <f t="shared" si="320"/>
        <v>0</v>
      </c>
      <c r="AG1262" s="27">
        <f t="shared" si="321"/>
        <v>0</v>
      </c>
      <c r="AH1262" s="27">
        <f t="shared" si="322"/>
        <v>0</v>
      </c>
      <c r="AI1262" s="9" t="s">
        <v>1762</v>
      </c>
      <c r="AJ1262" s="27">
        <f t="shared" si="323"/>
        <v>0</v>
      </c>
      <c r="AK1262" s="27">
        <f t="shared" si="324"/>
        <v>0</v>
      </c>
      <c r="AL1262" s="27">
        <f t="shared" si="325"/>
        <v>0</v>
      </c>
      <c r="AN1262" s="27">
        <v>21</v>
      </c>
      <c r="AO1262" s="27">
        <f t="shared" si="326"/>
        <v>0</v>
      </c>
      <c r="AP1262" s="27">
        <f t="shared" si="327"/>
        <v>0</v>
      </c>
      <c r="AQ1262" s="29" t="s">
        <v>84</v>
      </c>
      <c r="AV1262" s="27">
        <f t="shared" si="328"/>
        <v>0</v>
      </c>
      <c r="AW1262" s="27">
        <f t="shared" si="329"/>
        <v>0</v>
      </c>
      <c r="AX1262" s="27">
        <f t="shared" si="330"/>
        <v>0</v>
      </c>
      <c r="AY1262" s="29" t="s">
        <v>214</v>
      </c>
      <c r="AZ1262" s="29" t="s">
        <v>1765</v>
      </c>
      <c r="BA1262" s="9" t="s">
        <v>1766</v>
      </c>
      <c r="BC1262" s="27">
        <f t="shared" si="331"/>
        <v>0</v>
      </c>
      <c r="BD1262" s="27">
        <f t="shared" si="332"/>
        <v>0</v>
      </c>
      <c r="BE1262" s="27">
        <v>0</v>
      </c>
      <c r="BF1262" s="27">
        <f>1262</f>
        <v>1262</v>
      </c>
      <c r="BH1262" s="27">
        <f t="shared" si="333"/>
        <v>0</v>
      </c>
      <c r="BI1262" s="27">
        <f t="shared" si="334"/>
        <v>0</v>
      </c>
      <c r="BJ1262" s="27">
        <f t="shared" si="335"/>
        <v>0</v>
      </c>
      <c r="BK1262" s="27"/>
      <c r="BL1262" s="27">
        <v>725</v>
      </c>
      <c r="BW1262" s="27">
        <v>21</v>
      </c>
    </row>
    <row r="1263" spans="1:47" ht="15">
      <c r="A1263" s="23" t="s">
        <v>52</v>
      </c>
      <c r="B1263" s="24" t="s">
        <v>1762</v>
      </c>
      <c r="C1263" s="24" t="s">
        <v>250</v>
      </c>
      <c r="D1263" s="164" t="s">
        <v>251</v>
      </c>
      <c r="E1263" s="165"/>
      <c r="F1263" s="25" t="s">
        <v>4</v>
      </c>
      <c r="G1263" s="25" t="s">
        <v>4</v>
      </c>
      <c r="H1263" s="25" t="s">
        <v>4</v>
      </c>
      <c r="I1263" s="1">
        <f>SUM(I1264:I1266)</f>
        <v>0</v>
      </c>
      <c r="J1263" s="1">
        <f>SUM(J1264:J1266)</f>
        <v>0</v>
      </c>
      <c r="K1263" s="1">
        <f>SUM(K1264:K1266)</f>
        <v>0</v>
      </c>
      <c r="L1263" s="26" t="s">
        <v>52</v>
      </c>
      <c r="AI1263" s="9" t="s">
        <v>1762</v>
      </c>
      <c r="AS1263" s="1">
        <f>SUM(AJ1264:AJ1266)</f>
        <v>0</v>
      </c>
      <c r="AT1263" s="1">
        <f>SUM(AK1264:AK1266)</f>
        <v>0</v>
      </c>
      <c r="AU1263" s="1">
        <f>SUM(AL1264:AL1266)</f>
        <v>0</v>
      </c>
    </row>
    <row r="1264" spans="1:75" ht="13.5" customHeight="1">
      <c r="A1264" s="2" t="s">
        <v>1841</v>
      </c>
      <c r="B1264" s="3" t="s">
        <v>1762</v>
      </c>
      <c r="C1264" s="3" t="s">
        <v>599</v>
      </c>
      <c r="D1264" s="148" t="s">
        <v>860</v>
      </c>
      <c r="E1264" s="143"/>
      <c r="F1264" s="3" t="s">
        <v>282</v>
      </c>
      <c r="G1264" s="27">
        <v>5</v>
      </c>
      <c r="H1264" s="27">
        <v>0</v>
      </c>
      <c r="I1264" s="27">
        <f>G1264*AO1264</f>
        <v>0</v>
      </c>
      <c r="J1264" s="27">
        <f>G1264*AP1264</f>
        <v>0</v>
      </c>
      <c r="K1264" s="27">
        <f>G1264*H1264</f>
        <v>0</v>
      </c>
      <c r="L1264" s="28" t="s">
        <v>52</v>
      </c>
      <c r="Z1264" s="27">
        <f>IF(AQ1264="5",BJ1264,0)</f>
        <v>0</v>
      </c>
      <c r="AB1264" s="27">
        <f>IF(AQ1264="1",BH1264,0)</f>
        <v>0</v>
      </c>
      <c r="AC1264" s="27">
        <f>IF(AQ1264="1",BI1264,0)</f>
        <v>0</v>
      </c>
      <c r="AD1264" s="27">
        <f>IF(AQ1264="7",BH1264,0)</f>
        <v>0</v>
      </c>
      <c r="AE1264" s="27">
        <f>IF(AQ1264="7",BI1264,0)</f>
        <v>0</v>
      </c>
      <c r="AF1264" s="27">
        <f>IF(AQ1264="2",BH1264,0)</f>
        <v>0</v>
      </c>
      <c r="AG1264" s="27">
        <f>IF(AQ1264="2",BI1264,0)</f>
        <v>0</v>
      </c>
      <c r="AH1264" s="27">
        <f>IF(AQ1264="0",BJ1264,0)</f>
        <v>0</v>
      </c>
      <c r="AI1264" s="9" t="s">
        <v>1762</v>
      </c>
      <c r="AJ1264" s="27">
        <f>IF(AN1264=0,K1264,0)</f>
        <v>0</v>
      </c>
      <c r="AK1264" s="27">
        <f>IF(AN1264=12,K1264,0)</f>
        <v>0</v>
      </c>
      <c r="AL1264" s="27">
        <f>IF(AN1264=21,K1264,0)</f>
        <v>0</v>
      </c>
      <c r="AN1264" s="27">
        <v>21</v>
      </c>
      <c r="AO1264" s="27">
        <f>H1264*0</f>
        <v>0</v>
      </c>
      <c r="AP1264" s="27">
        <f>H1264*(1-0)</f>
        <v>0</v>
      </c>
      <c r="AQ1264" s="29" t="s">
        <v>84</v>
      </c>
      <c r="AV1264" s="27">
        <f>AW1264+AX1264</f>
        <v>0</v>
      </c>
      <c r="AW1264" s="27">
        <f>G1264*AO1264</f>
        <v>0</v>
      </c>
      <c r="AX1264" s="27">
        <f>G1264*AP1264</f>
        <v>0</v>
      </c>
      <c r="AY1264" s="29" t="s">
        <v>255</v>
      </c>
      <c r="AZ1264" s="29" t="s">
        <v>1842</v>
      </c>
      <c r="BA1264" s="9" t="s">
        <v>1766</v>
      </c>
      <c r="BC1264" s="27">
        <f>AW1264+AX1264</f>
        <v>0</v>
      </c>
      <c r="BD1264" s="27">
        <f>H1264/(100-BE1264)*100</f>
        <v>0</v>
      </c>
      <c r="BE1264" s="27">
        <v>0</v>
      </c>
      <c r="BF1264" s="27">
        <f>1264</f>
        <v>1264</v>
      </c>
      <c r="BH1264" s="27">
        <f>G1264*AO1264</f>
        <v>0</v>
      </c>
      <c r="BI1264" s="27">
        <f>G1264*AP1264</f>
        <v>0</v>
      </c>
      <c r="BJ1264" s="27">
        <f>G1264*H1264</f>
        <v>0</v>
      </c>
      <c r="BK1264" s="27"/>
      <c r="BL1264" s="27">
        <v>767</v>
      </c>
      <c r="BW1264" s="27">
        <v>21</v>
      </c>
    </row>
    <row r="1265" spans="1:75" ht="13.5" customHeight="1">
      <c r="A1265" s="2" t="s">
        <v>1843</v>
      </c>
      <c r="B1265" s="3" t="s">
        <v>1762</v>
      </c>
      <c r="C1265" s="3" t="s">
        <v>1844</v>
      </c>
      <c r="D1265" s="148" t="s">
        <v>1845</v>
      </c>
      <c r="E1265" s="143"/>
      <c r="F1265" s="3" t="s">
        <v>282</v>
      </c>
      <c r="G1265" s="27">
        <v>10</v>
      </c>
      <c r="H1265" s="27">
        <v>0</v>
      </c>
      <c r="I1265" s="27">
        <f>G1265*AO1265</f>
        <v>0</v>
      </c>
      <c r="J1265" s="27">
        <f>G1265*AP1265</f>
        <v>0</v>
      </c>
      <c r="K1265" s="27">
        <f>G1265*H1265</f>
        <v>0</v>
      </c>
      <c r="L1265" s="28" t="s">
        <v>52</v>
      </c>
      <c r="Z1265" s="27">
        <f>IF(AQ1265="5",BJ1265,0)</f>
        <v>0</v>
      </c>
      <c r="AB1265" s="27">
        <f>IF(AQ1265="1",BH1265,0)</f>
        <v>0</v>
      </c>
      <c r="AC1265" s="27">
        <f>IF(AQ1265="1",BI1265,0)</f>
        <v>0</v>
      </c>
      <c r="AD1265" s="27">
        <f>IF(AQ1265="7",BH1265,0)</f>
        <v>0</v>
      </c>
      <c r="AE1265" s="27">
        <f>IF(AQ1265="7",BI1265,0)</f>
        <v>0</v>
      </c>
      <c r="AF1265" s="27">
        <f>IF(AQ1265="2",BH1265,0)</f>
        <v>0</v>
      </c>
      <c r="AG1265" s="27">
        <f>IF(AQ1265="2",BI1265,0)</f>
        <v>0</v>
      </c>
      <c r="AH1265" s="27">
        <f>IF(AQ1265="0",BJ1265,0)</f>
        <v>0</v>
      </c>
      <c r="AI1265" s="9" t="s">
        <v>1762</v>
      </c>
      <c r="AJ1265" s="27">
        <f>IF(AN1265=0,K1265,0)</f>
        <v>0</v>
      </c>
      <c r="AK1265" s="27">
        <f>IF(AN1265=12,K1265,0)</f>
        <v>0</v>
      </c>
      <c r="AL1265" s="27">
        <f>IF(AN1265=21,K1265,0)</f>
        <v>0</v>
      </c>
      <c r="AN1265" s="27">
        <v>21</v>
      </c>
      <c r="AO1265" s="27">
        <f>H1265*0</f>
        <v>0</v>
      </c>
      <c r="AP1265" s="27">
        <f>H1265*(1-0)</f>
        <v>0</v>
      </c>
      <c r="AQ1265" s="29" t="s">
        <v>84</v>
      </c>
      <c r="AV1265" s="27">
        <f>AW1265+AX1265</f>
        <v>0</v>
      </c>
      <c r="AW1265" s="27">
        <f>G1265*AO1265</f>
        <v>0</v>
      </c>
      <c r="AX1265" s="27">
        <f>G1265*AP1265</f>
        <v>0</v>
      </c>
      <c r="AY1265" s="29" t="s">
        <v>255</v>
      </c>
      <c r="AZ1265" s="29" t="s">
        <v>1842</v>
      </c>
      <c r="BA1265" s="9" t="s">
        <v>1766</v>
      </c>
      <c r="BC1265" s="27">
        <f>AW1265+AX1265</f>
        <v>0</v>
      </c>
      <c r="BD1265" s="27">
        <f>H1265/(100-BE1265)*100</f>
        <v>0</v>
      </c>
      <c r="BE1265" s="27">
        <v>0</v>
      </c>
      <c r="BF1265" s="27">
        <f>1265</f>
        <v>1265</v>
      </c>
      <c r="BH1265" s="27">
        <f>G1265*AO1265</f>
        <v>0</v>
      </c>
      <c r="BI1265" s="27">
        <f>G1265*AP1265</f>
        <v>0</v>
      </c>
      <c r="BJ1265" s="27">
        <f>G1265*H1265</f>
        <v>0</v>
      </c>
      <c r="BK1265" s="27"/>
      <c r="BL1265" s="27">
        <v>767</v>
      </c>
      <c r="BW1265" s="27">
        <v>21</v>
      </c>
    </row>
    <row r="1266" spans="1:75" ht="13.5" customHeight="1">
      <c r="A1266" s="2" t="s">
        <v>1846</v>
      </c>
      <c r="B1266" s="3" t="s">
        <v>1762</v>
      </c>
      <c r="C1266" s="3" t="s">
        <v>603</v>
      </c>
      <c r="D1266" s="148" t="s">
        <v>863</v>
      </c>
      <c r="E1266" s="143"/>
      <c r="F1266" s="3" t="s">
        <v>282</v>
      </c>
      <c r="G1266" s="27">
        <v>15</v>
      </c>
      <c r="H1266" s="27">
        <v>0</v>
      </c>
      <c r="I1266" s="27">
        <f>G1266*AO1266</f>
        <v>0</v>
      </c>
      <c r="J1266" s="27">
        <f>G1266*AP1266</f>
        <v>0</v>
      </c>
      <c r="K1266" s="27">
        <f>G1266*H1266</f>
        <v>0</v>
      </c>
      <c r="L1266" s="28" t="s">
        <v>52</v>
      </c>
      <c r="Z1266" s="27">
        <f>IF(AQ1266="5",BJ1266,0)</f>
        <v>0</v>
      </c>
      <c r="AB1266" s="27">
        <f>IF(AQ1266="1",BH1266,0)</f>
        <v>0</v>
      </c>
      <c r="AC1266" s="27">
        <f>IF(AQ1266="1",BI1266,0)</f>
        <v>0</v>
      </c>
      <c r="AD1266" s="27">
        <f>IF(AQ1266="7",BH1266,0)</f>
        <v>0</v>
      </c>
      <c r="AE1266" s="27">
        <f>IF(AQ1266="7",BI1266,0)</f>
        <v>0</v>
      </c>
      <c r="AF1266" s="27">
        <f>IF(AQ1266="2",BH1266,0)</f>
        <v>0</v>
      </c>
      <c r="AG1266" s="27">
        <f>IF(AQ1266="2",BI1266,0)</f>
        <v>0</v>
      </c>
      <c r="AH1266" s="27">
        <f>IF(AQ1266="0",BJ1266,0)</f>
        <v>0</v>
      </c>
      <c r="AI1266" s="9" t="s">
        <v>1762</v>
      </c>
      <c r="AJ1266" s="27">
        <f>IF(AN1266=0,K1266,0)</f>
        <v>0</v>
      </c>
      <c r="AK1266" s="27">
        <f>IF(AN1266=12,K1266,0)</f>
        <v>0</v>
      </c>
      <c r="AL1266" s="27">
        <f>IF(AN1266=21,K1266,0)</f>
        <v>0</v>
      </c>
      <c r="AN1266" s="27">
        <v>21</v>
      </c>
      <c r="AO1266" s="27">
        <f>H1266*0</f>
        <v>0</v>
      </c>
      <c r="AP1266" s="27">
        <f>H1266*(1-0)</f>
        <v>0</v>
      </c>
      <c r="AQ1266" s="29" t="s">
        <v>84</v>
      </c>
      <c r="AV1266" s="27">
        <f>AW1266+AX1266</f>
        <v>0</v>
      </c>
      <c r="AW1266" s="27">
        <f>G1266*AO1266</f>
        <v>0</v>
      </c>
      <c r="AX1266" s="27">
        <f>G1266*AP1266</f>
        <v>0</v>
      </c>
      <c r="AY1266" s="29" t="s">
        <v>255</v>
      </c>
      <c r="AZ1266" s="29" t="s">
        <v>1842</v>
      </c>
      <c r="BA1266" s="9" t="s">
        <v>1766</v>
      </c>
      <c r="BC1266" s="27">
        <f>AW1266+AX1266</f>
        <v>0</v>
      </c>
      <c r="BD1266" s="27">
        <f>H1266/(100-BE1266)*100</f>
        <v>0</v>
      </c>
      <c r="BE1266" s="27">
        <v>0</v>
      </c>
      <c r="BF1266" s="27">
        <f>1266</f>
        <v>1266</v>
      </c>
      <c r="BH1266" s="27">
        <f>G1266*AO1266</f>
        <v>0</v>
      </c>
      <c r="BI1266" s="27">
        <f>G1266*AP1266</f>
        <v>0</v>
      </c>
      <c r="BJ1266" s="27">
        <f>G1266*H1266</f>
        <v>0</v>
      </c>
      <c r="BK1266" s="27"/>
      <c r="BL1266" s="27">
        <v>767</v>
      </c>
      <c r="BW1266" s="27">
        <v>21</v>
      </c>
    </row>
    <row r="1267" spans="1:47" ht="15">
      <c r="A1267" s="23" t="s">
        <v>52</v>
      </c>
      <c r="B1267" s="24" t="s">
        <v>1762</v>
      </c>
      <c r="C1267" s="24" t="s">
        <v>864</v>
      </c>
      <c r="D1267" s="164" t="s">
        <v>201</v>
      </c>
      <c r="E1267" s="165"/>
      <c r="F1267" s="25" t="s">
        <v>4</v>
      </c>
      <c r="G1267" s="25" t="s">
        <v>4</v>
      </c>
      <c r="H1267" s="25" t="s">
        <v>4</v>
      </c>
      <c r="I1267" s="1">
        <f>SUM(I1268:I1268)</f>
        <v>0</v>
      </c>
      <c r="J1267" s="1">
        <f>SUM(J1268:J1268)</f>
        <v>0</v>
      </c>
      <c r="K1267" s="1">
        <f>SUM(K1268:K1268)</f>
        <v>0</v>
      </c>
      <c r="L1267" s="26" t="s">
        <v>52</v>
      </c>
      <c r="AI1267" s="9" t="s">
        <v>1762</v>
      </c>
      <c r="AS1267" s="1">
        <f>SUM(AJ1268:AJ1268)</f>
        <v>0</v>
      </c>
      <c r="AT1267" s="1">
        <f>SUM(AK1268:AK1268)</f>
        <v>0</v>
      </c>
      <c r="AU1267" s="1">
        <f>SUM(AL1268:AL1268)</f>
        <v>0</v>
      </c>
    </row>
    <row r="1268" spans="1:75" ht="13.5" customHeight="1">
      <c r="A1268" s="2" t="s">
        <v>1847</v>
      </c>
      <c r="B1268" s="3" t="s">
        <v>1762</v>
      </c>
      <c r="C1268" s="3" t="s">
        <v>866</v>
      </c>
      <c r="D1268" s="148" t="s">
        <v>867</v>
      </c>
      <c r="E1268" s="143"/>
      <c r="F1268" s="3" t="s">
        <v>95</v>
      </c>
      <c r="G1268" s="27">
        <v>0.01553</v>
      </c>
      <c r="H1268" s="27">
        <v>0</v>
      </c>
      <c r="I1268" s="27">
        <f>G1268*AO1268</f>
        <v>0</v>
      </c>
      <c r="J1268" s="27">
        <f>G1268*AP1268</f>
        <v>0</v>
      </c>
      <c r="K1268" s="27">
        <f>G1268*H1268</f>
        <v>0</v>
      </c>
      <c r="L1268" s="28" t="s">
        <v>52</v>
      </c>
      <c r="Z1268" s="27">
        <f>IF(AQ1268="5",BJ1268,0)</f>
        <v>0</v>
      </c>
      <c r="AB1268" s="27">
        <f>IF(AQ1268="1",BH1268,0)</f>
        <v>0</v>
      </c>
      <c r="AC1268" s="27">
        <f>IF(AQ1268="1",BI1268,0)</f>
        <v>0</v>
      </c>
      <c r="AD1268" s="27">
        <f>IF(AQ1268="7",BH1268,0)</f>
        <v>0</v>
      </c>
      <c r="AE1268" s="27">
        <f>IF(AQ1268="7",BI1268,0)</f>
        <v>0</v>
      </c>
      <c r="AF1268" s="27">
        <f>IF(AQ1268="2",BH1268,0)</f>
        <v>0</v>
      </c>
      <c r="AG1268" s="27">
        <f>IF(AQ1268="2",BI1268,0)</f>
        <v>0</v>
      </c>
      <c r="AH1268" s="27">
        <f>IF(AQ1268="0",BJ1268,0)</f>
        <v>0</v>
      </c>
      <c r="AI1268" s="9" t="s">
        <v>1762</v>
      </c>
      <c r="AJ1268" s="27">
        <f>IF(AN1268=0,K1268,0)</f>
        <v>0</v>
      </c>
      <c r="AK1268" s="27">
        <f>IF(AN1268=12,K1268,0)</f>
        <v>0</v>
      </c>
      <c r="AL1268" s="27">
        <f>IF(AN1268=21,K1268,0)</f>
        <v>0</v>
      </c>
      <c r="AN1268" s="27">
        <v>21</v>
      </c>
      <c r="AO1268" s="27">
        <f>H1268*0</f>
        <v>0</v>
      </c>
      <c r="AP1268" s="27">
        <f>H1268*(1-0)</f>
        <v>0</v>
      </c>
      <c r="AQ1268" s="29" t="s">
        <v>78</v>
      </c>
      <c r="AV1268" s="27">
        <f>AW1268+AX1268</f>
        <v>0</v>
      </c>
      <c r="AW1268" s="27">
        <f>G1268*AO1268</f>
        <v>0</v>
      </c>
      <c r="AX1268" s="27">
        <f>G1268*AP1268</f>
        <v>0</v>
      </c>
      <c r="AY1268" s="29" t="s">
        <v>868</v>
      </c>
      <c r="AZ1268" s="29" t="s">
        <v>1848</v>
      </c>
      <c r="BA1268" s="9" t="s">
        <v>1766</v>
      </c>
      <c r="BC1268" s="27">
        <f>AW1268+AX1268</f>
        <v>0</v>
      </c>
      <c r="BD1268" s="27">
        <f>H1268/(100-BE1268)*100</f>
        <v>0</v>
      </c>
      <c r="BE1268" s="27">
        <v>0</v>
      </c>
      <c r="BF1268" s="27">
        <f>1268</f>
        <v>1268</v>
      </c>
      <c r="BH1268" s="27">
        <f>G1268*AO1268</f>
        <v>0</v>
      </c>
      <c r="BI1268" s="27">
        <f>G1268*AP1268</f>
        <v>0</v>
      </c>
      <c r="BJ1268" s="27">
        <f>G1268*H1268</f>
        <v>0</v>
      </c>
      <c r="BK1268" s="27"/>
      <c r="BL1268" s="27"/>
      <c r="BW1268" s="27">
        <v>21</v>
      </c>
    </row>
    <row r="1269" spans="1:47" ht="15">
      <c r="A1269" s="23" t="s">
        <v>52</v>
      </c>
      <c r="B1269" s="24" t="s">
        <v>1762</v>
      </c>
      <c r="C1269" s="24" t="s">
        <v>870</v>
      </c>
      <c r="D1269" s="164" t="s">
        <v>700</v>
      </c>
      <c r="E1269" s="165"/>
      <c r="F1269" s="25" t="s">
        <v>4</v>
      </c>
      <c r="G1269" s="25" t="s">
        <v>4</v>
      </c>
      <c r="H1269" s="25" t="s">
        <v>4</v>
      </c>
      <c r="I1269" s="1">
        <f>SUM(I1270:I1270)</f>
        <v>0</v>
      </c>
      <c r="J1269" s="1">
        <f>SUM(J1270:J1270)</f>
        <v>0</v>
      </c>
      <c r="K1269" s="1">
        <f>SUM(K1270:K1270)</f>
        <v>0</v>
      </c>
      <c r="L1269" s="26" t="s">
        <v>52</v>
      </c>
      <c r="AI1269" s="9" t="s">
        <v>1762</v>
      </c>
      <c r="AS1269" s="1">
        <f>SUM(AJ1270:AJ1270)</f>
        <v>0</v>
      </c>
      <c r="AT1269" s="1">
        <f>SUM(AK1270:AK1270)</f>
        <v>0</v>
      </c>
      <c r="AU1269" s="1">
        <f>SUM(AL1270:AL1270)</f>
        <v>0</v>
      </c>
    </row>
    <row r="1270" spans="1:75" ht="13.5" customHeight="1">
      <c r="A1270" s="2" t="s">
        <v>1849</v>
      </c>
      <c r="B1270" s="3" t="s">
        <v>1762</v>
      </c>
      <c r="C1270" s="3" t="s">
        <v>872</v>
      </c>
      <c r="D1270" s="148" t="s">
        <v>873</v>
      </c>
      <c r="E1270" s="143"/>
      <c r="F1270" s="3" t="s">
        <v>95</v>
      </c>
      <c r="G1270" s="27">
        <v>0.09946</v>
      </c>
      <c r="H1270" s="27">
        <v>0</v>
      </c>
      <c r="I1270" s="27">
        <f>G1270*AO1270</f>
        <v>0</v>
      </c>
      <c r="J1270" s="27">
        <f>G1270*AP1270</f>
        <v>0</v>
      </c>
      <c r="K1270" s="27">
        <f>G1270*H1270</f>
        <v>0</v>
      </c>
      <c r="L1270" s="28" t="s">
        <v>52</v>
      </c>
      <c r="Z1270" s="27">
        <f>IF(AQ1270="5",BJ1270,0)</f>
        <v>0</v>
      </c>
      <c r="AB1270" s="27">
        <f>IF(AQ1270="1",BH1270,0)</f>
        <v>0</v>
      </c>
      <c r="AC1270" s="27">
        <f>IF(AQ1270="1",BI1270,0)</f>
        <v>0</v>
      </c>
      <c r="AD1270" s="27">
        <f>IF(AQ1270="7",BH1270,0)</f>
        <v>0</v>
      </c>
      <c r="AE1270" s="27">
        <f>IF(AQ1270="7",BI1270,0)</f>
        <v>0</v>
      </c>
      <c r="AF1270" s="27">
        <f>IF(AQ1270="2",BH1270,0)</f>
        <v>0</v>
      </c>
      <c r="AG1270" s="27">
        <f>IF(AQ1270="2",BI1270,0)</f>
        <v>0</v>
      </c>
      <c r="AH1270" s="27">
        <f>IF(AQ1270="0",BJ1270,0)</f>
        <v>0</v>
      </c>
      <c r="AI1270" s="9" t="s">
        <v>1762</v>
      </c>
      <c r="AJ1270" s="27">
        <f>IF(AN1270=0,K1270,0)</f>
        <v>0</v>
      </c>
      <c r="AK1270" s="27">
        <f>IF(AN1270=12,K1270,0)</f>
        <v>0</v>
      </c>
      <c r="AL1270" s="27">
        <f>IF(AN1270=21,K1270,0)</f>
        <v>0</v>
      </c>
      <c r="AN1270" s="27">
        <v>21</v>
      </c>
      <c r="AO1270" s="27">
        <f>H1270*0</f>
        <v>0</v>
      </c>
      <c r="AP1270" s="27">
        <f>H1270*(1-0)</f>
        <v>0</v>
      </c>
      <c r="AQ1270" s="29" t="s">
        <v>78</v>
      </c>
      <c r="AV1270" s="27">
        <f>AW1270+AX1270</f>
        <v>0</v>
      </c>
      <c r="AW1270" s="27">
        <f>G1270*AO1270</f>
        <v>0</v>
      </c>
      <c r="AX1270" s="27">
        <f>G1270*AP1270</f>
        <v>0</v>
      </c>
      <c r="AY1270" s="29" t="s">
        <v>874</v>
      </c>
      <c r="AZ1270" s="29" t="s">
        <v>1848</v>
      </c>
      <c r="BA1270" s="9" t="s">
        <v>1766</v>
      </c>
      <c r="BC1270" s="27">
        <f>AW1270+AX1270</f>
        <v>0</v>
      </c>
      <c r="BD1270" s="27">
        <f>H1270/(100-BE1270)*100</f>
        <v>0</v>
      </c>
      <c r="BE1270" s="27">
        <v>0</v>
      </c>
      <c r="BF1270" s="27">
        <f>1270</f>
        <v>1270</v>
      </c>
      <c r="BH1270" s="27">
        <f>G1270*AO1270</f>
        <v>0</v>
      </c>
      <c r="BI1270" s="27">
        <f>G1270*AP1270</f>
        <v>0</v>
      </c>
      <c r="BJ1270" s="27">
        <f>G1270*H1270</f>
        <v>0</v>
      </c>
      <c r="BK1270" s="27"/>
      <c r="BL1270" s="27"/>
      <c r="BW1270" s="27">
        <v>21</v>
      </c>
    </row>
    <row r="1271" spans="1:47" ht="15">
      <c r="A1271" s="23" t="s">
        <v>52</v>
      </c>
      <c r="B1271" s="24" t="s">
        <v>1762</v>
      </c>
      <c r="C1271" s="24" t="s">
        <v>875</v>
      </c>
      <c r="D1271" s="164" t="s">
        <v>210</v>
      </c>
      <c r="E1271" s="165"/>
      <c r="F1271" s="25" t="s">
        <v>4</v>
      </c>
      <c r="G1271" s="25" t="s">
        <v>4</v>
      </c>
      <c r="H1271" s="25" t="s">
        <v>4</v>
      </c>
      <c r="I1271" s="1">
        <f>SUM(I1272:I1272)</f>
        <v>0</v>
      </c>
      <c r="J1271" s="1">
        <f>SUM(J1272:J1272)</f>
        <v>0</v>
      </c>
      <c r="K1271" s="1">
        <f>SUM(K1272:K1272)</f>
        <v>0</v>
      </c>
      <c r="L1271" s="26" t="s">
        <v>52</v>
      </c>
      <c r="AI1271" s="9" t="s">
        <v>1762</v>
      </c>
      <c r="AS1271" s="1">
        <f>SUM(AJ1272:AJ1272)</f>
        <v>0</v>
      </c>
      <c r="AT1271" s="1">
        <f>SUM(AK1272:AK1272)</f>
        <v>0</v>
      </c>
      <c r="AU1271" s="1">
        <f>SUM(AL1272:AL1272)</f>
        <v>0</v>
      </c>
    </row>
    <row r="1272" spans="1:75" ht="13.5" customHeight="1">
      <c r="A1272" s="2" t="s">
        <v>1850</v>
      </c>
      <c r="B1272" s="3" t="s">
        <v>1762</v>
      </c>
      <c r="C1272" s="3" t="s">
        <v>877</v>
      </c>
      <c r="D1272" s="148" t="s">
        <v>878</v>
      </c>
      <c r="E1272" s="143"/>
      <c r="F1272" s="3" t="s">
        <v>95</v>
      </c>
      <c r="G1272" s="27">
        <v>0.03174</v>
      </c>
      <c r="H1272" s="27">
        <v>0</v>
      </c>
      <c r="I1272" s="27">
        <f>G1272*AO1272</f>
        <v>0</v>
      </c>
      <c r="J1272" s="27">
        <f>G1272*AP1272</f>
        <v>0</v>
      </c>
      <c r="K1272" s="27">
        <f>G1272*H1272</f>
        <v>0</v>
      </c>
      <c r="L1272" s="28" t="s">
        <v>52</v>
      </c>
      <c r="Z1272" s="27">
        <f>IF(AQ1272="5",BJ1272,0)</f>
        <v>0</v>
      </c>
      <c r="AB1272" s="27">
        <f>IF(AQ1272="1",BH1272,0)</f>
        <v>0</v>
      </c>
      <c r="AC1272" s="27">
        <f>IF(AQ1272="1",BI1272,0)</f>
        <v>0</v>
      </c>
      <c r="AD1272" s="27">
        <f>IF(AQ1272="7",BH1272,0)</f>
        <v>0</v>
      </c>
      <c r="AE1272" s="27">
        <f>IF(AQ1272="7",BI1272,0)</f>
        <v>0</v>
      </c>
      <c r="AF1272" s="27">
        <f>IF(AQ1272="2",BH1272,0)</f>
        <v>0</v>
      </c>
      <c r="AG1272" s="27">
        <f>IF(AQ1272="2",BI1272,0)</f>
        <v>0</v>
      </c>
      <c r="AH1272" s="27">
        <f>IF(AQ1272="0",BJ1272,0)</f>
        <v>0</v>
      </c>
      <c r="AI1272" s="9" t="s">
        <v>1762</v>
      </c>
      <c r="AJ1272" s="27">
        <f>IF(AN1272=0,K1272,0)</f>
        <v>0</v>
      </c>
      <c r="AK1272" s="27">
        <f>IF(AN1272=12,K1272,0)</f>
        <v>0</v>
      </c>
      <c r="AL1272" s="27">
        <f>IF(AN1272=21,K1272,0)</f>
        <v>0</v>
      </c>
      <c r="AN1272" s="27">
        <v>21</v>
      </c>
      <c r="AO1272" s="27">
        <f>H1272*0</f>
        <v>0</v>
      </c>
      <c r="AP1272" s="27">
        <f>H1272*(1-0)</f>
        <v>0</v>
      </c>
      <c r="AQ1272" s="29" t="s">
        <v>78</v>
      </c>
      <c r="AV1272" s="27">
        <f>AW1272+AX1272</f>
        <v>0</v>
      </c>
      <c r="AW1272" s="27">
        <f>G1272*AO1272</f>
        <v>0</v>
      </c>
      <c r="AX1272" s="27">
        <f>G1272*AP1272</f>
        <v>0</v>
      </c>
      <c r="AY1272" s="29" t="s">
        <v>879</v>
      </c>
      <c r="AZ1272" s="29" t="s">
        <v>1848</v>
      </c>
      <c r="BA1272" s="9" t="s">
        <v>1766</v>
      </c>
      <c r="BC1272" s="27">
        <f>AW1272+AX1272</f>
        <v>0</v>
      </c>
      <c r="BD1272" s="27">
        <f>H1272/(100-BE1272)*100</f>
        <v>0</v>
      </c>
      <c r="BE1272" s="27">
        <v>0</v>
      </c>
      <c r="BF1272" s="27">
        <f>1272</f>
        <v>1272</v>
      </c>
      <c r="BH1272" s="27">
        <f>G1272*AO1272</f>
        <v>0</v>
      </c>
      <c r="BI1272" s="27">
        <f>G1272*AP1272</f>
        <v>0</v>
      </c>
      <c r="BJ1272" s="27">
        <f>G1272*H1272</f>
        <v>0</v>
      </c>
      <c r="BK1272" s="27"/>
      <c r="BL1272" s="27"/>
      <c r="BW1272" s="27">
        <v>21</v>
      </c>
    </row>
    <row r="1273" spans="1:47" ht="15">
      <c r="A1273" s="23" t="s">
        <v>52</v>
      </c>
      <c r="B1273" s="24" t="s">
        <v>1762</v>
      </c>
      <c r="C1273" s="24" t="s">
        <v>626</v>
      </c>
      <c r="D1273" s="164" t="s">
        <v>251</v>
      </c>
      <c r="E1273" s="165"/>
      <c r="F1273" s="25" t="s">
        <v>4</v>
      </c>
      <c r="G1273" s="25" t="s">
        <v>4</v>
      </c>
      <c r="H1273" s="25" t="s">
        <v>4</v>
      </c>
      <c r="I1273" s="1">
        <f>SUM(I1274:I1274)</f>
        <v>0</v>
      </c>
      <c r="J1273" s="1">
        <f>SUM(J1274:J1274)</f>
        <v>0</v>
      </c>
      <c r="K1273" s="1">
        <f>SUM(K1274:K1274)</f>
        <v>0</v>
      </c>
      <c r="L1273" s="26" t="s">
        <v>52</v>
      </c>
      <c r="AI1273" s="9" t="s">
        <v>1762</v>
      </c>
      <c r="AS1273" s="1">
        <f>SUM(AJ1274:AJ1274)</f>
        <v>0</v>
      </c>
      <c r="AT1273" s="1">
        <f>SUM(AK1274:AK1274)</f>
        <v>0</v>
      </c>
      <c r="AU1273" s="1">
        <f>SUM(AL1274:AL1274)</f>
        <v>0</v>
      </c>
    </row>
    <row r="1274" spans="1:75" ht="13.5" customHeight="1">
      <c r="A1274" s="2" t="s">
        <v>1851</v>
      </c>
      <c r="B1274" s="3" t="s">
        <v>1762</v>
      </c>
      <c r="C1274" s="3" t="s">
        <v>628</v>
      </c>
      <c r="D1274" s="148" t="s">
        <v>629</v>
      </c>
      <c r="E1274" s="143"/>
      <c r="F1274" s="3" t="s">
        <v>95</v>
      </c>
      <c r="G1274" s="27">
        <v>0.0018</v>
      </c>
      <c r="H1274" s="27">
        <v>0</v>
      </c>
      <c r="I1274" s="27">
        <f>G1274*AO1274</f>
        <v>0</v>
      </c>
      <c r="J1274" s="27">
        <f>G1274*AP1274</f>
        <v>0</v>
      </c>
      <c r="K1274" s="27">
        <f>G1274*H1274</f>
        <v>0</v>
      </c>
      <c r="L1274" s="28" t="s">
        <v>52</v>
      </c>
      <c r="Z1274" s="27">
        <f>IF(AQ1274="5",BJ1274,0)</f>
        <v>0</v>
      </c>
      <c r="AB1274" s="27">
        <f>IF(AQ1274="1",BH1274,0)</f>
        <v>0</v>
      </c>
      <c r="AC1274" s="27">
        <f>IF(AQ1274="1",BI1274,0)</f>
        <v>0</v>
      </c>
      <c r="AD1274" s="27">
        <f>IF(AQ1274="7",BH1274,0)</f>
        <v>0</v>
      </c>
      <c r="AE1274" s="27">
        <f>IF(AQ1274="7",BI1274,0)</f>
        <v>0</v>
      </c>
      <c r="AF1274" s="27">
        <f>IF(AQ1274="2",BH1274,0)</f>
        <v>0</v>
      </c>
      <c r="AG1274" s="27">
        <f>IF(AQ1274="2",BI1274,0)</f>
        <v>0</v>
      </c>
      <c r="AH1274" s="27">
        <f>IF(AQ1274="0",BJ1274,0)</f>
        <v>0</v>
      </c>
      <c r="AI1274" s="9" t="s">
        <v>1762</v>
      </c>
      <c r="AJ1274" s="27">
        <f>IF(AN1274=0,K1274,0)</f>
        <v>0</v>
      </c>
      <c r="AK1274" s="27">
        <f>IF(AN1274=12,K1274,0)</f>
        <v>0</v>
      </c>
      <c r="AL1274" s="27">
        <f>IF(AN1274=21,K1274,0)</f>
        <v>0</v>
      </c>
      <c r="AN1274" s="27">
        <v>21</v>
      </c>
      <c r="AO1274" s="27">
        <f>H1274*0</f>
        <v>0</v>
      </c>
      <c r="AP1274" s="27">
        <f>H1274*(1-0)</f>
        <v>0</v>
      </c>
      <c r="AQ1274" s="29" t="s">
        <v>78</v>
      </c>
      <c r="AV1274" s="27">
        <f>AW1274+AX1274</f>
        <v>0</v>
      </c>
      <c r="AW1274" s="27">
        <f>G1274*AO1274</f>
        <v>0</v>
      </c>
      <c r="AX1274" s="27">
        <f>G1274*AP1274</f>
        <v>0</v>
      </c>
      <c r="AY1274" s="29" t="s">
        <v>630</v>
      </c>
      <c r="AZ1274" s="29" t="s">
        <v>1848</v>
      </c>
      <c r="BA1274" s="9" t="s">
        <v>1766</v>
      </c>
      <c r="BC1274" s="27">
        <f>AW1274+AX1274</f>
        <v>0</v>
      </c>
      <c r="BD1274" s="27">
        <f>H1274/(100-BE1274)*100</f>
        <v>0</v>
      </c>
      <c r="BE1274" s="27">
        <v>0</v>
      </c>
      <c r="BF1274" s="27">
        <f>1274</f>
        <v>1274</v>
      </c>
      <c r="BH1274" s="27">
        <f>G1274*AO1274</f>
        <v>0</v>
      </c>
      <c r="BI1274" s="27">
        <f>G1274*AP1274</f>
        <v>0</v>
      </c>
      <c r="BJ1274" s="27">
        <f>G1274*H1274</f>
        <v>0</v>
      </c>
      <c r="BK1274" s="27"/>
      <c r="BL1274" s="27"/>
      <c r="BW1274" s="27">
        <v>21</v>
      </c>
    </row>
    <row r="1275" spans="1:47" ht="15">
      <c r="A1275" s="23" t="s">
        <v>52</v>
      </c>
      <c r="B1275" s="24" t="s">
        <v>1762</v>
      </c>
      <c r="C1275" s="24" t="s">
        <v>52</v>
      </c>
      <c r="D1275" s="164" t="s">
        <v>631</v>
      </c>
      <c r="E1275" s="165"/>
      <c r="F1275" s="25" t="s">
        <v>4</v>
      </c>
      <c r="G1275" s="25" t="s">
        <v>4</v>
      </c>
      <c r="H1275" s="25" t="s">
        <v>4</v>
      </c>
      <c r="I1275" s="1">
        <f>SUM(I1276:I1279)</f>
        <v>0</v>
      </c>
      <c r="J1275" s="1">
        <f>SUM(J1276:J1279)</f>
        <v>0</v>
      </c>
      <c r="K1275" s="1">
        <f>SUM(K1276:K1279)</f>
        <v>0</v>
      </c>
      <c r="L1275" s="26" t="s">
        <v>52</v>
      </c>
      <c r="AI1275" s="9" t="s">
        <v>1762</v>
      </c>
      <c r="AS1275" s="1">
        <f>SUM(AJ1276:AJ1279)</f>
        <v>0</v>
      </c>
      <c r="AT1275" s="1">
        <f>SUM(AK1276:AK1279)</f>
        <v>0</v>
      </c>
      <c r="AU1275" s="1">
        <f>SUM(AL1276:AL1279)</f>
        <v>0</v>
      </c>
    </row>
    <row r="1276" spans="1:75" ht="13.5" customHeight="1">
      <c r="A1276" s="2" t="s">
        <v>1852</v>
      </c>
      <c r="B1276" s="3" t="s">
        <v>1762</v>
      </c>
      <c r="C1276" s="3" t="s">
        <v>633</v>
      </c>
      <c r="D1276" s="148" t="s">
        <v>887</v>
      </c>
      <c r="E1276" s="143"/>
      <c r="F1276" s="3" t="s">
        <v>635</v>
      </c>
      <c r="G1276" s="27">
        <v>4</v>
      </c>
      <c r="H1276" s="27">
        <v>0</v>
      </c>
      <c r="I1276" s="27">
        <f>G1276*AO1276</f>
        <v>0</v>
      </c>
      <c r="J1276" s="27">
        <f>G1276*AP1276</f>
        <v>0</v>
      </c>
      <c r="K1276" s="27">
        <f>G1276*H1276</f>
        <v>0</v>
      </c>
      <c r="L1276" s="28" t="s">
        <v>52</v>
      </c>
      <c r="Z1276" s="27">
        <f>IF(AQ1276="5",BJ1276,0)</f>
        <v>0</v>
      </c>
      <c r="AB1276" s="27">
        <f>IF(AQ1276="1",BH1276,0)</f>
        <v>0</v>
      </c>
      <c r="AC1276" s="27">
        <f>IF(AQ1276="1",BI1276,0)</f>
        <v>0</v>
      </c>
      <c r="AD1276" s="27">
        <f>IF(AQ1276="7",BH1276,0)</f>
        <v>0</v>
      </c>
      <c r="AE1276" s="27">
        <f>IF(AQ1276="7",BI1276,0)</f>
        <v>0</v>
      </c>
      <c r="AF1276" s="27">
        <f>IF(AQ1276="2",BH1276,0)</f>
        <v>0</v>
      </c>
      <c r="AG1276" s="27">
        <f>IF(AQ1276="2",BI1276,0)</f>
        <v>0</v>
      </c>
      <c r="AH1276" s="27">
        <f>IF(AQ1276="0",BJ1276,0)</f>
        <v>0</v>
      </c>
      <c r="AI1276" s="9" t="s">
        <v>1762</v>
      </c>
      <c r="AJ1276" s="27">
        <f>IF(AN1276=0,K1276,0)</f>
        <v>0</v>
      </c>
      <c r="AK1276" s="27">
        <f>IF(AN1276=12,K1276,0)</f>
        <v>0</v>
      </c>
      <c r="AL1276" s="27">
        <f>IF(AN1276=21,K1276,0)</f>
        <v>0</v>
      </c>
      <c r="AN1276" s="27">
        <v>21</v>
      </c>
      <c r="AO1276" s="27">
        <f>H1276*0</f>
        <v>0</v>
      </c>
      <c r="AP1276" s="27">
        <f>H1276*(1-0)</f>
        <v>0</v>
      </c>
      <c r="AQ1276" s="29" t="s">
        <v>57</v>
      </c>
      <c r="AV1276" s="27">
        <f>AW1276+AX1276</f>
        <v>0</v>
      </c>
      <c r="AW1276" s="27">
        <f>G1276*AO1276</f>
        <v>0</v>
      </c>
      <c r="AX1276" s="27">
        <f>G1276*AP1276</f>
        <v>0</v>
      </c>
      <c r="AY1276" s="29" t="s">
        <v>636</v>
      </c>
      <c r="AZ1276" s="29" t="s">
        <v>1853</v>
      </c>
      <c r="BA1276" s="9" t="s">
        <v>1766</v>
      </c>
      <c r="BC1276" s="27">
        <f>AW1276+AX1276</f>
        <v>0</v>
      </c>
      <c r="BD1276" s="27">
        <f>H1276/(100-BE1276)*100</f>
        <v>0</v>
      </c>
      <c r="BE1276" s="27">
        <v>0</v>
      </c>
      <c r="BF1276" s="27">
        <f>1276</f>
        <v>1276</v>
      </c>
      <c r="BH1276" s="27">
        <f>G1276*AO1276</f>
        <v>0</v>
      </c>
      <c r="BI1276" s="27">
        <f>G1276*AP1276</f>
        <v>0</v>
      </c>
      <c r="BJ1276" s="27">
        <f>G1276*H1276</f>
        <v>0</v>
      </c>
      <c r="BK1276" s="27"/>
      <c r="BL1276" s="27"/>
      <c r="BW1276" s="27">
        <v>21</v>
      </c>
    </row>
    <row r="1277" spans="1:75" ht="13.5" customHeight="1">
      <c r="A1277" s="2" t="s">
        <v>1854</v>
      </c>
      <c r="B1277" s="3" t="s">
        <v>1762</v>
      </c>
      <c r="C1277" s="3" t="s">
        <v>639</v>
      </c>
      <c r="D1277" s="148" t="s">
        <v>640</v>
      </c>
      <c r="E1277" s="143"/>
      <c r="F1277" s="3" t="s">
        <v>635</v>
      </c>
      <c r="G1277" s="27">
        <v>8</v>
      </c>
      <c r="H1277" s="27">
        <v>0</v>
      </c>
      <c r="I1277" s="27">
        <f>G1277*AO1277</f>
        <v>0</v>
      </c>
      <c r="J1277" s="27">
        <f>G1277*AP1277</f>
        <v>0</v>
      </c>
      <c r="K1277" s="27">
        <f>G1277*H1277</f>
        <v>0</v>
      </c>
      <c r="L1277" s="28" t="s">
        <v>52</v>
      </c>
      <c r="Z1277" s="27">
        <f>IF(AQ1277="5",BJ1277,0)</f>
        <v>0</v>
      </c>
      <c r="AB1277" s="27">
        <f>IF(AQ1277="1",BH1277,0)</f>
        <v>0</v>
      </c>
      <c r="AC1277" s="27">
        <f>IF(AQ1277="1",BI1277,0)</f>
        <v>0</v>
      </c>
      <c r="AD1277" s="27">
        <f>IF(AQ1277="7",BH1277,0)</f>
        <v>0</v>
      </c>
      <c r="AE1277" s="27">
        <f>IF(AQ1277="7",BI1277,0)</f>
        <v>0</v>
      </c>
      <c r="AF1277" s="27">
        <f>IF(AQ1277="2",BH1277,0)</f>
        <v>0</v>
      </c>
      <c r="AG1277" s="27">
        <f>IF(AQ1277="2",BI1277,0)</f>
        <v>0</v>
      </c>
      <c r="AH1277" s="27">
        <f>IF(AQ1277="0",BJ1277,0)</f>
        <v>0</v>
      </c>
      <c r="AI1277" s="9" t="s">
        <v>1762</v>
      </c>
      <c r="AJ1277" s="27">
        <f>IF(AN1277=0,K1277,0)</f>
        <v>0</v>
      </c>
      <c r="AK1277" s="27">
        <f>IF(AN1277=12,K1277,0)</f>
        <v>0</v>
      </c>
      <c r="AL1277" s="27">
        <f>IF(AN1277=21,K1277,0)</f>
        <v>0</v>
      </c>
      <c r="AN1277" s="27">
        <v>21</v>
      </c>
      <c r="AO1277" s="27">
        <f>H1277*0</f>
        <v>0</v>
      </c>
      <c r="AP1277" s="27">
        <f>H1277*(1-0)</f>
        <v>0</v>
      </c>
      <c r="AQ1277" s="29" t="s">
        <v>57</v>
      </c>
      <c r="AV1277" s="27">
        <f>AW1277+AX1277</f>
        <v>0</v>
      </c>
      <c r="AW1277" s="27">
        <f>G1277*AO1277</f>
        <v>0</v>
      </c>
      <c r="AX1277" s="27">
        <f>G1277*AP1277</f>
        <v>0</v>
      </c>
      <c r="AY1277" s="29" t="s">
        <v>636</v>
      </c>
      <c r="AZ1277" s="29" t="s">
        <v>1853</v>
      </c>
      <c r="BA1277" s="9" t="s">
        <v>1766</v>
      </c>
      <c r="BC1277" s="27">
        <f>AW1277+AX1277</f>
        <v>0</v>
      </c>
      <c r="BD1277" s="27">
        <f>H1277/(100-BE1277)*100</f>
        <v>0</v>
      </c>
      <c r="BE1277" s="27">
        <v>0</v>
      </c>
      <c r="BF1277" s="27">
        <f>1277</f>
        <v>1277</v>
      </c>
      <c r="BH1277" s="27">
        <f>G1277*AO1277</f>
        <v>0</v>
      </c>
      <c r="BI1277" s="27">
        <f>G1277*AP1277</f>
        <v>0</v>
      </c>
      <c r="BJ1277" s="27">
        <f>G1277*H1277</f>
        <v>0</v>
      </c>
      <c r="BK1277" s="27"/>
      <c r="BL1277" s="27"/>
      <c r="BW1277" s="27">
        <v>21</v>
      </c>
    </row>
    <row r="1278" spans="1:75" ht="13.5" customHeight="1">
      <c r="A1278" s="2" t="s">
        <v>1855</v>
      </c>
      <c r="B1278" s="3" t="s">
        <v>1762</v>
      </c>
      <c r="C1278" s="3" t="s">
        <v>642</v>
      </c>
      <c r="D1278" s="148" t="s">
        <v>891</v>
      </c>
      <c r="E1278" s="143"/>
      <c r="F1278" s="3" t="s">
        <v>635</v>
      </c>
      <c r="G1278" s="27">
        <v>4</v>
      </c>
      <c r="H1278" s="27">
        <v>0</v>
      </c>
      <c r="I1278" s="27">
        <f>G1278*AO1278</f>
        <v>0</v>
      </c>
      <c r="J1278" s="27">
        <f>G1278*AP1278</f>
        <v>0</v>
      </c>
      <c r="K1278" s="27">
        <f>G1278*H1278</f>
        <v>0</v>
      </c>
      <c r="L1278" s="28" t="s">
        <v>52</v>
      </c>
      <c r="Z1278" s="27">
        <f>IF(AQ1278="5",BJ1278,0)</f>
        <v>0</v>
      </c>
      <c r="AB1278" s="27">
        <f>IF(AQ1278="1",BH1278,0)</f>
        <v>0</v>
      </c>
      <c r="AC1278" s="27">
        <f>IF(AQ1278="1",BI1278,0)</f>
        <v>0</v>
      </c>
      <c r="AD1278" s="27">
        <f>IF(AQ1278="7",BH1278,0)</f>
        <v>0</v>
      </c>
      <c r="AE1278" s="27">
        <f>IF(AQ1278="7",BI1278,0)</f>
        <v>0</v>
      </c>
      <c r="AF1278" s="27">
        <f>IF(AQ1278="2",BH1278,0)</f>
        <v>0</v>
      </c>
      <c r="AG1278" s="27">
        <f>IF(AQ1278="2",BI1278,0)</f>
        <v>0</v>
      </c>
      <c r="AH1278" s="27">
        <f>IF(AQ1278="0",BJ1278,0)</f>
        <v>0</v>
      </c>
      <c r="AI1278" s="9" t="s">
        <v>1762</v>
      </c>
      <c r="AJ1278" s="27">
        <f>IF(AN1278=0,K1278,0)</f>
        <v>0</v>
      </c>
      <c r="AK1278" s="27">
        <f>IF(AN1278=12,K1278,0)</f>
        <v>0</v>
      </c>
      <c r="AL1278" s="27">
        <f>IF(AN1278=21,K1278,0)</f>
        <v>0</v>
      </c>
      <c r="AN1278" s="27">
        <v>21</v>
      </c>
      <c r="AO1278" s="27">
        <f>H1278*0</f>
        <v>0</v>
      </c>
      <c r="AP1278" s="27">
        <f>H1278*(1-0)</f>
        <v>0</v>
      </c>
      <c r="AQ1278" s="29" t="s">
        <v>57</v>
      </c>
      <c r="AV1278" s="27">
        <f>AW1278+AX1278</f>
        <v>0</v>
      </c>
      <c r="AW1278" s="27">
        <f>G1278*AO1278</f>
        <v>0</v>
      </c>
      <c r="AX1278" s="27">
        <f>G1278*AP1278</f>
        <v>0</v>
      </c>
      <c r="AY1278" s="29" t="s">
        <v>636</v>
      </c>
      <c r="AZ1278" s="29" t="s">
        <v>1853</v>
      </c>
      <c r="BA1278" s="9" t="s">
        <v>1766</v>
      </c>
      <c r="BC1278" s="27">
        <f>AW1278+AX1278</f>
        <v>0</v>
      </c>
      <c r="BD1278" s="27">
        <f>H1278/(100-BE1278)*100</f>
        <v>0</v>
      </c>
      <c r="BE1278" s="27">
        <v>0</v>
      </c>
      <c r="BF1278" s="27">
        <f>1278</f>
        <v>1278</v>
      </c>
      <c r="BH1278" s="27">
        <f>G1278*AO1278</f>
        <v>0</v>
      </c>
      <c r="BI1278" s="27">
        <f>G1278*AP1278</f>
        <v>0</v>
      </c>
      <c r="BJ1278" s="27">
        <f>G1278*H1278</f>
        <v>0</v>
      </c>
      <c r="BK1278" s="27"/>
      <c r="BL1278" s="27"/>
      <c r="BW1278" s="27">
        <v>21</v>
      </c>
    </row>
    <row r="1279" spans="1:75" ht="13.5" customHeight="1">
      <c r="A1279" s="2" t="s">
        <v>1856</v>
      </c>
      <c r="B1279" s="3" t="s">
        <v>1762</v>
      </c>
      <c r="C1279" s="3" t="s">
        <v>645</v>
      </c>
      <c r="D1279" s="148" t="s">
        <v>649</v>
      </c>
      <c r="E1279" s="143"/>
      <c r="F1279" s="3" t="s">
        <v>635</v>
      </c>
      <c r="G1279" s="27">
        <v>8</v>
      </c>
      <c r="H1279" s="27">
        <v>0</v>
      </c>
      <c r="I1279" s="27">
        <f>G1279*AO1279</f>
        <v>0</v>
      </c>
      <c r="J1279" s="27">
        <f>G1279*AP1279</f>
        <v>0</v>
      </c>
      <c r="K1279" s="27">
        <f>G1279*H1279</f>
        <v>0</v>
      </c>
      <c r="L1279" s="28" t="s">
        <v>52</v>
      </c>
      <c r="Z1279" s="27">
        <f>IF(AQ1279="5",BJ1279,0)</f>
        <v>0</v>
      </c>
      <c r="AB1279" s="27">
        <f>IF(AQ1279="1",BH1279,0)</f>
        <v>0</v>
      </c>
      <c r="AC1279" s="27">
        <f>IF(AQ1279="1",BI1279,0)</f>
        <v>0</v>
      </c>
      <c r="AD1279" s="27">
        <f>IF(AQ1279="7",BH1279,0)</f>
        <v>0</v>
      </c>
      <c r="AE1279" s="27">
        <f>IF(AQ1279="7",BI1279,0)</f>
        <v>0</v>
      </c>
      <c r="AF1279" s="27">
        <f>IF(AQ1279="2",BH1279,0)</f>
        <v>0</v>
      </c>
      <c r="AG1279" s="27">
        <f>IF(AQ1279="2",BI1279,0)</f>
        <v>0</v>
      </c>
      <c r="AH1279" s="27">
        <f>IF(AQ1279="0",BJ1279,0)</f>
        <v>0</v>
      </c>
      <c r="AI1279" s="9" t="s">
        <v>1762</v>
      </c>
      <c r="AJ1279" s="27">
        <f>IF(AN1279=0,K1279,0)</f>
        <v>0</v>
      </c>
      <c r="AK1279" s="27">
        <f>IF(AN1279=12,K1279,0)</f>
        <v>0</v>
      </c>
      <c r="AL1279" s="27">
        <f>IF(AN1279=21,K1279,0)</f>
        <v>0</v>
      </c>
      <c r="AN1279" s="27">
        <v>21</v>
      </c>
      <c r="AO1279" s="27">
        <f>H1279*0</f>
        <v>0</v>
      </c>
      <c r="AP1279" s="27">
        <f>H1279*(1-0)</f>
        <v>0</v>
      </c>
      <c r="AQ1279" s="29" t="s">
        <v>57</v>
      </c>
      <c r="AV1279" s="27">
        <f>AW1279+AX1279</f>
        <v>0</v>
      </c>
      <c r="AW1279" s="27">
        <f>G1279*AO1279</f>
        <v>0</v>
      </c>
      <c r="AX1279" s="27">
        <f>G1279*AP1279</f>
        <v>0</v>
      </c>
      <c r="AY1279" s="29" t="s">
        <v>636</v>
      </c>
      <c r="AZ1279" s="29" t="s">
        <v>1853</v>
      </c>
      <c r="BA1279" s="9" t="s">
        <v>1766</v>
      </c>
      <c r="BC1279" s="27">
        <f>AW1279+AX1279</f>
        <v>0</v>
      </c>
      <c r="BD1279" s="27">
        <f>H1279/(100-BE1279)*100</f>
        <v>0</v>
      </c>
      <c r="BE1279" s="27">
        <v>0</v>
      </c>
      <c r="BF1279" s="27">
        <f>1279</f>
        <v>1279</v>
      </c>
      <c r="BH1279" s="27">
        <f>G1279*AO1279</f>
        <v>0</v>
      </c>
      <c r="BI1279" s="27">
        <f>G1279*AP1279</f>
        <v>0</v>
      </c>
      <c r="BJ1279" s="27">
        <f>G1279*H1279</f>
        <v>0</v>
      </c>
      <c r="BK1279" s="27"/>
      <c r="BL1279" s="27"/>
      <c r="BW1279" s="27">
        <v>21</v>
      </c>
    </row>
    <row r="1280" spans="1:12" ht="15">
      <c r="A1280" s="23" t="s">
        <v>52</v>
      </c>
      <c r="B1280" s="24" t="s">
        <v>1857</v>
      </c>
      <c r="C1280" s="24" t="s">
        <v>52</v>
      </c>
      <c r="D1280" s="164" t="s">
        <v>1858</v>
      </c>
      <c r="E1280" s="165"/>
      <c r="F1280" s="25" t="s">
        <v>4</v>
      </c>
      <c r="G1280" s="25" t="s">
        <v>4</v>
      </c>
      <c r="H1280" s="25" t="s">
        <v>4</v>
      </c>
      <c r="I1280" s="1">
        <f>I1281</f>
        <v>0</v>
      </c>
      <c r="J1280" s="1">
        <f>J1281</f>
        <v>0</v>
      </c>
      <c r="K1280" s="1">
        <f>K1281</f>
        <v>0</v>
      </c>
      <c r="L1280" s="26" t="s">
        <v>52</v>
      </c>
    </row>
    <row r="1281" spans="1:47" ht="15">
      <c r="A1281" s="23" t="s">
        <v>52</v>
      </c>
      <c r="B1281" s="24" t="s">
        <v>1857</v>
      </c>
      <c r="C1281" s="24" t="s">
        <v>1859</v>
      </c>
      <c r="D1281" s="164" t="s">
        <v>1860</v>
      </c>
      <c r="E1281" s="165"/>
      <c r="F1281" s="25" t="s">
        <v>4</v>
      </c>
      <c r="G1281" s="25" t="s">
        <v>4</v>
      </c>
      <c r="H1281" s="25" t="s">
        <v>4</v>
      </c>
      <c r="I1281" s="1">
        <f>SUM(I1282:I1282)</f>
        <v>0</v>
      </c>
      <c r="J1281" s="1">
        <f>SUM(J1282:J1282)</f>
        <v>0</v>
      </c>
      <c r="K1281" s="1">
        <f>SUM(K1282:K1282)</f>
        <v>0</v>
      </c>
      <c r="L1281" s="26" t="s">
        <v>52</v>
      </c>
      <c r="AI1281" s="9" t="s">
        <v>1857</v>
      </c>
      <c r="AS1281" s="1">
        <f>SUM(AJ1282:AJ1282)</f>
        <v>0</v>
      </c>
      <c r="AT1281" s="1">
        <f>SUM(AK1282:AK1282)</f>
        <v>0</v>
      </c>
      <c r="AU1281" s="1">
        <f>SUM(AL1282:AL1282)</f>
        <v>0</v>
      </c>
    </row>
    <row r="1282" spans="1:75" ht="13.5" customHeight="1">
      <c r="A1282" s="112" t="s">
        <v>1861</v>
      </c>
      <c r="B1282" s="113" t="s">
        <v>1857</v>
      </c>
      <c r="C1282" s="113" t="s">
        <v>1862</v>
      </c>
      <c r="D1282" s="202" t="s">
        <v>1863</v>
      </c>
      <c r="E1282" s="203"/>
      <c r="F1282" s="113" t="s">
        <v>940</v>
      </c>
      <c r="G1282" s="114">
        <v>1</v>
      </c>
      <c r="H1282" s="114">
        <v>0</v>
      </c>
      <c r="I1282" s="114">
        <f>G1282*AO1282</f>
        <v>0</v>
      </c>
      <c r="J1282" s="114">
        <f>G1282*AP1282</f>
        <v>0</v>
      </c>
      <c r="K1282" s="114">
        <f>G1282*H1282</f>
        <v>0</v>
      </c>
      <c r="L1282" s="115" t="s">
        <v>70</v>
      </c>
      <c r="Z1282" s="27">
        <f>IF(AQ1282="5",BJ1282,0)</f>
        <v>0</v>
      </c>
      <c r="AB1282" s="27">
        <f>IF(AQ1282="1",BH1282,0)</f>
        <v>0</v>
      </c>
      <c r="AC1282" s="27">
        <f>IF(AQ1282="1",BI1282,0)</f>
        <v>0</v>
      </c>
      <c r="AD1282" s="27">
        <f>IF(AQ1282="7",BH1282,0)</f>
        <v>0</v>
      </c>
      <c r="AE1282" s="27">
        <f>IF(AQ1282="7",BI1282,0)</f>
        <v>0</v>
      </c>
      <c r="AF1282" s="27">
        <f>IF(AQ1282="2",BH1282,0)</f>
        <v>0</v>
      </c>
      <c r="AG1282" s="27">
        <f>IF(AQ1282="2",BI1282,0)</f>
        <v>0</v>
      </c>
      <c r="AH1282" s="27">
        <f>IF(AQ1282="0",BJ1282,0)</f>
        <v>0</v>
      </c>
      <c r="AI1282" s="9" t="s">
        <v>1857</v>
      </c>
      <c r="AJ1282" s="27">
        <f>IF(AN1282=0,K1282,0)</f>
        <v>0</v>
      </c>
      <c r="AK1282" s="27">
        <f>IF(AN1282=12,K1282,0)</f>
        <v>0</v>
      </c>
      <c r="AL1282" s="27">
        <f>IF(AN1282=21,K1282,0)</f>
        <v>0</v>
      </c>
      <c r="AN1282" s="27">
        <v>21</v>
      </c>
      <c r="AO1282" s="27">
        <f>H1282*0</f>
        <v>0</v>
      </c>
      <c r="AP1282" s="27">
        <f>H1282*(1-0)</f>
        <v>0</v>
      </c>
      <c r="AQ1282" s="29" t="s">
        <v>60</v>
      </c>
      <c r="AV1282" s="27">
        <f>AW1282+AX1282</f>
        <v>0</v>
      </c>
      <c r="AW1282" s="27">
        <f>G1282*AO1282</f>
        <v>0</v>
      </c>
      <c r="AX1282" s="27">
        <f>G1282*AP1282</f>
        <v>0</v>
      </c>
      <c r="AY1282" s="29" t="s">
        <v>1864</v>
      </c>
      <c r="AZ1282" s="29" t="s">
        <v>1865</v>
      </c>
      <c r="BA1282" s="9" t="s">
        <v>1866</v>
      </c>
      <c r="BC1282" s="27">
        <f>AW1282+AX1282</f>
        <v>0</v>
      </c>
      <c r="BD1282" s="27">
        <f>H1282/(100-BE1282)*100</f>
        <v>0</v>
      </c>
      <c r="BE1282" s="27">
        <v>0</v>
      </c>
      <c r="BF1282" s="27">
        <f>1282</f>
        <v>1282</v>
      </c>
      <c r="BH1282" s="27">
        <f>G1282*AO1282</f>
        <v>0</v>
      </c>
      <c r="BI1282" s="27">
        <f>G1282*AP1282</f>
        <v>0</v>
      </c>
      <c r="BJ1282" s="27">
        <f>G1282*H1282</f>
        <v>0</v>
      </c>
      <c r="BK1282" s="27"/>
      <c r="BL1282" s="27"/>
      <c r="BW1282" s="27">
        <v>21</v>
      </c>
    </row>
    <row r="1283" spans="9:11" ht="15">
      <c r="I1283" s="204" t="s">
        <v>1867</v>
      </c>
      <c r="J1283" s="204"/>
      <c r="K1283" s="116">
        <f>K13+K16+K24+K29+K37+K52+K63+K79+K82+K102+K107+K119+K143+K181+K185+K197+K202+K211+K217+K243+K253+K257+K277+K282+K287+K293+K300+K303+K305+K307+K309+K311+K313+K320+K336+K362+K390+K392+K395+K397+K399+K401+K403+K405+K411+K420+K424+K435+K440+K451+K488+K516+K527+K552+K559+K563+K570+K574+K577+K599+K606+K627+K640+K642+K644+K646+K652+K656+K660+K673+K681+K695+K726+K747+K760+K783+K790+K793+K798+K801+K821+K828+K846+K859+K861+K863+K865+K871+K897+K908+K914+K940+K967+K999+K1009+K1016+K1053+K1064+K1091+K1104+K1126+K1133+K1149+K1155+K1167+K1189+K1209+K1221+K1244+K1263+K1267+K1269+K1271+K1273+K1275+K1281</f>
        <v>0</v>
      </c>
    </row>
    <row r="1284" ht="15">
      <c r="A1284" s="117" t="s">
        <v>1868</v>
      </c>
    </row>
    <row r="1285" spans="1:12" ht="12.75" customHeight="1">
      <c r="A1285" s="148" t="s">
        <v>52</v>
      </c>
      <c r="B1285" s="143"/>
      <c r="C1285" s="143"/>
      <c r="D1285" s="143"/>
      <c r="E1285" s="143"/>
      <c r="F1285" s="143"/>
      <c r="G1285" s="143"/>
      <c r="H1285" s="143"/>
      <c r="I1285" s="143"/>
      <c r="J1285" s="143"/>
      <c r="K1285" s="143"/>
      <c r="L1285" s="143"/>
    </row>
  </sheetData>
  <mergeCells count="938">
    <mergeCell ref="I1283:J1283"/>
    <mergeCell ref="A1285:L1285"/>
    <mergeCell ref="D1278:E1278"/>
    <mergeCell ref="D1279:E1279"/>
    <mergeCell ref="D1280:E1280"/>
    <mergeCell ref="D1281:E1281"/>
    <mergeCell ref="D1282:E1282"/>
    <mergeCell ref="D1273:E1273"/>
    <mergeCell ref="D1274:E1274"/>
    <mergeCell ref="D1275:E1275"/>
    <mergeCell ref="D1276:E1276"/>
    <mergeCell ref="D1277:E1277"/>
    <mergeCell ref="D1268:E1268"/>
    <mergeCell ref="D1269:E1269"/>
    <mergeCell ref="D1270:E1270"/>
    <mergeCell ref="D1271:E1271"/>
    <mergeCell ref="D1272:E1272"/>
    <mergeCell ref="D1263:E1263"/>
    <mergeCell ref="D1264:E1264"/>
    <mergeCell ref="D1265:E1265"/>
    <mergeCell ref="D1266:E1266"/>
    <mergeCell ref="D1267:E1267"/>
    <mergeCell ref="D1258:E1258"/>
    <mergeCell ref="D1259:E1259"/>
    <mergeCell ref="D1260:E1260"/>
    <mergeCell ref="D1261:E1261"/>
    <mergeCell ref="D1262:E1262"/>
    <mergeCell ref="D1253:E1253"/>
    <mergeCell ref="D1254:E1254"/>
    <mergeCell ref="D1255:E1255"/>
    <mergeCell ref="D1256:E1256"/>
    <mergeCell ref="D1257:E1257"/>
    <mergeCell ref="D1248:E1248"/>
    <mergeCell ref="D1249:E1249"/>
    <mergeCell ref="D1250:E1250"/>
    <mergeCell ref="D1251:E1251"/>
    <mergeCell ref="D1252:E1252"/>
    <mergeCell ref="D1243:E1243"/>
    <mergeCell ref="D1244:E1244"/>
    <mergeCell ref="D1245:E1245"/>
    <mergeCell ref="D1246:E1246"/>
    <mergeCell ref="D1247:E1247"/>
    <mergeCell ref="D1238:E1238"/>
    <mergeCell ref="D1239:E1239"/>
    <mergeCell ref="D1240:E1240"/>
    <mergeCell ref="D1241:E1241"/>
    <mergeCell ref="D1242:E1242"/>
    <mergeCell ref="D1233:E1233"/>
    <mergeCell ref="D1234:E1234"/>
    <mergeCell ref="D1235:E1235"/>
    <mergeCell ref="D1236:E1236"/>
    <mergeCell ref="D1237:E1237"/>
    <mergeCell ref="D1228:E1228"/>
    <mergeCell ref="D1229:E1229"/>
    <mergeCell ref="D1230:E1230"/>
    <mergeCell ref="D1231:E1231"/>
    <mergeCell ref="D1232:E1232"/>
    <mergeCell ref="D1223:E1223"/>
    <mergeCell ref="D1224:E1224"/>
    <mergeCell ref="D1225:E1225"/>
    <mergeCell ref="D1226:E1226"/>
    <mergeCell ref="D1227:E1227"/>
    <mergeCell ref="D1218:E1218"/>
    <mergeCell ref="D1219:E1219"/>
    <mergeCell ref="D1220:E1220"/>
    <mergeCell ref="D1221:E1221"/>
    <mergeCell ref="D1222:E1222"/>
    <mergeCell ref="D1213:E1213"/>
    <mergeCell ref="D1214:E1214"/>
    <mergeCell ref="D1215:E1215"/>
    <mergeCell ref="D1216:E1216"/>
    <mergeCell ref="D1217:E1217"/>
    <mergeCell ref="D1208:E1208"/>
    <mergeCell ref="D1209:E1209"/>
    <mergeCell ref="D1210:E1210"/>
    <mergeCell ref="D1211:E1211"/>
    <mergeCell ref="D1212:E1212"/>
    <mergeCell ref="D1200:E1200"/>
    <mergeCell ref="D1201:L1201"/>
    <mergeCell ref="D1203:E1203"/>
    <mergeCell ref="D1204:L1204"/>
    <mergeCell ref="D1206:E1206"/>
    <mergeCell ref="D1191:L1191"/>
    <mergeCell ref="D1192:E1192"/>
    <mergeCell ref="D1194:E1194"/>
    <mergeCell ref="D1196:E1196"/>
    <mergeCell ref="D1198:E1198"/>
    <mergeCell ref="D1183:L1183"/>
    <mergeCell ref="D1184:E1184"/>
    <mergeCell ref="D1188:L1188"/>
    <mergeCell ref="D1189:E1189"/>
    <mergeCell ref="D1190:E1190"/>
    <mergeCell ref="D1172:L1172"/>
    <mergeCell ref="D1173:E1173"/>
    <mergeCell ref="D1176:E1176"/>
    <mergeCell ref="D1179:L1179"/>
    <mergeCell ref="D1180:E1180"/>
    <mergeCell ref="D1164:E1164"/>
    <mergeCell ref="D1166:L1166"/>
    <mergeCell ref="D1167:E1167"/>
    <mergeCell ref="D1168:E1168"/>
    <mergeCell ref="D1170:E1170"/>
    <mergeCell ref="D1156:E1156"/>
    <mergeCell ref="D1158:E1158"/>
    <mergeCell ref="D1160:L1160"/>
    <mergeCell ref="D1161:E1161"/>
    <mergeCell ref="D1163:L1163"/>
    <mergeCell ref="D1149:E1149"/>
    <mergeCell ref="D1150:E1150"/>
    <mergeCell ref="D1152:E1152"/>
    <mergeCell ref="D1154:L1154"/>
    <mergeCell ref="D1155:E1155"/>
    <mergeCell ref="D1142:L1142"/>
    <mergeCell ref="D1144:L1144"/>
    <mergeCell ref="D1145:E1145"/>
    <mergeCell ref="D1146:L1146"/>
    <mergeCell ref="D1148:L1148"/>
    <mergeCell ref="D1135:L1135"/>
    <mergeCell ref="D1137:E1137"/>
    <mergeCell ref="D1138:L1138"/>
    <mergeCell ref="D1140:L1140"/>
    <mergeCell ref="D1141:E1141"/>
    <mergeCell ref="D1128:L1128"/>
    <mergeCell ref="D1130:L1130"/>
    <mergeCell ref="D1131:E1131"/>
    <mergeCell ref="D1133:E1133"/>
    <mergeCell ref="D1134:E1134"/>
    <mergeCell ref="D1121:L1121"/>
    <mergeCell ref="D1123:E1123"/>
    <mergeCell ref="D1125:L1125"/>
    <mergeCell ref="D1126:E1126"/>
    <mergeCell ref="D1127:E1127"/>
    <mergeCell ref="D1113:E1113"/>
    <mergeCell ref="D1115:E1115"/>
    <mergeCell ref="D1117:E1117"/>
    <mergeCell ref="D1118:L1118"/>
    <mergeCell ref="D1120:E1120"/>
    <mergeCell ref="D1102:L1102"/>
    <mergeCell ref="D1104:E1104"/>
    <mergeCell ref="D1105:E1105"/>
    <mergeCell ref="D1106:L1106"/>
    <mergeCell ref="D1108:E1108"/>
    <mergeCell ref="D1094:E1094"/>
    <mergeCell ref="D1096:E1096"/>
    <mergeCell ref="D1097:L1097"/>
    <mergeCell ref="D1099:E1099"/>
    <mergeCell ref="D1101:E1101"/>
    <mergeCell ref="D1086:E1086"/>
    <mergeCell ref="D1088:L1088"/>
    <mergeCell ref="D1089:E1089"/>
    <mergeCell ref="D1091:E1091"/>
    <mergeCell ref="D1092:E1092"/>
    <mergeCell ref="D1077:E1077"/>
    <mergeCell ref="D1079:E1079"/>
    <mergeCell ref="D1081:E1081"/>
    <mergeCell ref="D1083:E1083"/>
    <mergeCell ref="D1085:L1085"/>
    <mergeCell ref="D1068:E1068"/>
    <mergeCell ref="D1070:E1070"/>
    <mergeCell ref="D1071:L1071"/>
    <mergeCell ref="D1073:E1073"/>
    <mergeCell ref="D1075:E1075"/>
    <mergeCell ref="D1061:L1061"/>
    <mergeCell ref="D1062:E1062"/>
    <mergeCell ref="D1064:E1064"/>
    <mergeCell ref="D1065:E1065"/>
    <mergeCell ref="D1066:L1066"/>
    <mergeCell ref="D1053:E1053"/>
    <mergeCell ref="D1054:E1054"/>
    <mergeCell ref="D1055:L1055"/>
    <mergeCell ref="D1057:L1057"/>
    <mergeCell ref="D1058:E1058"/>
    <mergeCell ref="D1044:E1044"/>
    <mergeCell ref="D1047:L1047"/>
    <mergeCell ref="D1048:E1048"/>
    <mergeCell ref="D1049:L1049"/>
    <mergeCell ref="D1051:E1051"/>
    <mergeCell ref="D1035:L1035"/>
    <mergeCell ref="D1038:E1038"/>
    <mergeCell ref="D1039:L1039"/>
    <mergeCell ref="D1041:E1041"/>
    <mergeCell ref="D1043:L1043"/>
    <mergeCell ref="D1023:E1023"/>
    <mergeCell ref="D1026:E1026"/>
    <mergeCell ref="D1027:L1027"/>
    <mergeCell ref="D1030:E1030"/>
    <mergeCell ref="D1034:E1034"/>
    <mergeCell ref="D1016:E1016"/>
    <mergeCell ref="D1017:E1017"/>
    <mergeCell ref="D1018:L1018"/>
    <mergeCell ref="D1020:E1020"/>
    <mergeCell ref="D1021:L1021"/>
    <mergeCell ref="D1009:E1009"/>
    <mergeCell ref="D1010:E1010"/>
    <mergeCell ref="D1011:L1011"/>
    <mergeCell ref="D1013:L1013"/>
    <mergeCell ref="D1014:E1014"/>
    <mergeCell ref="D1000:E1000"/>
    <mergeCell ref="D1002:E1002"/>
    <mergeCell ref="D1004:E1004"/>
    <mergeCell ref="D1006:L1006"/>
    <mergeCell ref="D1007:E1007"/>
    <mergeCell ref="D992:L992"/>
    <mergeCell ref="D993:E993"/>
    <mergeCell ref="D996:L996"/>
    <mergeCell ref="D997:E997"/>
    <mergeCell ref="D999:E999"/>
    <mergeCell ref="D983:L983"/>
    <mergeCell ref="D985:L985"/>
    <mergeCell ref="D986:E986"/>
    <mergeCell ref="D988:L988"/>
    <mergeCell ref="D989:E989"/>
    <mergeCell ref="D975:E975"/>
    <mergeCell ref="D978:L978"/>
    <mergeCell ref="D979:E979"/>
    <mergeCell ref="D980:L980"/>
    <mergeCell ref="D982:E982"/>
    <mergeCell ref="D968:E968"/>
    <mergeCell ref="D969:L969"/>
    <mergeCell ref="D971:L971"/>
    <mergeCell ref="D972:E972"/>
    <mergeCell ref="D974:L974"/>
    <mergeCell ref="D961:L961"/>
    <mergeCell ref="D962:E962"/>
    <mergeCell ref="D964:E964"/>
    <mergeCell ref="D966:L966"/>
    <mergeCell ref="D967:E967"/>
    <mergeCell ref="D952:E952"/>
    <mergeCell ref="D954:E954"/>
    <mergeCell ref="D956:L956"/>
    <mergeCell ref="D957:E957"/>
    <mergeCell ref="D959:E959"/>
    <mergeCell ref="D945:L945"/>
    <mergeCell ref="D946:E946"/>
    <mergeCell ref="D948:L948"/>
    <mergeCell ref="D949:E949"/>
    <mergeCell ref="D951:L951"/>
    <mergeCell ref="D937:L937"/>
    <mergeCell ref="D938:E938"/>
    <mergeCell ref="D940:E940"/>
    <mergeCell ref="D941:E941"/>
    <mergeCell ref="D943:E943"/>
    <mergeCell ref="D927:E927"/>
    <mergeCell ref="D930:L930"/>
    <mergeCell ref="D931:E931"/>
    <mergeCell ref="D932:L932"/>
    <mergeCell ref="D934:E934"/>
    <mergeCell ref="D918:E918"/>
    <mergeCell ref="D921:E921"/>
    <mergeCell ref="D923:E923"/>
    <mergeCell ref="D924:L924"/>
    <mergeCell ref="D926:L926"/>
    <mergeCell ref="D912:L912"/>
    <mergeCell ref="D913:E913"/>
    <mergeCell ref="D914:E914"/>
    <mergeCell ref="D915:E915"/>
    <mergeCell ref="D916:L916"/>
    <mergeCell ref="D904:E904"/>
    <mergeCell ref="D907:L907"/>
    <mergeCell ref="D908:E908"/>
    <mergeCell ref="D909:E909"/>
    <mergeCell ref="D910:L910"/>
    <mergeCell ref="D897:E897"/>
    <mergeCell ref="D898:E898"/>
    <mergeCell ref="D899:L899"/>
    <mergeCell ref="D901:E901"/>
    <mergeCell ref="D902:L902"/>
    <mergeCell ref="D890:L890"/>
    <mergeCell ref="D892:L892"/>
    <mergeCell ref="D893:E893"/>
    <mergeCell ref="D894:L894"/>
    <mergeCell ref="D896:L896"/>
    <mergeCell ref="D884:L884"/>
    <mergeCell ref="D885:E885"/>
    <mergeCell ref="D886:L886"/>
    <mergeCell ref="D888:L888"/>
    <mergeCell ref="D889:E889"/>
    <mergeCell ref="D877:E877"/>
    <mergeCell ref="D878:L878"/>
    <mergeCell ref="D880:L880"/>
    <mergeCell ref="D881:E881"/>
    <mergeCell ref="D882:L882"/>
    <mergeCell ref="D870:E870"/>
    <mergeCell ref="D871:E871"/>
    <mergeCell ref="D872:E872"/>
    <mergeCell ref="D874:E874"/>
    <mergeCell ref="D876:L876"/>
    <mergeCell ref="D865:E865"/>
    <mergeCell ref="D866:E866"/>
    <mergeCell ref="D867:E867"/>
    <mergeCell ref="D868:E868"/>
    <mergeCell ref="D869:E869"/>
    <mergeCell ref="D860:E860"/>
    <mergeCell ref="D861:E861"/>
    <mergeCell ref="D862:E862"/>
    <mergeCell ref="D863:E863"/>
    <mergeCell ref="D864:E864"/>
    <mergeCell ref="D855:E855"/>
    <mergeCell ref="D856:E856"/>
    <mergeCell ref="D857:E857"/>
    <mergeCell ref="D858:E858"/>
    <mergeCell ref="D859:E859"/>
    <mergeCell ref="D850:E850"/>
    <mergeCell ref="D851:E851"/>
    <mergeCell ref="D852:E852"/>
    <mergeCell ref="D853:E853"/>
    <mergeCell ref="D854:E854"/>
    <mergeCell ref="D845:E845"/>
    <mergeCell ref="D846:E846"/>
    <mergeCell ref="D847:E847"/>
    <mergeCell ref="D848:E848"/>
    <mergeCell ref="D849:E849"/>
    <mergeCell ref="D840:E840"/>
    <mergeCell ref="D841:E841"/>
    <mergeCell ref="D842:E842"/>
    <mergeCell ref="D843:E843"/>
    <mergeCell ref="D844:E844"/>
    <mergeCell ref="D835:E835"/>
    <mergeCell ref="D836:E836"/>
    <mergeCell ref="D837:E837"/>
    <mergeCell ref="D838:E838"/>
    <mergeCell ref="D839:E839"/>
    <mergeCell ref="D830:E830"/>
    <mergeCell ref="D831:E831"/>
    <mergeCell ref="D832:E832"/>
    <mergeCell ref="D833:E833"/>
    <mergeCell ref="D834:E834"/>
    <mergeCell ref="D825:E825"/>
    <mergeCell ref="D826:E826"/>
    <mergeCell ref="D827:E827"/>
    <mergeCell ref="D828:E828"/>
    <mergeCell ref="D829:E829"/>
    <mergeCell ref="D820:E820"/>
    <mergeCell ref="D821:E821"/>
    <mergeCell ref="D822:E822"/>
    <mergeCell ref="D823:E823"/>
    <mergeCell ref="D824:E824"/>
    <mergeCell ref="D812:E812"/>
    <mergeCell ref="D813:L813"/>
    <mergeCell ref="D815:E815"/>
    <mergeCell ref="D816:L816"/>
    <mergeCell ref="D818:E818"/>
    <mergeCell ref="D803:L803"/>
    <mergeCell ref="D804:E804"/>
    <mergeCell ref="D806:E806"/>
    <mergeCell ref="D808:E808"/>
    <mergeCell ref="D810:E810"/>
    <mergeCell ref="D796:E796"/>
    <mergeCell ref="D798:E798"/>
    <mergeCell ref="D799:E799"/>
    <mergeCell ref="D801:E801"/>
    <mergeCell ref="D802:E802"/>
    <mergeCell ref="D789:L789"/>
    <mergeCell ref="D790:E790"/>
    <mergeCell ref="D791:E791"/>
    <mergeCell ref="D793:E793"/>
    <mergeCell ref="D794:E794"/>
    <mergeCell ref="D782:L782"/>
    <mergeCell ref="D783:E783"/>
    <mergeCell ref="D784:E784"/>
    <mergeCell ref="D785:L785"/>
    <mergeCell ref="D787:E787"/>
    <mergeCell ref="D774:E774"/>
    <mergeCell ref="D775:L775"/>
    <mergeCell ref="D777:E777"/>
    <mergeCell ref="D778:L778"/>
    <mergeCell ref="D780:E780"/>
    <mergeCell ref="D761:E761"/>
    <mergeCell ref="D762:L762"/>
    <mergeCell ref="D764:E764"/>
    <mergeCell ref="D770:E770"/>
    <mergeCell ref="D772:E772"/>
    <mergeCell ref="D753:L753"/>
    <mergeCell ref="D755:E755"/>
    <mergeCell ref="D757:E757"/>
    <mergeCell ref="D758:L758"/>
    <mergeCell ref="D760:E760"/>
    <mergeCell ref="D745:E745"/>
    <mergeCell ref="D747:E747"/>
    <mergeCell ref="D748:E748"/>
    <mergeCell ref="D750:E750"/>
    <mergeCell ref="D752:E752"/>
    <mergeCell ref="D735:E735"/>
    <mergeCell ref="D737:E737"/>
    <mergeCell ref="D739:E739"/>
    <mergeCell ref="D741:E741"/>
    <mergeCell ref="D743:E743"/>
    <mergeCell ref="D727:E727"/>
    <mergeCell ref="D728:L728"/>
    <mergeCell ref="D730:E730"/>
    <mergeCell ref="D732:E732"/>
    <mergeCell ref="D733:L733"/>
    <mergeCell ref="D718:L718"/>
    <mergeCell ref="D720:E720"/>
    <mergeCell ref="D721:L721"/>
    <mergeCell ref="D724:E724"/>
    <mergeCell ref="D726:E726"/>
    <mergeCell ref="D709:E709"/>
    <mergeCell ref="D711:E711"/>
    <mergeCell ref="D712:L712"/>
    <mergeCell ref="D714:E714"/>
    <mergeCell ref="D717:E717"/>
    <mergeCell ref="D700:L700"/>
    <mergeCell ref="D702:E702"/>
    <mergeCell ref="D703:L703"/>
    <mergeCell ref="D705:E705"/>
    <mergeCell ref="D707:E707"/>
    <mergeCell ref="D693:E693"/>
    <mergeCell ref="D695:E695"/>
    <mergeCell ref="D696:E696"/>
    <mergeCell ref="D697:L697"/>
    <mergeCell ref="D699:E699"/>
    <mergeCell ref="D685:E685"/>
    <mergeCell ref="D687:L687"/>
    <mergeCell ref="D688:E688"/>
    <mergeCell ref="D690:E690"/>
    <mergeCell ref="D692:L692"/>
    <mergeCell ref="D675:L675"/>
    <mergeCell ref="D678:E678"/>
    <mergeCell ref="D679:L679"/>
    <mergeCell ref="D681:E681"/>
    <mergeCell ref="D682:E682"/>
    <mergeCell ref="D669:E669"/>
    <mergeCell ref="D670:L670"/>
    <mergeCell ref="D672:L672"/>
    <mergeCell ref="D673:E673"/>
    <mergeCell ref="D674:E674"/>
    <mergeCell ref="D660:E660"/>
    <mergeCell ref="D661:E661"/>
    <mergeCell ref="D662:L662"/>
    <mergeCell ref="D664:E664"/>
    <mergeCell ref="D667:E667"/>
    <mergeCell ref="D653:E653"/>
    <mergeCell ref="D654:L654"/>
    <mergeCell ref="D656:E656"/>
    <mergeCell ref="D657:E657"/>
    <mergeCell ref="D659:E659"/>
    <mergeCell ref="D648:E648"/>
    <mergeCell ref="D649:E649"/>
    <mergeCell ref="D650:E650"/>
    <mergeCell ref="D651:E651"/>
    <mergeCell ref="D652:E652"/>
    <mergeCell ref="D643:E643"/>
    <mergeCell ref="D644:E644"/>
    <mergeCell ref="D645:E645"/>
    <mergeCell ref="D646:E646"/>
    <mergeCell ref="D647:E647"/>
    <mergeCell ref="D638:E638"/>
    <mergeCell ref="D639:E639"/>
    <mergeCell ref="D640:E640"/>
    <mergeCell ref="D641:E641"/>
    <mergeCell ref="D642:E642"/>
    <mergeCell ref="D633:E633"/>
    <mergeCell ref="D634:E634"/>
    <mergeCell ref="D635:E635"/>
    <mergeCell ref="D636:E636"/>
    <mergeCell ref="D637:E637"/>
    <mergeCell ref="D628:E628"/>
    <mergeCell ref="D629:E629"/>
    <mergeCell ref="D630:E630"/>
    <mergeCell ref="D631:E631"/>
    <mergeCell ref="D632:E632"/>
    <mergeCell ref="D623:E623"/>
    <mergeCell ref="D624:E624"/>
    <mergeCell ref="D625:E625"/>
    <mergeCell ref="D626:E626"/>
    <mergeCell ref="D627:E627"/>
    <mergeCell ref="D618:E618"/>
    <mergeCell ref="D619:E619"/>
    <mergeCell ref="D620:E620"/>
    <mergeCell ref="D621:E621"/>
    <mergeCell ref="D622:E622"/>
    <mergeCell ref="D613:E613"/>
    <mergeCell ref="D614:E614"/>
    <mergeCell ref="D615:E615"/>
    <mergeCell ref="D616:E616"/>
    <mergeCell ref="D617:E617"/>
    <mergeCell ref="D608:E608"/>
    <mergeCell ref="D609:E609"/>
    <mergeCell ref="D610:E610"/>
    <mergeCell ref="D611:E611"/>
    <mergeCell ref="D612:E612"/>
    <mergeCell ref="D603:E603"/>
    <mergeCell ref="D604:E604"/>
    <mergeCell ref="D605:E605"/>
    <mergeCell ref="D606:E606"/>
    <mergeCell ref="D607:E607"/>
    <mergeCell ref="D598:E598"/>
    <mergeCell ref="D599:E599"/>
    <mergeCell ref="D600:E600"/>
    <mergeCell ref="D601:E601"/>
    <mergeCell ref="D602:E602"/>
    <mergeCell ref="D590:E590"/>
    <mergeCell ref="D591:L591"/>
    <mergeCell ref="D593:E593"/>
    <mergeCell ref="D594:L594"/>
    <mergeCell ref="D596:E596"/>
    <mergeCell ref="D582:E582"/>
    <mergeCell ref="D584:L584"/>
    <mergeCell ref="D585:E585"/>
    <mergeCell ref="D587:E587"/>
    <mergeCell ref="D589:L589"/>
    <mergeCell ref="D575:E575"/>
    <mergeCell ref="D577:E577"/>
    <mergeCell ref="D578:E578"/>
    <mergeCell ref="D579:L579"/>
    <mergeCell ref="D580:E580"/>
    <mergeCell ref="D569:L569"/>
    <mergeCell ref="D570:E570"/>
    <mergeCell ref="D571:E571"/>
    <mergeCell ref="D573:L573"/>
    <mergeCell ref="D574:E574"/>
    <mergeCell ref="D562:L562"/>
    <mergeCell ref="D563:E563"/>
    <mergeCell ref="D564:E564"/>
    <mergeCell ref="D566:L566"/>
    <mergeCell ref="D567:E567"/>
    <mergeCell ref="D554:L554"/>
    <mergeCell ref="D556:E556"/>
    <mergeCell ref="D558:L558"/>
    <mergeCell ref="D559:E559"/>
    <mergeCell ref="D560:E560"/>
    <mergeCell ref="D547:L547"/>
    <mergeCell ref="D549:E549"/>
    <mergeCell ref="D551:L551"/>
    <mergeCell ref="D552:E552"/>
    <mergeCell ref="D553:E553"/>
    <mergeCell ref="D540:E540"/>
    <mergeCell ref="D542:L542"/>
    <mergeCell ref="D543:E543"/>
    <mergeCell ref="D544:L544"/>
    <mergeCell ref="D546:E546"/>
    <mergeCell ref="D529:L529"/>
    <mergeCell ref="D531:E531"/>
    <mergeCell ref="D536:L536"/>
    <mergeCell ref="D537:E537"/>
    <mergeCell ref="D539:L539"/>
    <mergeCell ref="D522:L522"/>
    <mergeCell ref="D524:E524"/>
    <mergeCell ref="D525:L525"/>
    <mergeCell ref="D527:E527"/>
    <mergeCell ref="D528:E528"/>
    <mergeCell ref="D514:E514"/>
    <mergeCell ref="D516:E516"/>
    <mergeCell ref="D517:E517"/>
    <mergeCell ref="D519:E519"/>
    <mergeCell ref="D521:E521"/>
    <mergeCell ref="D505:E505"/>
    <mergeCell ref="D507:L507"/>
    <mergeCell ref="D508:E508"/>
    <mergeCell ref="D511:L511"/>
    <mergeCell ref="D512:E512"/>
    <mergeCell ref="D497:E497"/>
    <mergeCell ref="D498:L498"/>
    <mergeCell ref="D500:L500"/>
    <mergeCell ref="D501:E501"/>
    <mergeCell ref="D503:E503"/>
    <mergeCell ref="D489:E489"/>
    <mergeCell ref="D490:L490"/>
    <mergeCell ref="D492:L492"/>
    <mergeCell ref="D493:E493"/>
    <mergeCell ref="D496:L496"/>
    <mergeCell ref="D482:E482"/>
    <mergeCell ref="D483:L483"/>
    <mergeCell ref="D485:L485"/>
    <mergeCell ref="D486:E486"/>
    <mergeCell ref="D488:E488"/>
    <mergeCell ref="D473:L473"/>
    <mergeCell ref="D475:E475"/>
    <mergeCell ref="D478:L478"/>
    <mergeCell ref="D479:E479"/>
    <mergeCell ref="D480:L480"/>
    <mergeCell ref="D465:E465"/>
    <mergeCell ref="D467:L467"/>
    <mergeCell ref="D468:E468"/>
    <mergeCell ref="D471:L471"/>
    <mergeCell ref="D472:E472"/>
    <mergeCell ref="D456:L456"/>
    <mergeCell ref="D458:E458"/>
    <mergeCell ref="D460:L460"/>
    <mergeCell ref="D461:E461"/>
    <mergeCell ref="D464:L464"/>
    <mergeCell ref="D450:L450"/>
    <mergeCell ref="D451:E451"/>
    <mergeCell ref="D452:E452"/>
    <mergeCell ref="D453:L453"/>
    <mergeCell ref="D455:E455"/>
    <mergeCell ref="D441:E441"/>
    <mergeCell ref="D443:E443"/>
    <mergeCell ref="D445:L445"/>
    <mergeCell ref="D446:E446"/>
    <mergeCell ref="D448:E448"/>
    <mergeCell ref="D435:E435"/>
    <mergeCell ref="D436:E436"/>
    <mergeCell ref="D437:L437"/>
    <mergeCell ref="D439:L439"/>
    <mergeCell ref="D440:E440"/>
    <mergeCell ref="D426:L426"/>
    <mergeCell ref="D428:E428"/>
    <mergeCell ref="D431:L431"/>
    <mergeCell ref="D432:E432"/>
    <mergeCell ref="D433:L433"/>
    <mergeCell ref="D420:E420"/>
    <mergeCell ref="D421:E421"/>
    <mergeCell ref="D423:E423"/>
    <mergeCell ref="D424:E424"/>
    <mergeCell ref="D425:E425"/>
    <mergeCell ref="D413:L413"/>
    <mergeCell ref="D415:L415"/>
    <mergeCell ref="D416:E416"/>
    <mergeCell ref="D417:L417"/>
    <mergeCell ref="D419:L419"/>
    <mergeCell ref="D408:E408"/>
    <mergeCell ref="D409:E409"/>
    <mergeCell ref="D410:E410"/>
    <mergeCell ref="D411:E411"/>
    <mergeCell ref="D412:E412"/>
    <mergeCell ref="D403:E403"/>
    <mergeCell ref="D404:E404"/>
    <mergeCell ref="D405:E405"/>
    <mergeCell ref="D406:E406"/>
    <mergeCell ref="D407:E407"/>
    <mergeCell ref="D398:E398"/>
    <mergeCell ref="D399:E399"/>
    <mergeCell ref="D400:E400"/>
    <mergeCell ref="D401:E401"/>
    <mergeCell ref="D402:E402"/>
    <mergeCell ref="D393:E393"/>
    <mergeCell ref="D394:E394"/>
    <mergeCell ref="D395:E395"/>
    <mergeCell ref="D396:E396"/>
    <mergeCell ref="D397:E397"/>
    <mergeCell ref="D388:E388"/>
    <mergeCell ref="D389:E389"/>
    <mergeCell ref="D390:E390"/>
    <mergeCell ref="D391:E391"/>
    <mergeCell ref="D392:E392"/>
    <mergeCell ref="D383:E383"/>
    <mergeCell ref="D384:E384"/>
    <mergeCell ref="D385:E385"/>
    <mergeCell ref="D386:E386"/>
    <mergeCell ref="D387:E387"/>
    <mergeCell ref="D378:E378"/>
    <mergeCell ref="D379:E379"/>
    <mergeCell ref="D380:E380"/>
    <mergeCell ref="D381:E381"/>
    <mergeCell ref="D382:E382"/>
    <mergeCell ref="D373:E373"/>
    <mergeCell ref="D374:E374"/>
    <mergeCell ref="D375:E375"/>
    <mergeCell ref="D376:E376"/>
    <mergeCell ref="D377:E377"/>
    <mergeCell ref="D368:E368"/>
    <mergeCell ref="D369:E369"/>
    <mergeCell ref="D370:E370"/>
    <mergeCell ref="D371:E371"/>
    <mergeCell ref="D372:E372"/>
    <mergeCell ref="D363:E363"/>
    <mergeCell ref="D364:E364"/>
    <mergeCell ref="D365:E365"/>
    <mergeCell ref="D366:E366"/>
    <mergeCell ref="D367:E367"/>
    <mergeCell ref="D358:E358"/>
    <mergeCell ref="D359:E359"/>
    <mergeCell ref="D360:E360"/>
    <mergeCell ref="D361:E361"/>
    <mergeCell ref="D362:E362"/>
    <mergeCell ref="D353:E353"/>
    <mergeCell ref="D354:E354"/>
    <mergeCell ref="D355:E355"/>
    <mergeCell ref="D356:E356"/>
    <mergeCell ref="D357:E357"/>
    <mergeCell ref="D348:E348"/>
    <mergeCell ref="D349:E349"/>
    <mergeCell ref="D350:E350"/>
    <mergeCell ref="D351:E351"/>
    <mergeCell ref="D352:E352"/>
    <mergeCell ref="D343:E343"/>
    <mergeCell ref="D344:E344"/>
    <mergeCell ref="D345:E345"/>
    <mergeCell ref="D346:E346"/>
    <mergeCell ref="D347:E347"/>
    <mergeCell ref="D338:E338"/>
    <mergeCell ref="D339:E339"/>
    <mergeCell ref="D340:E340"/>
    <mergeCell ref="D341:E341"/>
    <mergeCell ref="D342:E342"/>
    <mergeCell ref="D333:E333"/>
    <mergeCell ref="D334:E334"/>
    <mergeCell ref="D335:E335"/>
    <mergeCell ref="D336:E336"/>
    <mergeCell ref="D337:E337"/>
    <mergeCell ref="D328:E328"/>
    <mergeCell ref="D329:E329"/>
    <mergeCell ref="D330:E330"/>
    <mergeCell ref="D331:E331"/>
    <mergeCell ref="D332:E332"/>
    <mergeCell ref="D323:E323"/>
    <mergeCell ref="D324:E324"/>
    <mergeCell ref="D325:E325"/>
    <mergeCell ref="D326:E326"/>
    <mergeCell ref="D327:E327"/>
    <mergeCell ref="D318:E318"/>
    <mergeCell ref="D319:E319"/>
    <mergeCell ref="D320:E320"/>
    <mergeCell ref="D321:E321"/>
    <mergeCell ref="D322:E322"/>
    <mergeCell ref="D313:E313"/>
    <mergeCell ref="D314:E314"/>
    <mergeCell ref="D315:E315"/>
    <mergeCell ref="D316:E316"/>
    <mergeCell ref="D317:E317"/>
    <mergeCell ref="D308:E308"/>
    <mergeCell ref="D309:E309"/>
    <mergeCell ref="D310:E310"/>
    <mergeCell ref="D311:E311"/>
    <mergeCell ref="D312:E312"/>
    <mergeCell ref="D303:E303"/>
    <mergeCell ref="D304:E304"/>
    <mergeCell ref="D305:E305"/>
    <mergeCell ref="D306:E306"/>
    <mergeCell ref="D307:E307"/>
    <mergeCell ref="D298:E298"/>
    <mergeCell ref="D299:E299"/>
    <mergeCell ref="D300:E300"/>
    <mergeCell ref="D301:E301"/>
    <mergeCell ref="D302:E302"/>
    <mergeCell ref="D293:E293"/>
    <mergeCell ref="D294:E294"/>
    <mergeCell ref="D295:E295"/>
    <mergeCell ref="D296:E296"/>
    <mergeCell ref="D297:E297"/>
    <mergeCell ref="D288:E288"/>
    <mergeCell ref="D289:E289"/>
    <mergeCell ref="D290:E290"/>
    <mergeCell ref="D291:E291"/>
    <mergeCell ref="D292:E292"/>
    <mergeCell ref="D283:E283"/>
    <mergeCell ref="D284:E284"/>
    <mergeCell ref="D285:E285"/>
    <mergeCell ref="D286:E286"/>
    <mergeCell ref="D287:E287"/>
    <mergeCell ref="D278:E278"/>
    <mergeCell ref="D279:E279"/>
    <mergeCell ref="D280:E280"/>
    <mergeCell ref="D281:E281"/>
    <mergeCell ref="D282:E282"/>
    <mergeCell ref="D271:E271"/>
    <mergeCell ref="D272:L272"/>
    <mergeCell ref="D274:E274"/>
    <mergeCell ref="D276:E276"/>
    <mergeCell ref="D277:E277"/>
    <mergeCell ref="D262:E262"/>
    <mergeCell ref="D264:E264"/>
    <mergeCell ref="D266:E266"/>
    <mergeCell ref="D268:E268"/>
    <mergeCell ref="D269:L269"/>
    <mergeCell ref="D255:L255"/>
    <mergeCell ref="D257:E257"/>
    <mergeCell ref="D258:E258"/>
    <mergeCell ref="D259:L259"/>
    <mergeCell ref="D260:E260"/>
    <mergeCell ref="D248:L248"/>
    <mergeCell ref="D249:E249"/>
    <mergeCell ref="D252:L252"/>
    <mergeCell ref="D253:E253"/>
    <mergeCell ref="D254:E254"/>
    <mergeCell ref="D239:L239"/>
    <mergeCell ref="D240:E240"/>
    <mergeCell ref="D242:L242"/>
    <mergeCell ref="D243:E243"/>
    <mergeCell ref="D244:E244"/>
    <mergeCell ref="D232:E232"/>
    <mergeCell ref="D233:L233"/>
    <mergeCell ref="D235:L235"/>
    <mergeCell ref="D236:E236"/>
    <mergeCell ref="D237:L237"/>
    <mergeCell ref="D223:L223"/>
    <mergeCell ref="D224:E224"/>
    <mergeCell ref="D228:L228"/>
    <mergeCell ref="D229:E229"/>
    <mergeCell ref="D231:L231"/>
    <mergeCell ref="D214:L214"/>
    <mergeCell ref="D215:E215"/>
    <mergeCell ref="D217:E217"/>
    <mergeCell ref="D218:E218"/>
    <mergeCell ref="D219:L219"/>
    <mergeCell ref="D204:L204"/>
    <mergeCell ref="D207:E207"/>
    <mergeCell ref="D208:L208"/>
    <mergeCell ref="D211:E211"/>
    <mergeCell ref="D212:E212"/>
    <mergeCell ref="D197:E197"/>
    <mergeCell ref="D198:E198"/>
    <mergeCell ref="D200:E200"/>
    <mergeCell ref="D202:E202"/>
    <mergeCell ref="D203:E203"/>
    <mergeCell ref="D190:L190"/>
    <mergeCell ref="D191:E191"/>
    <mergeCell ref="D193:L193"/>
    <mergeCell ref="D194:E194"/>
    <mergeCell ref="D196:L196"/>
    <mergeCell ref="D179:E179"/>
    <mergeCell ref="D181:E181"/>
    <mergeCell ref="D182:E182"/>
    <mergeCell ref="D185:E185"/>
    <mergeCell ref="D186:E186"/>
    <mergeCell ref="D169:L169"/>
    <mergeCell ref="D173:L173"/>
    <mergeCell ref="D174:E174"/>
    <mergeCell ref="D176:L176"/>
    <mergeCell ref="D177:E177"/>
    <mergeCell ref="D161:L161"/>
    <mergeCell ref="D162:E162"/>
    <mergeCell ref="D163:L163"/>
    <mergeCell ref="D167:L167"/>
    <mergeCell ref="D168:E168"/>
    <mergeCell ref="D151:L151"/>
    <mergeCell ref="D152:E152"/>
    <mergeCell ref="D153:L153"/>
    <mergeCell ref="D157:L157"/>
    <mergeCell ref="D158:E158"/>
    <mergeCell ref="D141:L141"/>
    <mergeCell ref="D143:E143"/>
    <mergeCell ref="D144:E144"/>
    <mergeCell ref="D148:L148"/>
    <mergeCell ref="D149:E149"/>
    <mergeCell ref="D133:L133"/>
    <mergeCell ref="D135:L135"/>
    <mergeCell ref="D136:E136"/>
    <mergeCell ref="D139:L139"/>
    <mergeCell ref="D140:E140"/>
    <mergeCell ref="D127:L127"/>
    <mergeCell ref="D128:E128"/>
    <mergeCell ref="D129:L129"/>
    <mergeCell ref="D131:L131"/>
    <mergeCell ref="D132:E132"/>
    <mergeCell ref="D119:E119"/>
    <mergeCell ref="D120:E120"/>
    <mergeCell ref="D121:L121"/>
    <mergeCell ref="D123:L123"/>
    <mergeCell ref="D124:E124"/>
    <mergeCell ref="D108:E108"/>
    <mergeCell ref="D109:L109"/>
    <mergeCell ref="D113:E113"/>
    <mergeCell ref="D115:E115"/>
    <mergeCell ref="D117:E117"/>
    <mergeCell ref="D98:E98"/>
    <mergeCell ref="D100:E100"/>
    <mergeCell ref="D102:E102"/>
    <mergeCell ref="D103:E103"/>
    <mergeCell ref="D107:E107"/>
    <mergeCell ref="D87:E87"/>
    <mergeCell ref="D90:E90"/>
    <mergeCell ref="D92:E92"/>
    <mergeCell ref="D94:E94"/>
    <mergeCell ref="D96:E96"/>
    <mergeCell ref="D78:L78"/>
    <mergeCell ref="D79:E79"/>
    <mergeCell ref="D80:E80"/>
    <mergeCell ref="D82:E82"/>
    <mergeCell ref="D83:E83"/>
    <mergeCell ref="D71:L71"/>
    <mergeCell ref="D72:E72"/>
    <mergeCell ref="D73:L73"/>
    <mergeCell ref="D75:E75"/>
    <mergeCell ref="D76:L76"/>
    <mergeCell ref="D63:E63"/>
    <mergeCell ref="D64:E64"/>
    <mergeCell ref="D65:L65"/>
    <mergeCell ref="D68:L68"/>
    <mergeCell ref="D69:E69"/>
    <mergeCell ref="D56:L56"/>
    <mergeCell ref="D57:E57"/>
    <mergeCell ref="D58:L58"/>
    <mergeCell ref="D60:E60"/>
    <mergeCell ref="D62:L62"/>
    <mergeCell ref="D48:L48"/>
    <mergeCell ref="D49:E49"/>
    <mergeCell ref="D52:E52"/>
    <mergeCell ref="D53:E53"/>
    <mergeCell ref="D54:L54"/>
    <mergeCell ref="D38:E38"/>
    <mergeCell ref="D39:L39"/>
    <mergeCell ref="D42:L42"/>
    <mergeCell ref="D43:E43"/>
    <mergeCell ref="D44:L44"/>
    <mergeCell ref="D31:L31"/>
    <mergeCell ref="D33:L33"/>
    <mergeCell ref="D34:E34"/>
    <mergeCell ref="D36:L36"/>
    <mergeCell ref="D37:E37"/>
    <mergeCell ref="D25:E25"/>
    <mergeCell ref="D26:L26"/>
    <mergeCell ref="D28:L28"/>
    <mergeCell ref="D29:E29"/>
    <mergeCell ref="D30:E30"/>
    <mergeCell ref="D20:E20"/>
    <mergeCell ref="D21:E21"/>
    <mergeCell ref="D22:E22"/>
    <mergeCell ref="D23:E23"/>
    <mergeCell ref="D24:E24"/>
    <mergeCell ref="D15:L15"/>
    <mergeCell ref="D16:E16"/>
    <mergeCell ref="D17:E17"/>
    <mergeCell ref="D18:E18"/>
    <mergeCell ref="D19:E19"/>
    <mergeCell ref="D11:E11"/>
    <mergeCell ref="I10:K10"/>
    <mergeCell ref="D12:E12"/>
    <mergeCell ref="D13:E13"/>
    <mergeCell ref="D14:E14"/>
    <mergeCell ref="J2:L3"/>
    <mergeCell ref="J4:L5"/>
    <mergeCell ref="J6:L7"/>
    <mergeCell ref="J8:L9"/>
    <mergeCell ref="D10:E10"/>
    <mergeCell ref="D8:E9"/>
    <mergeCell ref="H2:H3"/>
    <mergeCell ref="H4:H5"/>
    <mergeCell ref="H6:H7"/>
    <mergeCell ref="H8:H9"/>
    <mergeCell ref="A1:L1"/>
    <mergeCell ref="A2:C3"/>
    <mergeCell ref="A4:C5"/>
    <mergeCell ref="A6:C7"/>
    <mergeCell ref="A8:C9"/>
    <mergeCell ref="F2:G3"/>
    <mergeCell ref="F4:G5"/>
    <mergeCell ref="F6:G7"/>
    <mergeCell ref="F8:G9"/>
    <mergeCell ref="I2:I3"/>
    <mergeCell ref="I4:I5"/>
    <mergeCell ref="I6:I7"/>
    <mergeCell ref="I8:I9"/>
    <mergeCell ref="D2:E3"/>
    <mergeCell ref="D4:E5"/>
    <mergeCell ref="D6:E7"/>
  </mergeCells>
  <printOptions/>
  <pageMargins left="0.393999993801117" right="0.393999993801117" top="0.591000020503998" bottom="0.591000020503998" header="0" footer="0"/>
  <pageSetup fitToHeight="0" fitToWidth="1" horizontalDpi="600" verticalDpi="600" orientation="landscape"/>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36"/>
  <sheetViews>
    <sheetView workbookViewId="0" topLeftCell="A1">
      <selection activeCell="A36" sqref="A36:E36"/>
    </sheetView>
  </sheetViews>
  <sheetFormatPr defaultColWidth="12.140625" defaultRowHeight="15" customHeight="1"/>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7.140625" style="0" customWidth="1"/>
    <col min="9" max="9" width="22.8515625" style="0" customWidth="1"/>
  </cols>
  <sheetData>
    <row r="1" spans="1:9" ht="54.75" customHeight="1">
      <c r="A1" s="205" t="s">
        <v>1945</v>
      </c>
      <c r="B1" s="139"/>
      <c r="C1" s="139"/>
      <c r="D1" s="139"/>
      <c r="E1" s="139"/>
      <c r="F1" s="139"/>
      <c r="G1" s="139"/>
      <c r="H1" s="139"/>
      <c r="I1" s="139"/>
    </row>
    <row r="2" spans="1:9" ht="15">
      <c r="A2" s="140" t="s">
        <v>1</v>
      </c>
      <c r="B2" s="141"/>
      <c r="C2" s="149" t="str">
        <f>'Stavební rozpočet'!D2</f>
        <v>Vybudování a rekonstrukce odborných učeben v ZŠ TGM</v>
      </c>
      <c r="D2" s="150"/>
      <c r="E2" s="147" t="s">
        <v>5</v>
      </c>
      <c r="F2" s="147" t="str">
        <f>'Stavební rozpočet'!J2</f>
        <v>Město ivančice</v>
      </c>
      <c r="G2" s="141"/>
      <c r="H2" s="147" t="s">
        <v>1870</v>
      </c>
      <c r="I2" s="152" t="s">
        <v>1871</v>
      </c>
    </row>
    <row r="3" spans="1:9" ht="15" customHeight="1">
      <c r="A3" s="142"/>
      <c r="B3" s="143"/>
      <c r="C3" s="151"/>
      <c r="D3" s="151"/>
      <c r="E3" s="143"/>
      <c r="F3" s="143"/>
      <c r="G3" s="143"/>
      <c r="H3" s="143"/>
      <c r="I3" s="153"/>
    </row>
    <row r="4" spans="1:9" ht="15">
      <c r="A4" s="144" t="s">
        <v>7</v>
      </c>
      <c r="B4" s="143"/>
      <c r="C4" s="148" t="str">
        <f>'Stavební rozpočet'!D4</f>
        <v>Stavební úpravy</v>
      </c>
      <c r="D4" s="143"/>
      <c r="E4" s="148" t="s">
        <v>11</v>
      </c>
      <c r="F4" s="148" t="str">
        <f>'Stavební rozpočet'!J4</f>
        <v>Tomáš Sýkora</v>
      </c>
      <c r="G4" s="143"/>
      <c r="H4" s="148" t="s">
        <v>1870</v>
      </c>
      <c r="I4" s="153" t="s">
        <v>1872</v>
      </c>
    </row>
    <row r="5" spans="1:9" ht="15" customHeight="1">
      <c r="A5" s="142"/>
      <c r="B5" s="143"/>
      <c r="C5" s="143"/>
      <c r="D5" s="143"/>
      <c r="E5" s="143"/>
      <c r="F5" s="143"/>
      <c r="G5" s="143"/>
      <c r="H5" s="143"/>
      <c r="I5" s="153"/>
    </row>
    <row r="6" spans="1:9" ht="15">
      <c r="A6" s="144" t="s">
        <v>13</v>
      </c>
      <c r="B6" s="143"/>
      <c r="C6" s="148" t="str">
        <f>'Stavební rozpočet'!D6</f>
        <v>ZŠ TGM Ivančice; Na Brněnce 1, 664 91 Ivančice</v>
      </c>
      <c r="D6" s="143"/>
      <c r="E6" s="148" t="s">
        <v>16</v>
      </c>
      <c r="F6" s="148" t="str">
        <f>'Stavební rozpočet'!J6</f>
        <v> </v>
      </c>
      <c r="G6" s="143"/>
      <c r="H6" s="148" t="s">
        <v>1870</v>
      </c>
      <c r="I6" s="153" t="s">
        <v>52</v>
      </c>
    </row>
    <row r="7" spans="1:9" ht="15" customHeight="1">
      <c r="A7" s="142"/>
      <c r="B7" s="143"/>
      <c r="C7" s="143"/>
      <c r="D7" s="143"/>
      <c r="E7" s="143"/>
      <c r="F7" s="143"/>
      <c r="G7" s="143"/>
      <c r="H7" s="143"/>
      <c r="I7" s="153"/>
    </row>
    <row r="8" spans="1:9" ht="15">
      <c r="A8" s="144" t="s">
        <v>9</v>
      </c>
      <c r="B8" s="143"/>
      <c r="C8" s="148" t="str">
        <f>'Stavební rozpočet'!H4</f>
        <v>22.09.2023</v>
      </c>
      <c r="D8" s="143"/>
      <c r="E8" s="148" t="s">
        <v>15</v>
      </c>
      <c r="F8" s="148" t="str">
        <f>'Stavební rozpočet'!H6</f>
        <v xml:space="preserve"> </v>
      </c>
      <c r="G8" s="143"/>
      <c r="H8" s="143" t="s">
        <v>1873</v>
      </c>
      <c r="I8" s="207">
        <v>1</v>
      </c>
    </row>
    <row r="9" spans="1:9" ht="15">
      <c r="A9" s="142"/>
      <c r="B9" s="143"/>
      <c r="C9" s="143"/>
      <c r="D9" s="143"/>
      <c r="E9" s="143"/>
      <c r="F9" s="143"/>
      <c r="G9" s="143"/>
      <c r="H9" s="143"/>
      <c r="I9" s="153"/>
    </row>
    <row r="10" spans="1:9" ht="15">
      <c r="A10" s="144" t="s">
        <v>18</v>
      </c>
      <c r="B10" s="143"/>
      <c r="C10" s="148" t="str">
        <f>'Stavební rozpočet'!D8</f>
        <v>8013212</v>
      </c>
      <c r="D10" s="143"/>
      <c r="E10" s="148" t="s">
        <v>21</v>
      </c>
      <c r="F10" s="148" t="str">
        <f>'Stavební rozpočet'!J8</f>
        <v>Tomáš Sýkora</v>
      </c>
      <c r="G10" s="143"/>
      <c r="H10" s="143" t="s">
        <v>1874</v>
      </c>
      <c r="I10" s="208" t="str">
        <f>'Stavební rozpočet'!H8</f>
        <v>22.09.2023</v>
      </c>
    </row>
    <row r="11" spans="1:9" ht="15">
      <c r="A11" s="206"/>
      <c r="B11" s="203"/>
      <c r="C11" s="203"/>
      <c r="D11" s="203"/>
      <c r="E11" s="203"/>
      <c r="F11" s="203"/>
      <c r="G11" s="203"/>
      <c r="H11" s="203"/>
      <c r="I11" s="209"/>
    </row>
    <row r="13" spans="1:5" ht="15.75">
      <c r="A13" s="243" t="s">
        <v>1916</v>
      </c>
      <c r="B13" s="243"/>
      <c r="C13" s="243"/>
      <c r="D13" s="243"/>
      <c r="E13" s="243"/>
    </row>
    <row r="14" spans="1:9" ht="15">
      <c r="A14" s="244" t="s">
        <v>1917</v>
      </c>
      <c r="B14" s="245"/>
      <c r="C14" s="245"/>
      <c r="D14" s="245"/>
      <c r="E14" s="246"/>
      <c r="F14" s="131" t="s">
        <v>1918</v>
      </c>
      <c r="G14" s="131" t="s">
        <v>951</v>
      </c>
      <c r="H14" s="131" t="s">
        <v>1919</v>
      </c>
      <c r="I14" s="131" t="s">
        <v>1918</v>
      </c>
    </row>
    <row r="15" spans="1:9" ht="15">
      <c r="A15" s="247" t="s">
        <v>1884</v>
      </c>
      <c r="B15" s="248"/>
      <c r="C15" s="248"/>
      <c r="D15" s="248"/>
      <c r="E15" s="249"/>
      <c r="F15" s="132">
        <v>0</v>
      </c>
      <c r="G15" s="133" t="s">
        <v>52</v>
      </c>
      <c r="H15" s="133" t="s">
        <v>52</v>
      </c>
      <c r="I15" s="132">
        <f>F15</f>
        <v>0</v>
      </c>
    </row>
    <row r="16" spans="1:9" ht="15">
      <c r="A16" s="247" t="s">
        <v>1886</v>
      </c>
      <c r="B16" s="248"/>
      <c r="C16" s="248"/>
      <c r="D16" s="248"/>
      <c r="E16" s="249"/>
      <c r="F16" s="132">
        <v>0</v>
      </c>
      <c r="G16" s="133" t="s">
        <v>52</v>
      </c>
      <c r="H16" s="133" t="s">
        <v>52</v>
      </c>
      <c r="I16" s="132">
        <f>F16</f>
        <v>0</v>
      </c>
    </row>
    <row r="17" spans="1:9" ht="15">
      <c r="A17" s="250" t="s">
        <v>1889</v>
      </c>
      <c r="B17" s="251"/>
      <c r="C17" s="251"/>
      <c r="D17" s="251"/>
      <c r="E17" s="252"/>
      <c r="F17" s="134">
        <v>0</v>
      </c>
      <c r="G17" s="135" t="s">
        <v>52</v>
      </c>
      <c r="H17" s="135" t="s">
        <v>52</v>
      </c>
      <c r="I17" s="134">
        <f>F17</f>
        <v>0</v>
      </c>
    </row>
    <row r="18" spans="1:9" ht="15">
      <c r="A18" s="253" t="s">
        <v>1920</v>
      </c>
      <c r="B18" s="254"/>
      <c r="C18" s="254"/>
      <c r="D18" s="254"/>
      <c r="E18" s="255"/>
      <c r="F18" s="136" t="s">
        <v>52</v>
      </c>
      <c r="G18" s="137" t="s">
        <v>52</v>
      </c>
      <c r="H18" s="137" t="s">
        <v>52</v>
      </c>
      <c r="I18" s="138">
        <f>SUM(I15:I17)</f>
        <v>0</v>
      </c>
    </row>
    <row r="20" spans="1:9" ht="15">
      <c r="A20" s="244" t="s">
        <v>1881</v>
      </c>
      <c r="B20" s="245"/>
      <c r="C20" s="245"/>
      <c r="D20" s="245"/>
      <c r="E20" s="246"/>
      <c r="F20" s="131" t="s">
        <v>1918</v>
      </c>
      <c r="G20" s="131" t="s">
        <v>951</v>
      </c>
      <c r="H20" s="131" t="s">
        <v>1919</v>
      </c>
      <c r="I20" s="131" t="s">
        <v>1918</v>
      </c>
    </row>
    <row r="21" spans="1:9" ht="15">
      <c r="A21" s="247" t="s">
        <v>1885</v>
      </c>
      <c r="B21" s="248"/>
      <c r="C21" s="248"/>
      <c r="D21" s="248"/>
      <c r="E21" s="249"/>
      <c r="F21" s="132">
        <v>0</v>
      </c>
      <c r="G21" s="133" t="s">
        <v>52</v>
      </c>
      <c r="H21" s="133" t="s">
        <v>52</v>
      </c>
      <c r="I21" s="132">
        <f aca="true" t="shared" si="0" ref="I21:I26">F21</f>
        <v>0</v>
      </c>
    </row>
    <row r="22" spans="1:9" ht="15">
      <c r="A22" s="247" t="s">
        <v>1887</v>
      </c>
      <c r="B22" s="248"/>
      <c r="C22" s="248"/>
      <c r="D22" s="248"/>
      <c r="E22" s="249"/>
      <c r="F22" s="132">
        <v>0</v>
      </c>
      <c r="G22" s="133" t="s">
        <v>52</v>
      </c>
      <c r="H22" s="133" t="s">
        <v>52</v>
      </c>
      <c r="I22" s="132">
        <f t="shared" si="0"/>
        <v>0</v>
      </c>
    </row>
    <row r="23" spans="1:9" ht="15">
      <c r="A23" s="247" t="s">
        <v>1890</v>
      </c>
      <c r="B23" s="248"/>
      <c r="C23" s="248"/>
      <c r="D23" s="248"/>
      <c r="E23" s="249"/>
      <c r="F23" s="132">
        <v>0</v>
      </c>
      <c r="G23" s="133" t="s">
        <v>52</v>
      </c>
      <c r="H23" s="133" t="s">
        <v>52</v>
      </c>
      <c r="I23" s="132">
        <f t="shared" si="0"/>
        <v>0</v>
      </c>
    </row>
    <row r="24" spans="1:9" ht="15">
      <c r="A24" s="247" t="s">
        <v>1891</v>
      </c>
      <c r="B24" s="248"/>
      <c r="C24" s="248"/>
      <c r="D24" s="248"/>
      <c r="E24" s="249"/>
      <c r="F24" s="132">
        <v>0</v>
      </c>
      <c r="G24" s="133" t="s">
        <v>52</v>
      </c>
      <c r="H24" s="133" t="s">
        <v>52</v>
      </c>
      <c r="I24" s="132">
        <f t="shared" si="0"/>
        <v>0</v>
      </c>
    </row>
    <row r="25" spans="1:9" ht="15">
      <c r="A25" s="247" t="s">
        <v>1893</v>
      </c>
      <c r="B25" s="248"/>
      <c r="C25" s="248"/>
      <c r="D25" s="248"/>
      <c r="E25" s="249"/>
      <c r="F25" s="132">
        <v>0</v>
      </c>
      <c r="G25" s="133" t="s">
        <v>52</v>
      </c>
      <c r="H25" s="133" t="s">
        <v>52</v>
      </c>
      <c r="I25" s="132">
        <f t="shared" si="0"/>
        <v>0</v>
      </c>
    </row>
    <row r="26" spans="1:9" ht="15">
      <c r="A26" s="250" t="s">
        <v>1894</v>
      </c>
      <c r="B26" s="251"/>
      <c r="C26" s="251"/>
      <c r="D26" s="251"/>
      <c r="E26" s="252"/>
      <c r="F26" s="134">
        <v>0</v>
      </c>
      <c r="G26" s="135" t="s">
        <v>52</v>
      </c>
      <c r="H26" s="135" t="s">
        <v>52</v>
      </c>
      <c r="I26" s="134">
        <f t="shared" si="0"/>
        <v>0</v>
      </c>
    </row>
    <row r="27" spans="1:9" ht="15">
      <c r="A27" s="253" t="s">
        <v>1921</v>
      </c>
      <c r="B27" s="254"/>
      <c r="C27" s="254"/>
      <c r="D27" s="254"/>
      <c r="E27" s="255"/>
      <c r="F27" s="136" t="s">
        <v>52</v>
      </c>
      <c r="G27" s="137" t="s">
        <v>52</v>
      </c>
      <c r="H27" s="137" t="s">
        <v>52</v>
      </c>
      <c r="I27" s="138">
        <f>SUM(I21:I26)</f>
        <v>0</v>
      </c>
    </row>
    <row r="29" spans="1:9" ht="15.75">
      <c r="A29" s="256" t="s">
        <v>1922</v>
      </c>
      <c r="B29" s="257"/>
      <c r="C29" s="257"/>
      <c r="D29" s="257"/>
      <c r="E29" s="258"/>
      <c r="F29" s="259">
        <f>I18+I27</f>
        <v>0</v>
      </c>
      <c r="G29" s="260"/>
      <c r="H29" s="260"/>
      <c r="I29" s="261"/>
    </row>
    <row r="33" spans="1:5" ht="15.75">
      <c r="A33" s="243" t="s">
        <v>1923</v>
      </c>
      <c r="B33" s="243"/>
      <c r="C33" s="243"/>
      <c r="D33" s="243"/>
      <c r="E33" s="243"/>
    </row>
    <row r="34" spans="1:9" ht="15">
      <c r="A34" s="244" t="s">
        <v>1924</v>
      </c>
      <c r="B34" s="245"/>
      <c r="C34" s="245"/>
      <c r="D34" s="245"/>
      <c r="E34" s="246"/>
      <c r="F34" s="131" t="s">
        <v>1918</v>
      </c>
      <c r="G34" s="131" t="s">
        <v>951</v>
      </c>
      <c r="H34" s="131" t="s">
        <v>1919</v>
      </c>
      <c r="I34" s="131" t="s">
        <v>1918</v>
      </c>
    </row>
    <row r="35" spans="1:9" ht="15">
      <c r="A35" s="250" t="s">
        <v>52</v>
      </c>
      <c r="B35" s="251"/>
      <c r="C35" s="251"/>
      <c r="D35" s="251"/>
      <c r="E35" s="252"/>
      <c r="F35" s="134">
        <v>0</v>
      </c>
      <c r="G35" s="135" t="s">
        <v>52</v>
      </c>
      <c r="H35" s="135" t="s">
        <v>52</v>
      </c>
      <c r="I35" s="134">
        <f>F35</f>
        <v>0</v>
      </c>
    </row>
    <row r="36" spans="1:9" ht="15">
      <c r="A36" s="253" t="s">
        <v>1925</v>
      </c>
      <c r="B36" s="254"/>
      <c r="C36" s="254"/>
      <c r="D36" s="254"/>
      <c r="E36" s="255"/>
      <c r="F36" s="136" t="s">
        <v>52</v>
      </c>
      <c r="G36" s="137" t="s">
        <v>52</v>
      </c>
      <c r="H36" s="137" t="s">
        <v>52</v>
      </c>
      <c r="I36" s="138">
        <f>SUM(I35:I35)</f>
        <v>0</v>
      </c>
    </row>
  </sheetData>
  <mergeCells count="51">
    <mergeCell ref="A36:E36"/>
    <mergeCell ref="A29:E29"/>
    <mergeCell ref="F29:I29"/>
    <mergeCell ref="A33:E33"/>
    <mergeCell ref="A34:E34"/>
    <mergeCell ref="A35:E35"/>
    <mergeCell ref="A23:E23"/>
    <mergeCell ref="A24:E24"/>
    <mergeCell ref="A25:E25"/>
    <mergeCell ref="A26:E26"/>
    <mergeCell ref="A27:E27"/>
    <mergeCell ref="A17:E17"/>
    <mergeCell ref="A18:E18"/>
    <mergeCell ref="A20:E20"/>
    <mergeCell ref="A21:E21"/>
    <mergeCell ref="A22:E22"/>
    <mergeCell ref="I10:I11"/>
    <mergeCell ref="A13:E13"/>
    <mergeCell ref="A14:E14"/>
    <mergeCell ref="A15:E15"/>
    <mergeCell ref="A16:E16"/>
    <mergeCell ref="H10:H11"/>
    <mergeCell ref="C2:D3"/>
    <mergeCell ref="C4:D5"/>
    <mergeCell ref="C6:D7"/>
    <mergeCell ref="C8:D9"/>
    <mergeCell ref="C10:D11"/>
    <mergeCell ref="F2:G3"/>
    <mergeCell ref="F4:G5"/>
    <mergeCell ref="F6:G7"/>
    <mergeCell ref="F8:G9"/>
    <mergeCell ref="F10:G11"/>
    <mergeCell ref="A10:B11"/>
    <mergeCell ref="E2:E3"/>
    <mergeCell ref="E4:E5"/>
    <mergeCell ref="E6:E7"/>
    <mergeCell ref="E8:E9"/>
    <mergeCell ref="E10:E11"/>
    <mergeCell ref="A1:I1"/>
    <mergeCell ref="A2:B3"/>
    <mergeCell ref="A4:B5"/>
    <mergeCell ref="A6:B7"/>
    <mergeCell ref="A8:B9"/>
    <mergeCell ref="H2:H3"/>
    <mergeCell ref="H4:H5"/>
    <mergeCell ref="H6:H7"/>
    <mergeCell ref="H8:H9"/>
    <mergeCell ref="I2:I3"/>
    <mergeCell ref="I4:I5"/>
    <mergeCell ref="I6:I7"/>
    <mergeCell ref="I8:I9"/>
  </mergeCells>
  <printOptions/>
  <pageMargins left="0.393999993801117" right="0.393999993801117" top="0.591000020503998" bottom="0.591000020503998" header="0" footer="0"/>
  <pageSetup fitToHeight="0" fitToWidth="1" horizontalDpi="600" verticalDpi="60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5"/>
  <sheetViews>
    <sheetView workbookViewId="0" topLeftCell="A1">
      <selection activeCell="A35" sqref="A35:I35"/>
    </sheetView>
  </sheetViews>
  <sheetFormatPr defaultColWidth="12.140625" defaultRowHeight="15" customHeight="1"/>
  <cols>
    <col min="1" max="1" width="9.140625" style="0" customWidth="1"/>
    <col min="2" max="2" width="12.8515625" style="0" customWidth="1"/>
    <col min="3" max="3" width="27.140625" style="0" customWidth="1"/>
    <col min="4" max="4" width="10.00390625" style="0" customWidth="1"/>
    <col min="5" max="5" width="14.00390625" style="0" customWidth="1"/>
    <col min="6" max="6" width="27.140625" style="0" customWidth="1"/>
    <col min="7" max="7" width="9.140625" style="0" customWidth="1"/>
    <col min="8" max="8" width="12.8515625" style="0" customWidth="1"/>
    <col min="9" max="9" width="27.140625" style="0" customWidth="1"/>
  </cols>
  <sheetData>
    <row r="1" spans="1:9" ht="54.75" customHeight="1">
      <c r="A1" s="205" t="s">
        <v>1926</v>
      </c>
      <c r="B1" s="139"/>
      <c r="C1" s="139"/>
      <c r="D1" s="139"/>
      <c r="E1" s="139"/>
      <c r="F1" s="139"/>
      <c r="G1" s="139"/>
      <c r="H1" s="139"/>
      <c r="I1" s="139"/>
    </row>
    <row r="2" spans="1:9" ht="15">
      <c r="A2" s="140" t="s">
        <v>1</v>
      </c>
      <c r="B2" s="141"/>
      <c r="C2" s="149" t="str">
        <f>'Stavební rozpočet'!D2</f>
        <v>Vybudování a rekonstrukce odborných učeben v ZŠ TGM</v>
      </c>
      <c r="D2" s="150"/>
      <c r="E2" s="147" t="s">
        <v>5</v>
      </c>
      <c r="F2" s="147" t="str">
        <f>'Stavební rozpočet'!J2</f>
        <v>Město ivančice</v>
      </c>
      <c r="G2" s="141"/>
      <c r="H2" s="147" t="s">
        <v>1870</v>
      </c>
      <c r="I2" s="152" t="s">
        <v>1871</v>
      </c>
    </row>
    <row r="3" spans="1:9" ht="15" customHeight="1">
      <c r="A3" s="142"/>
      <c r="B3" s="143"/>
      <c r="C3" s="151"/>
      <c r="D3" s="151"/>
      <c r="E3" s="143"/>
      <c r="F3" s="143"/>
      <c r="G3" s="143"/>
      <c r="H3" s="143"/>
      <c r="I3" s="153"/>
    </row>
    <row r="4" spans="1:9" ht="15">
      <c r="A4" s="144" t="s">
        <v>7</v>
      </c>
      <c r="B4" s="143"/>
      <c r="C4" s="148" t="str">
        <f>'Stavební rozpočet'!D4</f>
        <v>Stavební úpravy</v>
      </c>
      <c r="D4" s="143"/>
      <c r="E4" s="148" t="s">
        <v>11</v>
      </c>
      <c r="F4" s="148" t="str">
        <f>'Stavební rozpočet'!J4</f>
        <v>Tomáš Sýkora</v>
      </c>
      <c r="G4" s="143"/>
      <c r="H4" s="148" t="s">
        <v>1870</v>
      </c>
      <c r="I4" s="153" t="s">
        <v>1872</v>
      </c>
    </row>
    <row r="5" spans="1:9" ht="15" customHeight="1">
      <c r="A5" s="142"/>
      <c r="B5" s="143"/>
      <c r="C5" s="143"/>
      <c r="D5" s="143"/>
      <c r="E5" s="143"/>
      <c r="F5" s="143"/>
      <c r="G5" s="143"/>
      <c r="H5" s="143"/>
      <c r="I5" s="153"/>
    </row>
    <row r="6" spans="1:9" ht="15">
      <c r="A6" s="144" t="s">
        <v>13</v>
      </c>
      <c r="B6" s="143"/>
      <c r="C6" s="148" t="str">
        <f>'Stavební rozpočet'!D6</f>
        <v>ZŠ TGM Ivančice; Na Brněnce 1, 664 91 Ivančice</v>
      </c>
      <c r="D6" s="143"/>
      <c r="E6" s="148" t="s">
        <v>16</v>
      </c>
      <c r="F6" s="148" t="str">
        <f>'Stavební rozpočet'!J6</f>
        <v> </v>
      </c>
      <c r="G6" s="143"/>
      <c r="H6" s="148" t="s">
        <v>1870</v>
      </c>
      <c r="I6" s="153" t="s">
        <v>52</v>
      </c>
    </row>
    <row r="7" spans="1:9" ht="15" customHeight="1">
      <c r="A7" s="142"/>
      <c r="B7" s="143"/>
      <c r="C7" s="143"/>
      <c r="D7" s="143"/>
      <c r="E7" s="143"/>
      <c r="F7" s="143"/>
      <c r="G7" s="143"/>
      <c r="H7" s="143"/>
      <c r="I7" s="153"/>
    </row>
    <row r="8" spans="1:9" ht="15">
      <c r="A8" s="144" t="s">
        <v>9</v>
      </c>
      <c r="B8" s="143"/>
      <c r="C8" s="148" t="str">
        <f>'Stavební rozpočet'!H4</f>
        <v>22.09.2023</v>
      </c>
      <c r="D8" s="143"/>
      <c r="E8" s="148" t="s">
        <v>15</v>
      </c>
      <c r="F8" s="148" t="str">
        <f>'Stavební rozpočet'!H6</f>
        <v xml:space="preserve"> </v>
      </c>
      <c r="G8" s="143"/>
      <c r="H8" s="143" t="s">
        <v>1873</v>
      </c>
      <c r="I8" s="207">
        <v>77</v>
      </c>
    </row>
    <row r="9" spans="1:9" ht="15">
      <c r="A9" s="142"/>
      <c r="B9" s="143"/>
      <c r="C9" s="143"/>
      <c r="D9" s="143"/>
      <c r="E9" s="143"/>
      <c r="F9" s="143"/>
      <c r="G9" s="143"/>
      <c r="H9" s="143"/>
      <c r="I9" s="153"/>
    </row>
    <row r="10" spans="1:9" ht="15">
      <c r="A10" s="144" t="s">
        <v>18</v>
      </c>
      <c r="B10" s="143"/>
      <c r="C10" s="148" t="str">
        <f>'Stavební rozpočet'!D8</f>
        <v>8013212</v>
      </c>
      <c r="D10" s="143"/>
      <c r="E10" s="148" t="s">
        <v>21</v>
      </c>
      <c r="F10" s="148" t="str">
        <f>'Stavební rozpočet'!J8</f>
        <v>Tomáš Sýkora</v>
      </c>
      <c r="G10" s="143"/>
      <c r="H10" s="143" t="s">
        <v>1874</v>
      </c>
      <c r="I10" s="208" t="str">
        <f>'Stavební rozpočet'!H8</f>
        <v>22.09.2023</v>
      </c>
    </row>
    <row r="11" spans="1:9" ht="15">
      <c r="A11" s="206"/>
      <c r="B11" s="203"/>
      <c r="C11" s="203"/>
      <c r="D11" s="203"/>
      <c r="E11" s="203"/>
      <c r="F11" s="203"/>
      <c r="G11" s="203"/>
      <c r="H11" s="203"/>
      <c r="I11" s="209"/>
    </row>
    <row r="12" spans="1:9" ht="23.25">
      <c r="A12" s="210" t="s">
        <v>1875</v>
      </c>
      <c r="B12" s="210"/>
      <c r="C12" s="210"/>
      <c r="D12" s="210"/>
      <c r="E12" s="210"/>
      <c r="F12" s="210"/>
      <c r="G12" s="210"/>
      <c r="H12" s="210"/>
      <c r="I12" s="210"/>
    </row>
    <row r="13" spans="1:9" ht="26.25" customHeight="1">
      <c r="A13" s="118" t="s">
        <v>1876</v>
      </c>
      <c r="B13" s="211" t="s">
        <v>1877</v>
      </c>
      <c r="C13" s="212"/>
      <c r="D13" s="119" t="s">
        <v>1878</v>
      </c>
      <c r="E13" s="211" t="s">
        <v>1879</v>
      </c>
      <c r="F13" s="212"/>
      <c r="G13" s="119" t="s">
        <v>1880</v>
      </c>
      <c r="H13" s="211" t="s">
        <v>1881</v>
      </c>
      <c r="I13" s="212"/>
    </row>
    <row r="14" spans="1:9" ht="15.75">
      <c r="A14" s="120" t="s">
        <v>1882</v>
      </c>
      <c r="B14" s="121" t="s">
        <v>1883</v>
      </c>
      <c r="C14" s="122">
        <f>SUMIF('Stavební rozpočet'!AI12:AI1282,"01_1",'Stavební rozpočet'!AB12:AB1282)</f>
        <v>0</v>
      </c>
      <c r="D14" s="219" t="s">
        <v>1884</v>
      </c>
      <c r="E14" s="220"/>
      <c r="F14" s="122">
        <f>'VORN objektu (01_1)'!I15</f>
        <v>0</v>
      </c>
      <c r="G14" s="219" t="s">
        <v>1885</v>
      </c>
      <c r="H14" s="220"/>
      <c r="I14" s="123">
        <f>'VORN objektu (01_1)'!I21</f>
        <v>0</v>
      </c>
    </row>
    <row r="15" spans="1:9" ht="15.75">
      <c r="A15" s="124" t="s">
        <v>52</v>
      </c>
      <c r="B15" s="121" t="s">
        <v>37</v>
      </c>
      <c r="C15" s="122">
        <f>SUMIF('Stavební rozpočet'!AI12:AI1282,"01_1",'Stavební rozpočet'!AC12:AC1282)</f>
        <v>0</v>
      </c>
      <c r="D15" s="219" t="s">
        <v>1886</v>
      </c>
      <c r="E15" s="220"/>
      <c r="F15" s="122">
        <f>'VORN objektu (01_1)'!I16</f>
        <v>0</v>
      </c>
      <c r="G15" s="219" t="s">
        <v>1887</v>
      </c>
      <c r="H15" s="220"/>
      <c r="I15" s="123">
        <f>'VORN objektu (01_1)'!I22</f>
        <v>0</v>
      </c>
    </row>
    <row r="16" spans="1:9" ht="15.75">
      <c r="A16" s="120" t="s">
        <v>1888</v>
      </c>
      <c r="B16" s="121" t="s">
        <v>1883</v>
      </c>
      <c r="C16" s="122">
        <f>SUMIF('Stavební rozpočet'!AI12:AI1282,"01_1",'Stavební rozpočet'!AD12:AD1282)</f>
        <v>0</v>
      </c>
      <c r="D16" s="219" t="s">
        <v>1889</v>
      </c>
      <c r="E16" s="220"/>
      <c r="F16" s="122">
        <f>'VORN objektu (01_1)'!I17</f>
        <v>0</v>
      </c>
      <c r="G16" s="219" t="s">
        <v>1890</v>
      </c>
      <c r="H16" s="220"/>
      <c r="I16" s="123">
        <f>'VORN objektu (01_1)'!I23</f>
        <v>0</v>
      </c>
    </row>
    <row r="17" spans="1:9" ht="15.75">
      <c r="A17" s="124" t="s">
        <v>52</v>
      </c>
      <c r="B17" s="121" t="s">
        <v>37</v>
      </c>
      <c r="C17" s="122">
        <f>SUMIF('Stavební rozpočet'!AI12:AI1282,"01_1",'Stavební rozpočet'!AE12:AE1282)</f>
        <v>0</v>
      </c>
      <c r="D17" s="219" t="s">
        <v>52</v>
      </c>
      <c r="E17" s="220"/>
      <c r="F17" s="123" t="s">
        <v>52</v>
      </c>
      <c r="G17" s="219" t="s">
        <v>1891</v>
      </c>
      <c r="H17" s="220"/>
      <c r="I17" s="123">
        <f>'VORN objektu (01_1)'!I24</f>
        <v>0</v>
      </c>
    </row>
    <row r="18" spans="1:9" ht="15.75">
      <c r="A18" s="120" t="s">
        <v>1892</v>
      </c>
      <c r="B18" s="121" t="s">
        <v>1883</v>
      </c>
      <c r="C18" s="122">
        <f>SUMIF('Stavební rozpočet'!AI12:AI1282,"01_1",'Stavební rozpočet'!AF12:AF1282)</f>
        <v>0</v>
      </c>
      <c r="D18" s="219" t="s">
        <v>52</v>
      </c>
      <c r="E18" s="220"/>
      <c r="F18" s="123" t="s">
        <v>52</v>
      </c>
      <c r="G18" s="219" t="s">
        <v>1893</v>
      </c>
      <c r="H18" s="220"/>
      <c r="I18" s="123">
        <f>'VORN objektu (01_1)'!I25</f>
        <v>0</v>
      </c>
    </row>
    <row r="19" spans="1:9" ht="15.75">
      <c r="A19" s="124" t="s">
        <v>52</v>
      </c>
      <c r="B19" s="121" t="s">
        <v>37</v>
      </c>
      <c r="C19" s="122">
        <f>SUMIF('Stavební rozpočet'!AI12:AI1282,"01_1",'Stavební rozpočet'!AG12:AG1282)</f>
        <v>0</v>
      </c>
      <c r="D19" s="219" t="s">
        <v>52</v>
      </c>
      <c r="E19" s="220"/>
      <c r="F19" s="123" t="s">
        <v>52</v>
      </c>
      <c r="G19" s="219" t="s">
        <v>1894</v>
      </c>
      <c r="H19" s="220"/>
      <c r="I19" s="123">
        <f>'VORN objektu (01_1)'!I26</f>
        <v>0</v>
      </c>
    </row>
    <row r="20" spans="1:9" ht="15.75">
      <c r="A20" s="213" t="s">
        <v>1895</v>
      </c>
      <c r="B20" s="214"/>
      <c r="C20" s="122">
        <f>SUMIF('Stavební rozpočet'!AI12:AI1282,"01_1",'Stavební rozpočet'!AH12:AH1282)</f>
        <v>0</v>
      </c>
      <c r="D20" s="219" t="s">
        <v>52</v>
      </c>
      <c r="E20" s="220"/>
      <c r="F20" s="123" t="s">
        <v>52</v>
      </c>
      <c r="G20" s="219" t="s">
        <v>52</v>
      </c>
      <c r="H20" s="220"/>
      <c r="I20" s="123" t="s">
        <v>52</v>
      </c>
    </row>
    <row r="21" spans="1:9" ht="15.75">
      <c r="A21" s="215" t="s">
        <v>1896</v>
      </c>
      <c r="B21" s="216"/>
      <c r="C21" s="122">
        <f>SUMIF('Stavební rozpočet'!AI12:AI1282,"01_1",'Stavební rozpočet'!Z12:Z1282)</f>
        <v>0</v>
      </c>
      <c r="D21" s="221" t="s">
        <v>52</v>
      </c>
      <c r="E21" s="222"/>
      <c r="F21" s="126" t="s">
        <v>52</v>
      </c>
      <c r="G21" s="221" t="s">
        <v>52</v>
      </c>
      <c r="H21" s="222"/>
      <c r="I21" s="126" t="s">
        <v>52</v>
      </c>
    </row>
    <row r="22" spans="1:9" ht="16.5" customHeight="1">
      <c r="A22" s="217" t="s">
        <v>1897</v>
      </c>
      <c r="B22" s="218"/>
      <c r="C22" s="122">
        <f>SUM(C14:C21)</f>
        <v>0</v>
      </c>
      <c r="D22" s="223" t="s">
        <v>1898</v>
      </c>
      <c r="E22" s="218"/>
      <c r="F22" s="127">
        <f>SUM(F14:F21)</f>
        <v>0</v>
      </c>
      <c r="G22" s="223" t="s">
        <v>1899</v>
      </c>
      <c r="H22" s="218"/>
      <c r="I22" s="127">
        <f>SUM(I14:I21)</f>
        <v>0</v>
      </c>
    </row>
    <row r="23" spans="7:9" ht="15.75">
      <c r="G23" s="213" t="s">
        <v>1902</v>
      </c>
      <c r="H23" s="214"/>
      <c r="I23" s="122">
        <f>'VORN objektu (01_1)'!I36</f>
        <v>0</v>
      </c>
    </row>
    <row r="25" spans="1:3" ht="15.75">
      <c r="A25" s="225" t="s">
        <v>1904</v>
      </c>
      <c r="B25" s="226"/>
      <c r="C25" s="128">
        <f>('Stavební rozpočet'!AS13+'Stavební rozpočet'!AS16+'Stavební rozpočet'!AS24+'Stavební rozpočet'!AS29+'Stavební rozpočet'!AS37+'Stavební rozpočet'!AS52+'Stavební rozpočet'!AS63+'Stavební rozpočet'!AS79+'Stavební rozpočet'!AS82+'Stavební rozpočet'!AS102+'Stavební rozpočet'!AS107+'Stavební rozpočet'!AS119+'Stavební rozpočet'!AS143+'Stavební rozpočet'!AS181+'Stavební rozpočet'!AS185+'Stavební rozpočet'!AS197+'Stavební rozpočet'!AS202+'Stavební rozpočet'!AS211+'Stavební rozpočet'!AS217+'Stavební rozpočet'!AS243+'Stavební rozpočet'!AS253+'Stavební rozpočet'!AS257)</f>
        <v>0</v>
      </c>
    </row>
    <row r="26" spans="1:9" ht="15.75">
      <c r="A26" s="227" t="s">
        <v>1905</v>
      </c>
      <c r="B26" s="228"/>
      <c r="C26" s="129">
        <f>('Stavební rozpočet'!AT13+'Stavební rozpočet'!AT16+'Stavební rozpočet'!AT24+'Stavební rozpočet'!AT29+'Stavební rozpočet'!AT37+'Stavební rozpočet'!AT52+'Stavební rozpočet'!AT63+'Stavební rozpočet'!AT79+'Stavební rozpočet'!AT82+'Stavební rozpočet'!AT102+'Stavební rozpočet'!AT107+'Stavební rozpočet'!AT119+'Stavební rozpočet'!AT143+'Stavební rozpočet'!AT181+'Stavební rozpočet'!AT185+'Stavební rozpočet'!AT197+'Stavební rozpočet'!AT202+'Stavební rozpočet'!AT211+'Stavební rozpočet'!AT217+'Stavební rozpočet'!AT243+'Stavební rozpočet'!AT253+'Stavební rozpočet'!AT257)</f>
        <v>0</v>
      </c>
      <c r="D26" s="229" t="s">
        <v>1906</v>
      </c>
      <c r="E26" s="226"/>
      <c r="F26" s="128">
        <f>ROUND(C26*(12/100),2)</f>
        <v>0</v>
      </c>
      <c r="G26" s="229" t="s">
        <v>1907</v>
      </c>
      <c r="H26" s="226"/>
      <c r="I26" s="128">
        <f>SUM(C25:C27)</f>
        <v>0</v>
      </c>
    </row>
    <row r="27" spans="1:9" ht="15.75">
      <c r="A27" s="227" t="s">
        <v>1908</v>
      </c>
      <c r="B27" s="228"/>
      <c r="C27" s="129">
        <f>('Stavební rozpočet'!AU13+'Stavební rozpočet'!AU16+'Stavební rozpočet'!AU24+'Stavební rozpočet'!AU29+'Stavební rozpočet'!AU37+'Stavební rozpočet'!AU52+'Stavební rozpočet'!AU63+'Stavební rozpočet'!AU79+'Stavební rozpočet'!AU82+'Stavební rozpočet'!AU102+'Stavební rozpočet'!AU107+'Stavební rozpočet'!AU119+'Stavební rozpočet'!AU143+'Stavební rozpočet'!AU181+'Stavební rozpočet'!AU185+'Stavební rozpočet'!AU197+'Stavební rozpočet'!AU202+'Stavební rozpočet'!AU211+'Stavební rozpočet'!AU217+'Stavební rozpočet'!AU243+'Stavební rozpočet'!AU253+'Stavební rozpočet'!AU257)+(F22+I22+F23+I23+I24)</f>
        <v>0</v>
      </c>
      <c r="D27" s="230" t="s">
        <v>1909</v>
      </c>
      <c r="E27" s="228"/>
      <c r="F27" s="129">
        <f>ROUND(C27*(21/100),2)</f>
        <v>0</v>
      </c>
      <c r="G27" s="230" t="s">
        <v>1910</v>
      </c>
      <c r="H27" s="228"/>
      <c r="I27" s="129">
        <f>SUM(F26:F27)+I26</f>
        <v>0</v>
      </c>
    </row>
    <row r="29" spans="1:9" ht="15">
      <c r="A29" s="231" t="s">
        <v>1911</v>
      </c>
      <c r="B29" s="232"/>
      <c r="C29" s="233"/>
      <c r="D29" s="240" t="s">
        <v>1912</v>
      </c>
      <c r="E29" s="232"/>
      <c r="F29" s="233"/>
      <c r="G29" s="240" t="s">
        <v>1913</v>
      </c>
      <c r="H29" s="232"/>
      <c r="I29" s="233"/>
    </row>
    <row r="30" spans="1:9" ht="15">
      <c r="A30" s="234" t="s">
        <v>52</v>
      </c>
      <c r="B30" s="235"/>
      <c r="C30" s="236"/>
      <c r="D30" s="241" t="s">
        <v>52</v>
      </c>
      <c r="E30" s="235"/>
      <c r="F30" s="236"/>
      <c r="G30" s="241" t="s">
        <v>52</v>
      </c>
      <c r="H30" s="235"/>
      <c r="I30" s="236"/>
    </row>
    <row r="31" spans="1:9" ht="15">
      <c r="A31" s="234" t="s">
        <v>52</v>
      </c>
      <c r="B31" s="235"/>
      <c r="C31" s="236"/>
      <c r="D31" s="241" t="s">
        <v>52</v>
      </c>
      <c r="E31" s="235"/>
      <c r="F31" s="236"/>
      <c r="G31" s="241" t="s">
        <v>52</v>
      </c>
      <c r="H31" s="235"/>
      <c r="I31" s="236"/>
    </row>
    <row r="32" spans="1:9" ht="15">
      <c r="A32" s="234" t="s">
        <v>52</v>
      </c>
      <c r="B32" s="235"/>
      <c r="C32" s="236"/>
      <c r="D32" s="241" t="s">
        <v>52</v>
      </c>
      <c r="E32" s="235"/>
      <c r="F32" s="236"/>
      <c r="G32" s="241" t="s">
        <v>52</v>
      </c>
      <c r="H32" s="235"/>
      <c r="I32" s="236"/>
    </row>
    <row r="33" spans="1:9" ht="15">
      <c r="A33" s="237" t="s">
        <v>1914</v>
      </c>
      <c r="B33" s="238"/>
      <c r="C33" s="239"/>
      <c r="D33" s="242" t="s">
        <v>1914</v>
      </c>
      <c r="E33" s="238"/>
      <c r="F33" s="239"/>
      <c r="G33" s="242" t="s">
        <v>1914</v>
      </c>
      <c r="H33" s="238"/>
      <c r="I33" s="239"/>
    </row>
    <row r="34" ht="15">
      <c r="A34" s="130" t="s">
        <v>1868</v>
      </c>
    </row>
    <row r="35" spans="1:9" ht="12.75" customHeight="1">
      <c r="A35" s="148" t="s">
        <v>52</v>
      </c>
      <c r="B35" s="143"/>
      <c r="C35" s="143"/>
      <c r="D35" s="143"/>
      <c r="E35" s="143"/>
      <c r="F35" s="143"/>
      <c r="G35" s="143"/>
      <c r="H35" s="143"/>
      <c r="I35" s="143"/>
    </row>
  </sheetData>
  <mergeCells count="80">
    <mergeCell ref="G32:I32"/>
    <mergeCell ref="G33:I33"/>
    <mergeCell ref="A35:I35"/>
    <mergeCell ref="A32:C32"/>
    <mergeCell ref="A33:C33"/>
    <mergeCell ref="D29:F29"/>
    <mergeCell ref="D30:F30"/>
    <mergeCell ref="D31:F31"/>
    <mergeCell ref="D32:F32"/>
    <mergeCell ref="D33:F33"/>
    <mergeCell ref="G26:H26"/>
    <mergeCell ref="G27:H27"/>
    <mergeCell ref="A29:C29"/>
    <mergeCell ref="A30:C30"/>
    <mergeCell ref="A31:C31"/>
    <mergeCell ref="G29:I29"/>
    <mergeCell ref="G30:I30"/>
    <mergeCell ref="G31:I31"/>
    <mergeCell ref="A25:B25"/>
    <mergeCell ref="A26:B26"/>
    <mergeCell ref="A27:B27"/>
    <mergeCell ref="D26:E26"/>
    <mergeCell ref="D27:E27"/>
    <mergeCell ref="G19:H19"/>
    <mergeCell ref="G20:H20"/>
    <mergeCell ref="G21:H21"/>
    <mergeCell ref="G22:H22"/>
    <mergeCell ref="G23:H23"/>
    <mergeCell ref="G14:H14"/>
    <mergeCell ref="G15:H15"/>
    <mergeCell ref="G16:H16"/>
    <mergeCell ref="G17:H17"/>
    <mergeCell ref="G18:H18"/>
    <mergeCell ref="A20:B20"/>
    <mergeCell ref="A21:B21"/>
    <mergeCell ref="A22:B22"/>
    <mergeCell ref="D14:E14"/>
    <mergeCell ref="D15:E15"/>
    <mergeCell ref="D16:E16"/>
    <mergeCell ref="D17:E17"/>
    <mergeCell ref="D18:E18"/>
    <mergeCell ref="D19:E19"/>
    <mergeCell ref="D20:E20"/>
    <mergeCell ref="D21:E21"/>
    <mergeCell ref="D22:E22"/>
    <mergeCell ref="I10:I11"/>
    <mergeCell ref="A12:I12"/>
    <mergeCell ref="B13:C13"/>
    <mergeCell ref="E13:F13"/>
    <mergeCell ref="H13:I13"/>
    <mergeCell ref="F10:G11"/>
    <mergeCell ref="H2:H3"/>
    <mergeCell ref="H4:H5"/>
    <mergeCell ref="H6:H7"/>
    <mergeCell ref="H8:H9"/>
    <mergeCell ref="H10:H11"/>
    <mergeCell ref="A10:B11"/>
    <mergeCell ref="E2:E3"/>
    <mergeCell ref="E4:E5"/>
    <mergeCell ref="E6:E7"/>
    <mergeCell ref="E8:E9"/>
    <mergeCell ref="E10:E11"/>
    <mergeCell ref="C2:D3"/>
    <mergeCell ref="C4:D5"/>
    <mergeCell ref="C6:D7"/>
    <mergeCell ref="C8:D9"/>
    <mergeCell ref="C10:D11"/>
    <mergeCell ref="A1:I1"/>
    <mergeCell ref="A2:B3"/>
    <mergeCell ref="A4:B5"/>
    <mergeCell ref="A6:B7"/>
    <mergeCell ref="A8:B9"/>
    <mergeCell ref="F2:G3"/>
    <mergeCell ref="F4:G5"/>
    <mergeCell ref="F6:G7"/>
    <mergeCell ref="F8:G9"/>
    <mergeCell ref="I2:I3"/>
    <mergeCell ref="I4:I5"/>
    <mergeCell ref="I6:I7"/>
    <mergeCell ref="I8:I9"/>
  </mergeCells>
  <printOptions/>
  <pageMargins left="0.393999993801117" right="0.393999993801117" top="0.591000020503998" bottom="0.591000020503998" header="0" footer="0"/>
  <pageSetup fitToHeight="1" fitToWidth="1" horizontalDpi="600" verticalDpi="60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6"/>
  <sheetViews>
    <sheetView workbookViewId="0" topLeftCell="A1">
      <selection activeCell="A36" sqref="A36:E36"/>
    </sheetView>
  </sheetViews>
  <sheetFormatPr defaultColWidth="12.140625" defaultRowHeight="15" customHeight="1"/>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7.140625" style="0" customWidth="1"/>
    <col min="9" max="9" width="22.8515625" style="0" customWidth="1"/>
  </cols>
  <sheetData>
    <row r="1" spans="1:9" ht="54.75" customHeight="1">
      <c r="A1" s="205" t="s">
        <v>1927</v>
      </c>
      <c r="B1" s="139"/>
      <c r="C1" s="139"/>
      <c r="D1" s="139"/>
      <c r="E1" s="139"/>
      <c r="F1" s="139"/>
      <c r="G1" s="139"/>
      <c r="H1" s="139"/>
      <c r="I1" s="139"/>
    </row>
    <row r="2" spans="1:9" ht="15">
      <c r="A2" s="140" t="s">
        <v>1</v>
      </c>
      <c r="B2" s="141"/>
      <c r="C2" s="149" t="str">
        <f>'Stavební rozpočet'!D2</f>
        <v>Vybudování a rekonstrukce odborných učeben v ZŠ TGM</v>
      </c>
      <c r="D2" s="150"/>
      <c r="E2" s="147" t="s">
        <v>5</v>
      </c>
      <c r="F2" s="147" t="str">
        <f>'Stavební rozpočet'!J2</f>
        <v>Město ivančice</v>
      </c>
      <c r="G2" s="141"/>
      <c r="H2" s="147" t="s">
        <v>1870</v>
      </c>
      <c r="I2" s="152" t="s">
        <v>1871</v>
      </c>
    </row>
    <row r="3" spans="1:9" ht="15" customHeight="1">
      <c r="A3" s="142"/>
      <c r="B3" s="143"/>
      <c r="C3" s="151"/>
      <c r="D3" s="151"/>
      <c r="E3" s="143"/>
      <c r="F3" s="143"/>
      <c r="G3" s="143"/>
      <c r="H3" s="143"/>
      <c r="I3" s="153"/>
    </row>
    <row r="4" spans="1:9" ht="15">
      <c r="A4" s="144" t="s">
        <v>7</v>
      </c>
      <c r="B4" s="143"/>
      <c r="C4" s="148" t="str">
        <f>'Stavební rozpočet'!D4</f>
        <v>Stavební úpravy</v>
      </c>
      <c r="D4" s="143"/>
      <c r="E4" s="148" t="s">
        <v>11</v>
      </c>
      <c r="F4" s="148" t="str">
        <f>'Stavební rozpočet'!J4</f>
        <v>Tomáš Sýkora</v>
      </c>
      <c r="G4" s="143"/>
      <c r="H4" s="148" t="s">
        <v>1870</v>
      </c>
      <c r="I4" s="153" t="s">
        <v>1872</v>
      </c>
    </row>
    <row r="5" spans="1:9" ht="15" customHeight="1">
      <c r="A5" s="142"/>
      <c r="B5" s="143"/>
      <c r="C5" s="143"/>
      <c r="D5" s="143"/>
      <c r="E5" s="143"/>
      <c r="F5" s="143"/>
      <c r="G5" s="143"/>
      <c r="H5" s="143"/>
      <c r="I5" s="153"/>
    </row>
    <row r="6" spans="1:9" ht="15">
      <c r="A6" s="144" t="s">
        <v>13</v>
      </c>
      <c r="B6" s="143"/>
      <c r="C6" s="148" t="str">
        <f>'Stavební rozpočet'!D6</f>
        <v>ZŠ TGM Ivančice; Na Brněnce 1, 664 91 Ivančice</v>
      </c>
      <c r="D6" s="143"/>
      <c r="E6" s="148" t="s">
        <v>16</v>
      </c>
      <c r="F6" s="148" t="str">
        <f>'Stavební rozpočet'!J6</f>
        <v> </v>
      </c>
      <c r="G6" s="143"/>
      <c r="H6" s="148" t="s">
        <v>1870</v>
      </c>
      <c r="I6" s="153" t="s">
        <v>52</v>
      </c>
    </row>
    <row r="7" spans="1:9" ht="15" customHeight="1">
      <c r="A7" s="142"/>
      <c r="B7" s="143"/>
      <c r="C7" s="143"/>
      <c r="D7" s="143"/>
      <c r="E7" s="143"/>
      <c r="F7" s="143"/>
      <c r="G7" s="143"/>
      <c r="H7" s="143"/>
      <c r="I7" s="153"/>
    </row>
    <row r="8" spans="1:9" ht="15">
      <c r="A8" s="144" t="s">
        <v>9</v>
      </c>
      <c r="B8" s="143"/>
      <c r="C8" s="148" t="str">
        <f>'Stavební rozpočet'!H4</f>
        <v>22.09.2023</v>
      </c>
      <c r="D8" s="143"/>
      <c r="E8" s="148" t="s">
        <v>15</v>
      </c>
      <c r="F8" s="148" t="str">
        <f>'Stavební rozpočet'!H6</f>
        <v xml:space="preserve"> </v>
      </c>
      <c r="G8" s="143"/>
      <c r="H8" s="143" t="s">
        <v>1873</v>
      </c>
      <c r="I8" s="207">
        <v>77</v>
      </c>
    </row>
    <row r="9" spans="1:9" ht="15">
      <c r="A9" s="142"/>
      <c r="B9" s="143"/>
      <c r="C9" s="143"/>
      <c r="D9" s="143"/>
      <c r="E9" s="143"/>
      <c r="F9" s="143"/>
      <c r="G9" s="143"/>
      <c r="H9" s="143"/>
      <c r="I9" s="153"/>
    </row>
    <row r="10" spans="1:9" ht="15">
      <c r="A10" s="144" t="s">
        <v>18</v>
      </c>
      <c r="B10" s="143"/>
      <c r="C10" s="148" t="str">
        <f>'Stavební rozpočet'!D8</f>
        <v>8013212</v>
      </c>
      <c r="D10" s="143"/>
      <c r="E10" s="148" t="s">
        <v>21</v>
      </c>
      <c r="F10" s="148" t="str">
        <f>'Stavební rozpočet'!J8</f>
        <v>Tomáš Sýkora</v>
      </c>
      <c r="G10" s="143"/>
      <c r="H10" s="143" t="s">
        <v>1874</v>
      </c>
      <c r="I10" s="208" t="str">
        <f>'Stavební rozpočet'!H8</f>
        <v>22.09.2023</v>
      </c>
    </row>
    <row r="11" spans="1:9" ht="15">
      <c r="A11" s="206"/>
      <c r="B11" s="203"/>
      <c r="C11" s="203"/>
      <c r="D11" s="203"/>
      <c r="E11" s="203"/>
      <c r="F11" s="203"/>
      <c r="G11" s="203"/>
      <c r="H11" s="203"/>
      <c r="I11" s="209"/>
    </row>
    <row r="13" spans="1:5" ht="15.75">
      <c r="A13" s="243" t="s">
        <v>1916</v>
      </c>
      <c r="B13" s="243"/>
      <c r="C13" s="243"/>
      <c r="D13" s="243"/>
      <c r="E13" s="243"/>
    </row>
    <row r="14" spans="1:9" ht="15">
      <c r="A14" s="244" t="s">
        <v>1917</v>
      </c>
      <c r="B14" s="245"/>
      <c r="C14" s="245"/>
      <c r="D14" s="245"/>
      <c r="E14" s="246"/>
      <c r="F14" s="131" t="s">
        <v>1918</v>
      </c>
      <c r="G14" s="131" t="s">
        <v>951</v>
      </c>
      <c r="H14" s="131" t="s">
        <v>1919</v>
      </c>
      <c r="I14" s="131" t="s">
        <v>1918</v>
      </c>
    </row>
    <row r="15" spans="1:9" ht="15">
      <c r="A15" s="247" t="s">
        <v>1884</v>
      </c>
      <c r="B15" s="248"/>
      <c r="C15" s="248"/>
      <c r="D15" s="248"/>
      <c r="E15" s="249"/>
      <c r="F15" s="132">
        <v>0</v>
      </c>
      <c r="G15" s="133" t="s">
        <v>52</v>
      </c>
      <c r="H15" s="133" t="s">
        <v>52</v>
      </c>
      <c r="I15" s="132">
        <f>F15</f>
        <v>0</v>
      </c>
    </row>
    <row r="16" spans="1:9" ht="15">
      <c r="A16" s="247" t="s">
        <v>1886</v>
      </c>
      <c r="B16" s="248"/>
      <c r="C16" s="248"/>
      <c r="D16" s="248"/>
      <c r="E16" s="249"/>
      <c r="F16" s="132">
        <v>0</v>
      </c>
      <c r="G16" s="133" t="s">
        <v>52</v>
      </c>
      <c r="H16" s="133" t="s">
        <v>52</v>
      </c>
      <c r="I16" s="132">
        <f>F16</f>
        <v>0</v>
      </c>
    </row>
    <row r="17" spans="1:9" ht="15">
      <c r="A17" s="250" t="s">
        <v>1889</v>
      </c>
      <c r="B17" s="251"/>
      <c r="C17" s="251"/>
      <c r="D17" s="251"/>
      <c r="E17" s="252"/>
      <c r="F17" s="134">
        <v>0</v>
      </c>
      <c r="G17" s="135" t="s">
        <v>52</v>
      </c>
      <c r="H17" s="135" t="s">
        <v>52</v>
      </c>
      <c r="I17" s="134">
        <f>F17</f>
        <v>0</v>
      </c>
    </row>
    <row r="18" spans="1:9" ht="15">
      <c r="A18" s="253" t="s">
        <v>1920</v>
      </c>
      <c r="B18" s="254"/>
      <c r="C18" s="254"/>
      <c r="D18" s="254"/>
      <c r="E18" s="255"/>
      <c r="F18" s="136" t="s">
        <v>52</v>
      </c>
      <c r="G18" s="137" t="s">
        <v>52</v>
      </c>
      <c r="H18" s="137" t="s">
        <v>52</v>
      </c>
      <c r="I18" s="138">
        <f>SUM(I15:I17)</f>
        <v>0</v>
      </c>
    </row>
    <row r="20" spans="1:9" ht="15">
      <c r="A20" s="244" t="s">
        <v>1881</v>
      </c>
      <c r="B20" s="245"/>
      <c r="C20" s="245"/>
      <c r="D20" s="245"/>
      <c r="E20" s="246"/>
      <c r="F20" s="131" t="s">
        <v>1918</v>
      </c>
      <c r="G20" s="131" t="s">
        <v>951</v>
      </c>
      <c r="H20" s="131" t="s">
        <v>1919</v>
      </c>
      <c r="I20" s="131" t="s">
        <v>1918</v>
      </c>
    </row>
    <row r="21" spans="1:9" ht="15">
      <c r="A21" s="247" t="s">
        <v>1885</v>
      </c>
      <c r="B21" s="248"/>
      <c r="C21" s="248"/>
      <c r="D21" s="248"/>
      <c r="E21" s="249"/>
      <c r="F21" s="132">
        <v>0</v>
      </c>
      <c r="G21" s="133" t="s">
        <v>52</v>
      </c>
      <c r="H21" s="133" t="s">
        <v>52</v>
      </c>
      <c r="I21" s="132">
        <f aca="true" t="shared" si="0" ref="I21:I26">F21</f>
        <v>0</v>
      </c>
    </row>
    <row r="22" spans="1:9" ht="15">
      <c r="A22" s="247" t="s">
        <v>1887</v>
      </c>
      <c r="B22" s="248"/>
      <c r="C22" s="248"/>
      <c r="D22" s="248"/>
      <c r="E22" s="249"/>
      <c r="F22" s="132">
        <v>0</v>
      </c>
      <c r="G22" s="133" t="s">
        <v>52</v>
      </c>
      <c r="H22" s="133" t="s">
        <v>52</v>
      </c>
      <c r="I22" s="132">
        <f t="shared" si="0"/>
        <v>0</v>
      </c>
    </row>
    <row r="23" spans="1:9" ht="15">
      <c r="A23" s="247" t="s">
        <v>1890</v>
      </c>
      <c r="B23" s="248"/>
      <c r="C23" s="248"/>
      <c r="D23" s="248"/>
      <c r="E23" s="249"/>
      <c r="F23" s="132">
        <v>0</v>
      </c>
      <c r="G23" s="133" t="s">
        <v>52</v>
      </c>
      <c r="H23" s="133" t="s">
        <v>52</v>
      </c>
      <c r="I23" s="132">
        <f t="shared" si="0"/>
        <v>0</v>
      </c>
    </row>
    <row r="24" spans="1:9" ht="15">
      <c r="A24" s="247" t="s">
        <v>1891</v>
      </c>
      <c r="B24" s="248"/>
      <c r="C24" s="248"/>
      <c r="D24" s="248"/>
      <c r="E24" s="249"/>
      <c r="F24" s="132">
        <v>0</v>
      </c>
      <c r="G24" s="133" t="s">
        <v>52</v>
      </c>
      <c r="H24" s="133" t="s">
        <v>52</v>
      </c>
      <c r="I24" s="132">
        <f t="shared" si="0"/>
        <v>0</v>
      </c>
    </row>
    <row r="25" spans="1:9" ht="15">
      <c r="A25" s="247" t="s">
        <v>1893</v>
      </c>
      <c r="B25" s="248"/>
      <c r="C25" s="248"/>
      <c r="D25" s="248"/>
      <c r="E25" s="249"/>
      <c r="F25" s="132">
        <v>0</v>
      </c>
      <c r="G25" s="133" t="s">
        <v>52</v>
      </c>
      <c r="H25" s="133" t="s">
        <v>52</v>
      </c>
      <c r="I25" s="132">
        <f t="shared" si="0"/>
        <v>0</v>
      </c>
    </row>
    <row r="26" spans="1:9" ht="15">
      <c r="A26" s="250" t="s">
        <v>1894</v>
      </c>
      <c r="B26" s="251"/>
      <c r="C26" s="251"/>
      <c r="D26" s="251"/>
      <c r="E26" s="252"/>
      <c r="F26" s="134">
        <v>0</v>
      </c>
      <c r="G26" s="135" t="s">
        <v>52</v>
      </c>
      <c r="H26" s="135" t="s">
        <v>52</v>
      </c>
      <c r="I26" s="134">
        <f t="shared" si="0"/>
        <v>0</v>
      </c>
    </row>
    <row r="27" spans="1:9" ht="15">
      <c r="A27" s="253" t="s">
        <v>1921</v>
      </c>
      <c r="B27" s="254"/>
      <c r="C27" s="254"/>
      <c r="D27" s="254"/>
      <c r="E27" s="255"/>
      <c r="F27" s="136" t="s">
        <v>52</v>
      </c>
      <c r="G27" s="137" t="s">
        <v>52</v>
      </c>
      <c r="H27" s="137" t="s">
        <v>52</v>
      </c>
      <c r="I27" s="138">
        <f>SUM(I21:I26)</f>
        <v>0</v>
      </c>
    </row>
    <row r="29" spans="1:9" ht="15.75">
      <c r="A29" s="256" t="s">
        <v>1922</v>
      </c>
      <c r="B29" s="257"/>
      <c r="C29" s="257"/>
      <c r="D29" s="257"/>
      <c r="E29" s="258"/>
      <c r="F29" s="259">
        <f>I18+I27</f>
        <v>0</v>
      </c>
      <c r="G29" s="260"/>
      <c r="H29" s="260"/>
      <c r="I29" s="261"/>
    </row>
    <row r="33" spans="1:5" ht="15.75">
      <c r="A33" s="243" t="s">
        <v>1923</v>
      </c>
      <c r="B33" s="243"/>
      <c r="C33" s="243"/>
      <c r="D33" s="243"/>
      <c r="E33" s="243"/>
    </row>
    <row r="34" spans="1:9" ht="15">
      <c r="A34" s="244" t="s">
        <v>1924</v>
      </c>
      <c r="B34" s="245"/>
      <c r="C34" s="245"/>
      <c r="D34" s="245"/>
      <c r="E34" s="246"/>
      <c r="F34" s="131" t="s">
        <v>1918</v>
      </c>
      <c r="G34" s="131" t="s">
        <v>951</v>
      </c>
      <c r="H34" s="131" t="s">
        <v>1919</v>
      </c>
      <c r="I34" s="131" t="s">
        <v>1918</v>
      </c>
    </row>
    <row r="35" spans="1:9" ht="15">
      <c r="A35" s="250" t="s">
        <v>52</v>
      </c>
      <c r="B35" s="251"/>
      <c r="C35" s="251"/>
      <c r="D35" s="251"/>
      <c r="E35" s="252"/>
      <c r="F35" s="134">
        <v>0</v>
      </c>
      <c r="G35" s="135" t="s">
        <v>52</v>
      </c>
      <c r="H35" s="135" t="s">
        <v>52</v>
      </c>
      <c r="I35" s="134">
        <f>F35</f>
        <v>0</v>
      </c>
    </row>
    <row r="36" spans="1:9" ht="15">
      <c r="A36" s="253" t="s">
        <v>1925</v>
      </c>
      <c r="B36" s="254"/>
      <c r="C36" s="254"/>
      <c r="D36" s="254"/>
      <c r="E36" s="255"/>
      <c r="F36" s="136" t="s">
        <v>52</v>
      </c>
      <c r="G36" s="137" t="s">
        <v>52</v>
      </c>
      <c r="H36" s="137" t="s">
        <v>52</v>
      </c>
      <c r="I36" s="138">
        <f>SUM(I35:I35)</f>
        <v>0</v>
      </c>
    </row>
  </sheetData>
  <mergeCells count="51">
    <mergeCell ref="A36:E36"/>
    <mergeCell ref="A29:E29"/>
    <mergeCell ref="F29:I29"/>
    <mergeCell ref="A33:E33"/>
    <mergeCell ref="A34:E34"/>
    <mergeCell ref="A35:E35"/>
    <mergeCell ref="A23:E23"/>
    <mergeCell ref="A24:E24"/>
    <mergeCell ref="A25:E25"/>
    <mergeCell ref="A26:E26"/>
    <mergeCell ref="A27:E27"/>
    <mergeCell ref="A17:E17"/>
    <mergeCell ref="A18:E18"/>
    <mergeCell ref="A20:E20"/>
    <mergeCell ref="A21:E21"/>
    <mergeCell ref="A22:E22"/>
    <mergeCell ref="I10:I11"/>
    <mergeCell ref="A13:E13"/>
    <mergeCell ref="A14:E14"/>
    <mergeCell ref="A15:E15"/>
    <mergeCell ref="A16:E16"/>
    <mergeCell ref="H10:H11"/>
    <mergeCell ref="C2:D3"/>
    <mergeCell ref="C4:D5"/>
    <mergeCell ref="C6:D7"/>
    <mergeCell ref="C8:D9"/>
    <mergeCell ref="C10:D11"/>
    <mergeCell ref="F2:G3"/>
    <mergeCell ref="F4:G5"/>
    <mergeCell ref="F6:G7"/>
    <mergeCell ref="F8:G9"/>
    <mergeCell ref="F10:G11"/>
    <mergeCell ref="A10:B11"/>
    <mergeCell ref="E2:E3"/>
    <mergeCell ref="E4:E5"/>
    <mergeCell ref="E6:E7"/>
    <mergeCell ref="E8:E9"/>
    <mergeCell ref="E10:E11"/>
    <mergeCell ref="A1:I1"/>
    <mergeCell ref="A2:B3"/>
    <mergeCell ref="A4:B5"/>
    <mergeCell ref="A6:B7"/>
    <mergeCell ref="A8:B9"/>
    <mergeCell ref="H2:H3"/>
    <mergeCell ref="H4:H5"/>
    <mergeCell ref="H6:H7"/>
    <mergeCell ref="H8:H9"/>
    <mergeCell ref="I2:I3"/>
    <mergeCell ref="I4:I5"/>
    <mergeCell ref="I6:I7"/>
    <mergeCell ref="I8:I9"/>
  </mergeCells>
  <printOptions/>
  <pageMargins left="0.393999993801117" right="0.393999993801117" top="0.591000020503998" bottom="0.591000020503998" header="0" footer="0"/>
  <pageSetup fitToHeight="0" fitToWidth="1" horizontalDpi="600" verticalDpi="600"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35"/>
  <sheetViews>
    <sheetView workbookViewId="0" topLeftCell="A1">
      <selection activeCell="A35" sqref="A35:I35"/>
    </sheetView>
  </sheetViews>
  <sheetFormatPr defaultColWidth="12.140625" defaultRowHeight="15" customHeight="1"/>
  <cols>
    <col min="1" max="1" width="9.140625" style="0" customWidth="1"/>
    <col min="2" max="2" width="12.8515625" style="0" customWidth="1"/>
    <col min="3" max="3" width="27.140625" style="0" customWidth="1"/>
    <col min="4" max="4" width="10.00390625" style="0" customWidth="1"/>
    <col min="5" max="5" width="14.00390625" style="0" customWidth="1"/>
    <col min="6" max="6" width="27.140625" style="0" customWidth="1"/>
    <col min="7" max="7" width="9.140625" style="0" customWidth="1"/>
    <col min="8" max="8" width="12.8515625" style="0" customWidth="1"/>
    <col min="9" max="9" width="27.140625" style="0" customWidth="1"/>
  </cols>
  <sheetData>
    <row r="1" spans="1:9" ht="54.75" customHeight="1">
      <c r="A1" s="205" t="s">
        <v>1928</v>
      </c>
      <c r="B1" s="139"/>
      <c r="C1" s="139"/>
      <c r="D1" s="139"/>
      <c r="E1" s="139"/>
      <c r="F1" s="139"/>
      <c r="G1" s="139"/>
      <c r="H1" s="139"/>
      <c r="I1" s="139"/>
    </row>
    <row r="2" spans="1:9" ht="15">
      <c r="A2" s="140" t="s">
        <v>1</v>
      </c>
      <c r="B2" s="141"/>
      <c r="C2" s="149" t="str">
        <f>'Stavební rozpočet'!D2</f>
        <v>Vybudování a rekonstrukce odborných učeben v ZŠ TGM</v>
      </c>
      <c r="D2" s="150"/>
      <c r="E2" s="147" t="s">
        <v>5</v>
      </c>
      <c r="F2" s="147" t="str">
        <f>'Stavební rozpočet'!J2</f>
        <v>Město ivančice</v>
      </c>
      <c r="G2" s="141"/>
      <c r="H2" s="147" t="s">
        <v>1870</v>
      </c>
      <c r="I2" s="152" t="s">
        <v>1871</v>
      </c>
    </row>
    <row r="3" spans="1:9" ht="15" customHeight="1">
      <c r="A3" s="142"/>
      <c r="B3" s="143"/>
      <c r="C3" s="151"/>
      <c r="D3" s="151"/>
      <c r="E3" s="143"/>
      <c r="F3" s="143"/>
      <c r="G3" s="143"/>
      <c r="H3" s="143"/>
      <c r="I3" s="153"/>
    </row>
    <row r="4" spans="1:9" ht="15">
      <c r="A4" s="144" t="s">
        <v>7</v>
      </c>
      <c r="B4" s="143"/>
      <c r="C4" s="148" t="str">
        <f>'Stavební rozpočet'!D4</f>
        <v>Stavební úpravy</v>
      </c>
      <c r="D4" s="143"/>
      <c r="E4" s="148" t="s">
        <v>11</v>
      </c>
      <c r="F4" s="148" t="str">
        <f>'Stavební rozpočet'!J4</f>
        <v>Tomáš Sýkora</v>
      </c>
      <c r="G4" s="143"/>
      <c r="H4" s="148" t="s">
        <v>1870</v>
      </c>
      <c r="I4" s="153" t="s">
        <v>1872</v>
      </c>
    </row>
    <row r="5" spans="1:9" ht="15" customHeight="1">
      <c r="A5" s="142"/>
      <c r="B5" s="143"/>
      <c r="C5" s="143"/>
      <c r="D5" s="143"/>
      <c r="E5" s="143"/>
      <c r="F5" s="143"/>
      <c r="G5" s="143"/>
      <c r="H5" s="143"/>
      <c r="I5" s="153"/>
    </row>
    <row r="6" spans="1:9" ht="15">
      <c r="A6" s="144" t="s">
        <v>13</v>
      </c>
      <c r="B6" s="143"/>
      <c r="C6" s="148" t="str">
        <f>'Stavební rozpočet'!D6</f>
        <v>ZŠ TGM Ivančice; Na Brněnce 1, 664 91 Ivančice</v>
      </c>
      <c r="D6" s="143"/>
      <c r="E6" s="148" t="s">
        <v>16</v>
      </c>
      <c r="F6" s="148" t="str">
        <f>'Stavební rozpočet'!J6</f>
        <v> </v>
      </c>
      <c r="G6" s="143"/>
      <c r="H6" s="148" t="s">
        <v>1870</v>
      </c>
      <c r="I6" s="153" t="s">
        <v>52</v>
      </c>
    </row>
    <row r="7" spans="1:9" ht="15" customHeight="1">
      <c r="A7" s="142"/>
      <c r="B7" s="143"/>
      <c r="C7" s="143"/>
      <c r="D7" s="143"/>
      <c r="E7" s="143"/>
      <c r="F7" s="143"/>
      <c r="G7" s="143"/>
      <c r="H7" s="143"/>
      <c r="I7" s="153"/>
    </row>
    <row r="8" spans="1:9" ht="15">
      <c r="A8" s="144" t="s">
        <v>9</v>
      </c>
      <c r="B8" s="143"/>
      <c r="C8" s="148" t="str">
        <f>'Stavební rozpočet'!H4</f>
        <v>22.09.2023</v>
      </c>
      <c r="D8" s="143"/>
      <c r="E8" s="148" t="s">
        <v>15</v>
      </c>
      <c r="F8" s="148" t="str">
        <f>'Stavební rozpočet'!H6</f>
        <v xml:space="preserve"> </v>
      </c>
      <c r="G8" s="143"/>
      <c r="H8" s="143" t="s">
        <v>1873</v>
      </c>
      <c r="I8" s="207">
        <v>31</v>
      </c>
    </row>
    <row r="9" spans="1:9" ht="15">
      <c r="A9" s="142"/>
      <c r="B9" s="143"/>
      <c r="C9" s="143"/>
      <c r="D9" s="143"/>
      <c r="E9" s="143"/>
      <c r="F9" s="143"/>
      <c r="G9" s="143"/>
      <c r="H9" s="143"/>
      <c r="I9" s="153"/>
    </row>
    <row r="10" spans="1:9" ht="15">
      <c r="A10" s="144" t="s">
        <v>18</v>
      </c>
      <c r="B10" s="143"/>
      <c r="C10" s="148" t="str">
        <f>'Stavební rozpočet'!D8</f>
        <v>8013212</v>
      </c>
      <c r="D10" s="143"/>
      <c r="E10" s="148" t="s">
        <v>21</v>
      </c>
      <c r="F10" s="148" t="str">
        <f>'Stavební rozpočet'!J8</f>
        <v>Tomáš Sýkora</v>
      </c>
      <c r="G10" s="143"/>
      <c r="H10" s="143" t="s">
        <v>1874</v>
      </c>
      <c r="I10" s="208" t="str">
        <f>'Stavební rozpočet'!H8</f>
        <v>22.09.2023</v>
      </c>
    </row>
    <row r="11" spans="1:9" ht="15">
      <c r="A11" s="206"/>
      <c r="B11" s="203"/>
      <c r="C11" s="203"/>
      <c r="D11" s="203"/>
      <c r="E11" s="203"/>
      <c r="F11" s="203"/>
      <c r="G11" s="203"/>
      <c r="H11" s="203"/>
      <c r="I11" s="209"/>
    </row>
    <row r="12" spans="1:9" ht="23.25">
      <c r="A12" s="210" t="s">
        <v>1875</v>
      </c>
      <c r="B12" s="210"/>
      <c r="C12" s="210"/>
      <c r="D12" s="210"/>
      <c r="E12" s="210"/>
      <c r="F12" s="210"/>
      <c r="G12" s="210"/>
      <c r="H12" s="210"/>
      <c r="I12" s="210"/>
    </row>
    <row r="13" spans="1:9" ht="26.25" customHeight="1">
      <c r="A13" s="118" t="s">
        <v>1876</v>
      </c>
      <c r="B13" s="211" t="s">
        <v>1877</v>
      </c>
      <c r="C13" s="212"/>
      <c r="D13" s="119" t="s">
        <v>1878</v>
      </c>
      <c r="E13" s="211" t="s">
        <v>1879</v>
      </c>
      <c r="F13" s="212"/>
      <c r="G13" s="119" t="s">
        <v>1880</v>
      </c>
      <c r="H13" s="211" t="s">
        <v>1881</v>
      </c>
      <c r="I13" s="212"/>
    </row>
    <row r="14" spans="1:9" ht="15.75">
      <c r="A14" s="120" t="s">
        <v>1882</v>
      </c>
      <c r="B14" s="121" t="s">
        <v>1883</v>
      </c>
      <c r="C14" s="122">
        <f>SUMIF('Stavební rozpočet'!AI12:AI1282,"01_2",'Stavební rozpočet'!AB12:AB1282)</f>
        <v>0</v>
      </c>
      <c r="D14" s="219" t="s">
        <v>1884</v>
      </c>
      <c r="E14" s="220"/>
      <c r="F14" s="122">
        <f>'VORN objektu (01_2)'!I15</f>
        <v>0</v>
      </c>
      <c r="G14" s="219" t="s">
        <v>1885</v>
      </c>
      <c r="H14" s="220"/>
      <c r="I14" s="123">
        <f>'VORN objektu (01_2)'!I21</f>
        <v>0</v>
      </c>
    </row>
    <row r="15" spans="1:9" ht="15.75">
      <c r="A15" s="124" t="s">
        <v>52</v>
      </c>
      <c r="B15" s="121" t="s">
        <v>37</v>
      </c>
      <c r="C15" s="122">
        <f>SUMIF('Stavební rozpočet'!AI12:AI1282,"01_2",'Stavební rozpočet'!AC12:AC1282)</f>
        <v>0</v>
      </c>
      <c r="D15" s="219" t="s">
        <v>1886</v>
      </c>
      <c r="E15" s="220"/>
      <c r="F15" s="122">
        <f>'VORN objektu (01_2)'!I16</f>
        <v>0</v>
      </c>
      <c r="G15" s="219" t="s">
        <v>1887</v>
      </c>
      <c r="H15" s="220"/>
      <c r="I15" s="123">
        <f>'VORN objektu (01_2)'!I22</f>
        <v>0</v>
      </c>
    </row>
    <row r="16" spans="1:9" ht="15.75">
      <c r="A16" s="120" t="s">
        <v>1888</v>
      </c>
      <c r="B16" s="121" t="s">
        <v>1883</v>
      </c>
      <c r="C16" s="122">
        <f>SUMIF('Stavební rozpočet'!AI12:AI1282,"01_2",'Stavební rozpočet'!AD12:AD1282)</f>
        <v>0</v>
      </c>
      <c r="D16" s="219" t="s">
        <v>1889</v>
      </c>
      <c r="E16" s="220"/>
      <c r="F16" s="122">
        <f>'VORN objektu (01_2)'!I17</f>
        <v>0</v>
      </c>
      <c r="G16" s="219" t="s">
        <v>1890</v>
      </c>
      <c r="H16" s="220"/>
      <c r="I16" s="123">
        <f>'VORN objektu (01_2)'!I23</f>
        <v>0</v>
      </c>
    </row>
    <row r="17" spans="1:9" ht="15.75">
      <c r="A17" s="124" t="s">
        <v>52</v>
      </c>
      <c r="B17" s="121" t="s">
        <v>37</v>
      </c>
      <c r="C17" s="122">
        <f>SUMIF('Stavební rozpočet'!AI12:AI1282,"01_2",'Stavební rozpočet'!AE12:AE1282)</f>
        <v>0</v>
      </c>
      <c r="D17" s="219" t="s">
        <v>52</v>
      </c>
      <c r="E17" s="220"/>
      <c r="F17" s="123" t="s">
        <v>52</v>
      </c>
      <c r="G17" s="219" t="s">
        <v>1891</v>
      </c>
      <c r="H17" s="220"/>
      <c r="I17" s="123">
        <f>'VORN objektu (01_2)'!I24</f>
        <v>0</v>
      </c>
    </row>
    <row r="18" spans="1:9" ht="15.75">
      <c r="A18" s="120" t="s">
        <v>1892</v>
      </c>
      <c r="B18" s="121" t="s">
        <v>1883</v>
      </c>
      <c r="C18" s="122">
        <f>SUMIF('Stavební rozpočet'!AI12:AI1282,"01_2",'Stavební rozpočet'!AF12:AF1282)</f>
        <v>0</v>
      </c>
      <c r="D18" s="219" t="s">
        <v>52</v>
      </c>
      <c r="E18" s="220"/>
      <c r="F18" s="123" t="s">
        <v>52</v>
      </c>
      <c r="G18" s="219" t="s">
        <v>1893</v>
      </c>
      <c r="H18" s="220"/>
      <c r="I18" s="123">
        <f>'VORN objektu (01_2)'!I25</f>
        <v>0</v>
      </c>
    </row>
    <row r="19" spans="1:9" ht="15.75">
      <c r="A19" s="124" t="s">
        <v>52</v>
      </c>
      <c r="B19" s="121" t="s">
        <v>37</v>
      </c>
      <c r="C19" s="122">
        <f>SUMIF('Stavební rozpočet'!AI12:AI1282,"01_2",'Stavební rozpočet'!AG12:AG1282)</f>
        <v>0</v>
      </c>
      <c r="D19" s="219" t="s">
        <v>52</v>
      </c>
      <c r="E19" s="220"/>
      <c r="F19" s="123" t="s">
        <v>52</v>
      </c>
      <c r="G19" s="219" t="s">
        <v>1894</v>
      </c>
      <c r="H19" s="220"/>
      <c r="I19" s="123">
        <f>'VORN objektu (01_2)'!I26</f>
        <v>0</v>
      </c>
    </row>
    <row r="20" spans="1:9" ht="15.75">
      <c r="A20" s="213" t="s">
        <v>1895</v>
      </c>
      <c r="B20" s="214"/>
      <c r="C20" s="122">
        <f>SUMIF('Stavební rozpočet'!AI12:AI1282,"01_2",'Stavební rozpočet'!AH12:AH1282)</f>
        <v>0</v>
      </c>
      <c r="D20" s="219" t="s">
        <v>52</v>
      </c>
      <c r="E20" s="220"/>
      <c r="F20" s="123" t="s">
        <v>52</v>
      </c>
      <c r="G20" s="219" t="s">
        <v>52</v>
      </c>
      <c r="H20" s="220"/>
      <c r="I20" s="123" t="s">
        <v>52</v>
      </c>
    </row>
    <row r="21" spans="1:9" ht="15.75">
      <c r="A21" s="215" t="s">
        <v>1896</v>
      </c>
      <c r="B21" s="216"/>
      <c r="C21" s="122">
        <f>SUMIF('Stavební rozpočet'!AI12:AI1282,"01_2",'Stavební rozpočet'!Z12:Z1282)</f>
        <v>0</v>
      </c>
      <c r="D21" s="221" t="s">
        <v>52</v>
      </c>
      <c r="E21" s="222"/>
      <c r="F21" s="126" t="s">
        <v>52</v>
      </c>
      <c r="G21" s="221" t="s">
        <v>52</v>
      </c>
      <c r="H21" s="222"/>
      <c r="I21" s="126" t="s">
        <v>52</v>
      </c>
    </row>
    <row r="22" spans="1:9" ht="16.5" customHeight="1">
      <c r="A22" s="217" t="s">
        <v>1897</v>
      </c>
      <c r="B22" s="218"/>
      <c r="C22" s="122">
        <f>SUM(C14:C21)</f>
        <v>0</v>
      </c>
      <c r="D22" s="223" t="s">
        <v>1898</v>
      </c>
      <c r="E22" s="218"/>
      <c r="F22" s="127">
        <f>SUM(F14:F21)</f>
        <v>0</v>
      </c>
      <c r="G22" s="223" t="s">
        <v>1899</v>
      </c>
      <c r="H22" s="218"/>
      <c r="I22" s="127">
        <f>SUM(I14:I21)</f>
        <v>0</v>
      </c>
    </row>
    <row r="23" spans="7:9" ht="15.75">
      <c r="G23" s="213" t="s">
        <v>1902</v>
      </c>
      <c r="H23" s="214"/>
      <c r="I23" s="122">
        <f>'VORN objektu (01_2)'!I36</f>
        <v>0</v>
      </c>
    </row>
    <row r="25" spans="1:3" ht="15.75">
      <c r="A25" s="225" t="s">
        <v>1904</v>
      </c>
      <c r="B25" s="226"/>
      <c r="C25" s="128">
        <f>('Stavební rozpočet'!AS277+'Stavební rozpočet'!AS282+'Stavební rozpočet'!AS287+'Stavební rozpočet'!AS293+'Stavební rozpočet'!AS300+'Stavební rozpočet'!AS303+'Stavební rozpočet'!AS305+'Stavební rozpočet'!AS307+'Stavební rozpočet'!AS309+'Stavební rozpočet'!AS311+'Stavební rozpočet'!AS313)</f>
        <v>0</v>
      </c>
    </row>
    <row r="26" spans="1:9" ht="15.75">
      <c r="A26" s="227" t="s">
        <v>1905</v>
      </c>
      <c r="B26" s="228"/>
      <c r="C26" s="129">
        <f>('Stavební rozpočet'!AT277+'Stavební rozpočet'!AT282+'Stavební rozpočet'!AT287+'Stavební rozpočet'!AT293+'Stavební rozpočet'!AT300+'Stavební rozpočet'!AT303+'Stavební rozpočet'!AT305+'Stavební rozpočet'!AT307+'Stavební rozpočet'!AT309+'Stavební rozpočet'!AT311+'Stavební rozpočet'!AT313)</f>
        <v>0</v>
      </c>
      <c r="D26" s="229" t="s">
        <v>1906</v>
      </c>
      <c r="E26" s="226"/>
      <c r="F26" s="128">
        <f>ROUND(C26*(12/100),2)</f>
        <v>0</v>
      </c>
      <c r="G26" s="229" t="s">
        <v>1907</v>
      </c>
      <c r="H26" s="226"/>
      <c r="I26" s="128">
        <f>SUM(C25:C27)</f>
        <v>0</v>
      </c>
    </row>
    <row r="27" spans="1:9" ht="15.75">
      <c r="A27" s="227" t="s">
        <v>1908</v>
      </c>
      <c r="B27" s="228"/>
      <c r="C27" s="129">
        <f>('Stavební rozpočet'!AU277+'Stavební rozpočet'!AU282+'Stavební rozpočet'!AU287+'Stavební rozpočet'!AU293+'Stavební rozpočet'!AU300+'Stavební rozpočet'!AU303+'Stavební rozpočet'!AU305+'Stavební rozpočet'!AU307+'Stavební rozpočet'!AU309+'Stavební rozpočet'!AU311+'Stavební rozpočet'!AU313)+(F22+I22+F23+I23+I24)</f>
        <v>0</v>
      </c>
      <c r="D27" s="230" t="s">
        <v>1909</v>
      </c>
      <c r="E27" s="228"/>
      <c r="F27" s="129">
        <f>ROUND(C27*(21/100),2)</f>
        <v>0</v>
      </c>
      <c r="G27" s="230" t="s">
        <v>1910</v>
      </c>
      <c r="H27" s="228"/>
      <c r="I27" s="129">
        <f>SUM(F26:F27)+I26</f>
        <v>0</v>
      </c>
    </row>
    <row r="29" spans="1:9" ht="15">
      <c r="A29" s="231" t="s">
        <v>1911</v>
      </c>
      <c r="B29" s="232"/>
      <c r="C29" s="233"/>
      <c r="D29" s="240" t="s">
        <v>1912</v>
      </c>
      <c r="E29" s="232"/>
      <c r="F29" s="233"/>
      <c r="G29" s="240" t="s">
        <v>1913</v>
      </c>
      <c r="H29" s="232"/>
      <c r="I29" s="233"/>
    </row>
    <row r="30" spans="1:9" ht="15">
      <c r="A30" s="234" t="s">
        <v>52</v>
      </c>
      <c r="B30" s="235"/>
      <c r="C30" s="236"/>
      <c r="D30" s="241" t="s">
        <v>52</v>
      </c>
      <c r="E30" s="235"/>
      <c r="F30" s="236"/>
      <c r="G30" s="241" t="s">
        <v>52</v>
      </c>
      <c r="H30" s="235"/>
      <c r="I30" s="236"/>
    </row>
    <row r="31" spans="1:9" ht="15">
      <c r="A31" s="234" t="s">
        <v>52</v>
      </c>
      <c r="B31" s="235"/>
      <c r="C31" s="236"/>
      <c r="D31" s="241" t="s">
        <v>52</v>
      </c>
      <c r="E31" s="235"/>
      <c r="F31" s="236"/>
      <c r="G31" s="241" t="s">
        <v>52</v>
      </c>
      <c r="H31" s="235"/>
      <c r="I31" s="236"/>
    </row>
    <row r="32" spans="1:9" ht="15">
      <c r="A32" s="234" t="s">
        <v>52</v>
      </c>
      <c r="B32" s="235"/>
      <c r="C32" s="236"/>
      <c r="D32" s="241" t="s">
        <v>52</v>
      </c>
      <c r="E32" s="235"/>
      <c r="F32" s="236"/>
      <c r="G32" s="241" t="s">
        <v>52</v>
      </c>
      <c r="H32" s="235"/>
      <c r="I32" s="236"/>
    </row>
    <row r="33" spans="1:9" ht="15">
      <c r="A33" s="237" t="s">
        <v>1914</v>
      </c>
      <c r="B33" s="238"/>
      <c r="C33" s="239"/>
      <c r="D33" s="242" t="s">
        <v>1914</v>
      </c>
      <c r="E33" s="238"/>
      <c r="F33" s="239"/>
      <c r="G33" s="242" t="s">
        <v>1914</v>
      </c>
      <c r="H33" s="238"/>
      <c r="I33" s="239"/>
    </row>
    <row r="34" ht="15">
      <c r="A34" s="130" t="s">
        <v>1868</v>
      </c>
    </row>
    <row r="35" spans="1:9" ht="12.75" customHeight="1">
      <c r="A35" s="148" t="s">
        <v>52</v>
      </c>
      <c r="B35" s="143"/>
      <c r="C35" s="143"/>
      <c r="D35" s="143"/>
      <c r="E35" s="143"/>
      <c r="F35" s="143"/>
      <c r="G35" s="143"/>
      <c r="H35" s="143"/>
      <c r="I35" s="143"/>
    </row>
  </sheetData>
  <mergeCells count="80">
    <mergeCell ref="G32:I32"/>
    <mergeCell ref="G33:I33"/>
    <mergeCell ref="A35:I35"/>
    <mergeCell ref="A32:C32"/>
    <mergeCell ref="A33:C33"/>
    <mergeCell ref="D29:F29"/>
    <mergeCell ref="D30:F30"/>
    <mergeCell ref="D31:F31"/>
    <mergeCell ref="D32:F32"/>
    <mergeCell ref="D33:F33"/>
    <mergeCell ref="G26:H26"/>
    <mergeCell ref="G27:H27"/>
    <mergeCell ref="A29:C29"/>
    <mergeCell ref="A30:C30"/>
    <mergeCell ref="A31:C31"/>
    <mergeCell ref="G29:I29"/>
    <mergeCell ref="G30:I30"/>
    <mergeCell ref="G31:I31"/>
    <mergeCell ref="A25:B25"/>
    <mergeCell ref="A26:B26"/>
    <mergeCell ref="A27:B27"/>
    <mergeCell ref="D26:E26"/>
    <mergeCell ref="D27:E27"/>
    <mergeCell ref="G19:H19"/>
    <mergeCell ref="G20:H20"/>
    <mergeCell ref="G21:H21"/>
    <mergeCell ref="G22:H22"/>
    <mergeCell ref="G23:H23"/>
    <mergeCell ref="G14:H14"/>
    <mergeCell ref="G15:H15"/>
    <mergeCell ref="G16:H16"/>
    <mergeCell ref="G17:H17"/>
    <mergeCell ref="G18:H18"/>
    <mergeCell ref="A20:B20"/>
    <mergeCell ref="A21:B21"/>
    <mergeCell ref="A22:B22"/>
    <mergeCell ref="D14:E14"/>
    <mergeCell ref="D15:E15"/>
    <mergeCell ref="D16:E16"/>
    <mergeCell ref="D17:E17"/>
    <mergeCell ref="D18:E18"/>
    <mergeCell ref="D19:E19"/>
    <mergeCell ref="D20:E20"/>
    <mergeCell ref="D21:E21"/>
    <mergeCell ref="D22:E22"/>
    <mergeCell ref="I10:I11"/>
    <mergeCell ref="A12:I12"/>
    <mergeCell ref="B13:C13"/>
    <mergeCell ref="E13:F13"/>
    <mergeCell ref="H13:I13"/>
    <mergeCell ref="F10:G11"/>
    <mergeCell ref="H2:H3"/>
    <mergeCell ref="H4:H5"/>
    <mergeCell ref="H6:H7"/>
    <mergeCell ref="H8:H9"/>
    <mergeCell ref="H10:H11"/>
    <mergeCell ref="A10:B11"/>
    <mergeCell ref="E2:E3"/>
    <mergeCell ref="E4:E5"/>
    <mergeCell ref="E6:E7"/>
    <mergeCell ref="E8:E9"/>
    <mergeCell ref="E10:E11"/>
    <mergeCell ref="C2:D3"/>
    <mergeCell ref="C4:D5"/>
    <mergeCell ref="C6:D7"/>
    <mergeCell ref="C8:D9"/>
    <mergeCell ref="C10:D11"/>
    <mergeCell ref="A1:I1"/>
    <mergeCell ref="A2:B3"/>
    <mergeCell ref="A4:B5"/>
    <mergeCell ref="A6:B7"/>
    <mergeCell ref="A8:B9"/>
    <mergeCell ref="F2:G3"/>
    <mergeCell ref="F4:G5"/>
    <mergeCell ref="F6:G7"/>
    <mergeCell ref="F8:G9"/>
    <mergeCell ref="I2:I3"/>
    <mergeCell ref="I4:I5"/>
    <mergeCell ref="I6:I7"/>
    <mergeCell ref="I8:I9"/>
  </mergeCells>
  <printOptions/>
  <pageMargins left="0.393999993801117" right="0.393999993801117" top="0.591000020503998" bottom="0.591000020503998" header="0" footer="0"/>
  <pageSetup fitToHeight="1" fitToWidth="1" horizontalDpi="600" verticalDpi="60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36"/>
  <sheetViews>
    <sheetView workbookViewId="0" topLeftCell="A1">
      <selection activeCell="A36" sqref="A36:E36"/>
    </sheetView>
  </sheetViews>
  <sheetFormatPr defaultColWidth="12.140625" defaultRowHeight="15" customHeight="1"/>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7.140625" style="0" customWidth="1"/>
    <col min="9" max="9" width="22.8515625" style="0" customWidth="1"/>
  </cols>
  <sheetData>
    <row r="1" spans="1:9" ht="54.75" customHeight="1">
      <c r="A1" s="205" t="s">
        <v>1929</v>
      </c>
      <c r="B1" s="139"/>
      <c r="C1" s="139"/>
      <c r="D1" s="139"/>
      <c r="E1" s="139"/>
      <c r="F1" s="139"/>
      <c r="G1" s="139"/>
      <c r="H1" s="139"/>
      <c r="I1" s="139"/>
    </row>
    <row r="2" spans="1:9" ht="15">
      <c r="A2" s="140" t="s">
        <v>1</v>
      </c>
      <c r="B2" s="141"/>
      <c r="C2" s="149" t="str">
        <f>'Stavební rozpočet'!D2</f>
        <v>Vybudování a rekonstrukce odborných učeben v ZŠ TGM</v>
      </c>
      <c r="D2" s="150"/>
      <c r="E2" s="147" t="s">
        <v>5</v>
      </c>
      <c r="F2" s="147" t="str">
        <f>'Stavební rozpočet'!J2</f>
        <v>Město ivančice</v>
      </c>
      <c r="G2" s="141"/>
      <c r="H2" s="147" t="s">
        <v>1870</v>
      </c>
      <c r="I2" s="152" t="s">
        <v>1871</v>
      </c>
    </row>
    <row r="3" spans="1:9" ht="15" customHeight="1">
      <c r="A3" s="142"/>
      <c r="B3" s="143"/>
      <c r="C3" s="151"/>
      <c r="D3" s="151"/>
      <c r="E3" s="143"/>
      <c r="F3" s="143"/>
      <c r="G3" s="143"/>
      <c r="H3" s="143"/>
      <c r="I3" s="153"/>
    </row>
    <row r="4" spans="1:9" ht="15">
      <c r="A4" s="144" t="s">
        <v>7</v>
      </c>
      <c r="B4" s="143"/>
      <c r="C4" s="148" t="str">
        <f>'Stavební rozpočet'!D4</f>
        <v>Stavební úpravy</v>
      </c>
      <c r="D4" s="143"/>
      <c r="E4" s="148" t="s">
        <v>11</v>
      </c>
      <c r="F4" s="148" t="str">
        <f>'Stavební rozpočet'!J4</f>
        <v>Tomáš Sýkora</v>
      </c>
      <c r="G4" s="143"/>
      <c r="H4" s="148" t="s">
        <v>1870</v>
      </c>
      <c r="I4" s="153" t="s">
        <v>1872</v>
      </c>
    </row>
    <row r="5" spans="1:9" ht="15" customHeight="1">
      <c r="A5" s="142"/>
      <c r="B5" s="143"/>
      <c r="C5" s="143"/>
      <c r="D5" s="143"/>
      <c r="E5" s="143"/>
      <c r="F5" s="143"/>
      <c r="G5" s="143"/>
      <c r="H5" s="143"/>
      <c r="I5" s="153"/>
    </row>
    <row r="6" spans="1:9" ht="15">
      <c r="A6" s="144" t="s">
        <v>13</v>
      </c>
      <c r="B6" s="143"/>
      <c r="C6" s="148" t="str">
        <f>'Stavební rozpočet'!D6</f>
        <v>ZŠ TGM Ivančice; Na Brněnce 1, 664 91 Ivančice</v>
      </c>
      <c r="D6" s="143"/>
      <c r="E6" s="148" t="s">
        <v>16</v>
      </c>
      <c r="F6" s="148" t="str">
        <f>'Stavební rozpočet'!J6</f>
        <v> </v>
      </c>
      <c r="G6" s="143"/>
      <c r="H6" s="148" t="s">
        <v>1870</v>
      </c>
      <c r="I6" s="153" t="s">
        <v>52</v>
      </c>
    </row>
    <row r="7" spans="1:9" ht="15" customHeight="1">
      <c r="A7" s="142"/>
      <c r="B7" s="143"/>
      <c r="C7" s="143"/>
      <c r="D7" s="143"/>
      <c r="E7" s="143"/>
      <c r="F7" s="143"/>
      <c r="G7" s="143"/>
      <c r="H7" s="143"/>
      <c r="I7" s="153"/>
    </row>
    <row r="8" spans="1:9" ht="15">
      <c r="A8" s="144" t="s">
        <v>9</v>
      </c>
      <c r="B8" s="143"/>
      <c r="C8" s="148" t="str">
        <f>'Stavební rozpočet'!H4</f>
        <v>22.09.2023</v>
      </c>
      <c r="D8" s="143"/>
      <c r="E8" s="148" t="s">
        <v>15</v>
      </c>
      <c r="F8" s="148" t="str">
        <f>'Stavební rozpočet'!H6</f>
        <v xml:space="preserve"> </v>
      </c>
      <c r="G8" s="143"/>
      <c r="H8" s="143" t="s">
        <v>1873</v>
      </c>
      <c r="I8" s="207">
        <v>31</v>
      </c>
    </row>
    <row r="9" spans="1:9" ht="15">
      <c r="A9" s="142"/>
      <c r="B9" s="143"/>
      <c r="C9" s="143"/>
      <c r="D9" s="143"/>
      <c r="E9" s="143"/>
      <c r="F9" s="143"/>
      <c r="G9" s="143"/>
      <c r="H9" s="143"/>
      <c r="I9" s="153"/>
    </row>
    <row r="10" spans="1:9" ht="15">
      <c r="A10" s="144" t="s">
        <v>18</v>
      </c>
      <c r="B10" s="143"/>
      <c r="C10" s="148" t="str">
        <f>'Stavební rozpočet'!D8</f>
        <v>8013212</v>
      </c>
      <c r="D10" s="143"/>
      <c r="E10" s="148" t="s">
        <v>21</v>
      </c>
      <c r="F10" s="148" t="str">
        <f>'Stavební rozpočet'!J8</f>
        <v>Tomáš Sýkora</v>
      </c>
      <c r="G10" s="143"/>
      <c r="H10" s="143" t="s">
        <v>1874</v>
      </c>
      <c r="I10" s="208" t="str">
        <f>'Stavební rozpočet'!H8</f>
        <v>22.09.2023</v>
      </c>
    </row>
    <row r="11" spans="1:9" ht="15">
      <c r="A11" s="206"/>
      <c r="B11" s="203"/>
      <c r="C11" s="203"/>
      <c r="D11" s="203"/>
      <c r="E11" s="203"/>
      <c r="F11" s="203"/>
      <c r="G11" s="203"/>
      <c r="H11" s="203"/>
      <c r="I11" s="209"/>
    </row>
    <row r="13" spans="1:5" ht="15.75">
      <c r="A13" s="243" t="s">
        <v>1916</v>
      </c>
      <c r="B13" s="243"/>
      <c r="C13" s="243"/>
      <c r="D13" s="243"/>
      <c r="E13" s="243"/>
    </row>
    <row r="14" spans="1:9" ht="15">
      <c r="A14" s="244" t="s">
        <v>1917</v>
      </c>
      <c r="B14" s="245"/>
      <c r="C14" s="245"/>
      <c r="D14" s="245"/>
      <c r="E14" s="246"/>
      <c r="F14" s="131" t="s">
        <v>1918</v>
      </c>
      <c r="G14" s="131" t="s">
        <v>951</v>
      </c>
      <c r="H14" s="131" t="s">
        <v>1919</v>
      </c>
      <c r="I14" s="131" t="s">
        <v>1918</v>
      </c>
    </row>
    <row r="15" spans="1:9" ht="15">
      <c r="A15" s="247" t="s">
        <v>1884</v>
      </c>
      <c r="B15" s="248"/>
      <c r="C15" s="248"/>
      <c r="D15" s="248"/>
      <c r="E15" s="249"/>
      <c r="F15" s="132">
        <v>0</v>
      </c>
      <c r="G15" s="133" t="s">
        <v>52</v>
      </c>
      <c r="H15" s="133" t="s">
        <v>52</v>
      </c>
      <c r="I15" s="132">
        <f>F15</f>
        <v>0</v>
      </c>
    </row>
    <row r="16" spans="1:9" ht="15">
      <c r="A16" s="247" t="s">
        <v>1886</v>
      </c>
      <c r="B16" s="248"/>
      <c r="C16" s="248"/>
      <c r="D16" s="248"/>
      <c r="E16" s="249"/>
      <c r="F16" s="132">
        <v>0</v>
      </c>
      <c r="G16" s="133" t="s">
        <v>52</v>
      </c>
      <c r="H16" s="133" t="s">
        <v>52</v>
      </c>
      <c r="I16" s="132">
        <f>F16</f>
        <v>0</v>
      </c>
    </row>
    <row r="17" spans="1:9" ht="15">
      <c r="A17" s="250" t="s">
        <v>1889</v>
      </c>
      <c r="B17" s="251"/>
      <c r="C17" s="251"/>
      <c r="D17" s="251"/>
      <c r="E17" s="252"/>
      <c r="F17" s="134">
        <v>0</v>
      </c>
      <c r="G17" s="135" t="s">
        <v>52</v>
      </c>
      <c r="H17" s="135" t="s">
        <v>52</v>
      </c>
      <c r="I17" s="134">
        <f>F17</f>
        <v>0</v>
      </c>
    </row>
    <row r="18" spans="1:9" ht="15">
      <c r="A18" s="253" t="s">
        <v>1920</v>
      </c>
      <c r="B18" s="254"/>
      <c r="C18" s="254"/>
      <c r="D18" s="254"/>
      <c r="E18" s="255"/>
      <c r="F18" s="136" t="s">
        <v>52</v>
      </c>
      <c r="G18" s="137" t="s">
        <v>52</v>
      </c>
      <c r="H18" s="137" t="s">
        <v>52</v>
      </c>
      <c r="I18" s="138">
        <f>SUM(I15:I17)</f>
        <v>0</v>
      </c>
    </row>
    <row r="20" spans="1:9" ht="15">
      <c r="A20" s="244" t="s">
        <v>1881</v>
      </c>
      <c r="B20" s="245"/>
      <c r="C20" s="245"/>
      <c r="D20" s="245"/>
      <c r="E20" s="246"/>
      <c r="F20" s="131" t="s">
        <v>1918</v>
      </c>
      <c r="G20" s="131" t="s">
        <v>951</v>
      </c>
      <c r="H20" s="131" t="s">
        <v>1919</v>
      </c>
      <c r="I20" s="131" t="s">
        <v>1918</v>
      </c>
    </row>
    <row r="21" spans="1:9" ht="15">
      <c r="A21" s="247" t="s">
        <v>1885</v>
      </c>
      <c r="B21" s="248"/>
      <c r="C21" s="248"/>
      <c r="D21" s="248"/>
      <c r="E21" s="249"/>
      <c r="F21" s="132">
        <v>0</v>
      </c>
      <c r="G21" s="133" t="s">
        <v>52</v>
      </c>
      <c r="H21" s="133" t="s">
        <v>52</v>
      </c>
      <c r="I21" s="132">
        <f aca="true" t="shared" si="0" ref="I21:I26">F21</f>
        <v>0</v>
      </c>
    </row>
    <row r="22" spans="1:9" ht="15">
      <c r="A22" s="247" t="s">
        <v>1887</v>
      </c>
      <c r="B22" s="248"/>
      <c r="C22" s="248"/>
      <c r="D22" s="248"/>
      <c r="E22" s="249"/>
      <c r="F22" s="132">
        <v>0</v>
      </c>
      <c r="G22" s="133" t="s">
        <v>52</v>
      </c>
      <c r="H22" s="133" t="s">
        <v>52</v>
      </c>
      <c r="I22" s="132">
        <f t="shared" si="0"/>
        <v>0</v>
      </c>
    </row>
    <row r="23" spans="1:9" ht="15">
      <c r="A23" s="247" t="s">
        <v>1890</v>
      </c>
      <c r="B23" s="248"/>
      <c r="C23" s="248"/>
      <c r="D23" s="248"/>
      <c r="E23" s="249"/>
      <c r="F23" s="132">
        <v>0</v>
      </c>
      <c r="G23" s="133" t="s">
        <v>52</v>
      </c>
      <c r="H23" s="133" t="s">
        <v>52</v>
      </c>
      <c r="I23" s="132">
        <f t="shared" si="0"/>
        <v>0</v>
      </c>
    </row>
    <row r="24" spans="1:9" ht="15">
      <c r="A24" s="247" t="s">
        <v>1891</v>
      </c>
      <c r="B24" s="248"/>
      <c r="C24" s="248"/>
      <c r="D24" s="248"/>
      <c r="E24" s="249"/>
      <c r="F24" s="132">
        <v>0</v>
      </c>
      <c r="G24" s="133" t="s">
        <v>52</v>
      </c>
      <c r="H24" s="133" t="s">
        <v>52</v>
      </c>
      <c r="I24" s="132">
        <f t="shared" si="0"/>
        <v>0</v>
      </c>
    </row>
    <row r="25" spans="1:9" ht="15">
      <c r="A25" s="247" t="s">
        <v>1893</v>
      </c>
      <c r="B25" s="248"/>
      <c r="C25" s="248"/>
      <c r="D25" s="248"/>
      <c r="E25" s="249"/>
      <c r="F25" s="132">
        <v>0</v>
      </c>
      <c r="G25" s="133" t="s">
        <v>52</v>
      </c>
      <c r="H25" s="133" t="s">
        <v>52</v>
      </c>
      <c r="I25" s="132">
        <f t="shared" si="0"/>
        <v>0</v>
      </c>
    </row>
    <row r="26" spans="1:9" ht="15">
      <c r="A26" s="250" t="s">
        <v>1894</v>
      </c>
      <c r="B26" s="251"/>
      <c r="C26" s="251"/>
      <c r="D26" s="251"/>
      <c r="E26" s="252"/>
      <c r="F26" s="134">
        <v>0</v>
      </c>
      <c r="G26" s="135" t="s">
        <v>52</v>
      </c>
      <c r="H26" s="135" t="s">
        <v>52</v>
      </c>
      <c r="I26" s="134">
        <f t="shared" si="0"/>
        <v>0</v>
      </c>
    </row>
    <row r="27" spans="1:9" ht="15">
      <c r="A27" s="253" t="s">
        <v>1921</v>
      </c>
      <c r="B27" s="254"/>
      <c r="C27" s="254"/>
      <c r="D27" s="254"/>
      <c r="E27" s="255"/>
      <c r="F27" s="136" t="s">
        <v>52</v>
      </c>
      <c r="G27" s="137" t="s">
        <v>52</v>
      </c>
      <c r="H27" s="137" t="s">
        <v>52</v>
      </c>
      <c r="I27" s="138">
        <f>SUM(I21:I26)</f>
        <v>0</v>
      </c>
    </row>
    <row r="29" spans="1:9" ht="15.75">
      <c r="A29" s="256" t="s">
        <v>1922</v>
      </c>
      <c r="B29" s="257"/>
      <c r="C29" s="257"/>
      <c r="D29" s="257"/>
      <c r="E29" s="258"/>
      <c r="F29" s="259">
        <f>I18+I27</f>
        <v>0</v>
      </c>
      <c r="G29" s="260"/>
      <c r="H29" s="260"/>
      <c r="I29" s="261"/>
    </row>
    <row r="33" spans="1:5" ht="15.75">
      <c r="A33" s="243" t="s">
        <v>1923</v>
      </c>
      <c r="B33" s="243"/>
      <c r="C33" s="243"/>
      <c r="D33" s="243"/>
      <c r="E33" s="243"/>
    </row>
    <row r="34" spans="1:9" ht="15">
      <c r="A34" s="244" t="s">
        <v>1924</v>
      </c>
      <c r="B34" s="245"/>
      <c r="C34" s="245"/>
      <c r="D34" s="245"/>
      <c r="E34" s="246"/>
      <c r="F34" s="131" t="s">
        <v>1918</v>
      </c>
      <c r="G34" s="131" t="s">
        <v>951</v>
      </c>
      <c r="H34" s="131" t="s">
        <v>1919</v>
      </c>
      <c r="I34" s="131" t="s">
        <v>1918</v>
      </c>
    </row>
    <row r="35" spans="1:9" ht="15">
      <c r="A35" s="250" t="s">
        <v>52</v>
      </c>
      <c r="B35" s="251"/>
      <c r="C35" s="251"/>
      <c r="D35" s="251"/>
      <c r="E35" s="252"/>
      <c r="F35" s="134">
        <v>0</v>
      </c>
      <c r="G35" s="135" t="s">
        <v>52</v>
      </c>
      <c r="H35" s="135" t="s">
        <v>52</v>
      </c>
      <c r="I35" s="134">
        <f>F35</f>
        <v>0</v>
      </c>
    </row>
    <row r="36" spans="1:9" ht="15">
      <c r="A36" s="253" t="s">
        <v>1925</v>
      </c>
      <c r="B36" s="254"/>
      <c r="C36" s="254"/>
      <c r="D36" s="254"/>
      <c r="E36" s="255"/>
      <c r="F36" s="136" t="s">
        <v>52</v>
      </c>
      <c r="G36" s="137" t="s">
        <v>52</v>
      </c>
      <c r="H36" s="137" t="s">
        <v>52</v>
      </c>
      <c r="I36" s="138">
        <f>SUM(I35:I35)</f>
        <v>0</v>
      </c>
    </row>
  </sheetData>
  <mergeCells count="51">
    <mergeCell ref="A36:E36"/>
    <mergeCell ref="A29:E29"/>
    <mergeCell ref="F29:I29"/>
    <mergeCell ref="A33:E33"/>
    <mergeCell ref="A34:E34"/>
    <mergeCell ref="A35:E35"/>
    <mergeCell ref="A23:E23"/>
    <mergeCell ref="A24:E24"/>
    <mergeCell ref="A25:E25"/>
    <mergeCell ref="A26:E26"/>
    <mergeCell ref="A27:E27"/>
    <mergeCell ref="A17:E17"/>
    <mergeCell ref="A18:E18"/>
    <mergeCell ref="A20:E20"/>
    <mergeCell ref="A21:E21"/>
    <mergeCell ref="A22:E22"/>
    <mergeCell ref="I10:I11"/>
    <mergeCell ref="A13:E13"/>
    <mergeCell ref="A14:E14"/>
    <mergeCell ref="A15:E15"/>
    <mergeCell ref="A16:E16"/>
    <mergeCell ref="H10:H11"/>
    <mergeCell ref="C2:D3"/>
    <mergeCell ref="C4:D5"/>
    <mergeCell ref="C6:D7"/>
    <mergeCell ref="C8:D9"/>
    <mergeCell ref="C10:D11"/>
    <mergeCell ref="F2:G3"/>
    <mergeCell ref="F4:G5"/>
    <mergeCell ref="F6:G7"/>
    <mergeCell ref="F8:G9"/>
    <mergeCell ref="F10:G11"/>
    <mergeCell ref="A10:B11"/>
    <mergeCell ref="E2:E3"/>
    <mergeCell ref="E4:E5"/>
    <mergeCell ref="E6:E7"/>
    <mergeCell ref="E8:E9"/>
    <mergeCell ref="E10:E11"/>
    <mergeCell ref="A1:I1"/>
    <mergeCell ref="A2:B3"/>
    <mergeCell ref="A4:B5"/>
    <mergeCell ref="A6:B7"/>
    <mergeCell ref="A8:B9"/>
    <mergeCell ref="H2:H3"/>
    <mergeCell ref="H4:H5"/>
    <mergeCell ref="H6:H7"/>
    <mergeCell ref="H8:H9"/>
    <mergeCell ref="I2:I3"/>
    <mergeCell ref="I4:I5"/>
    <mergeCell ref="I6:I7"/>
    <mergeCell ref="I8:I9"/>
  </mergeCells>
  <printOptions/>
  <pageMargins left="0.393999993801117" right="0.393999993801117" top="0.591000020503998" bottom="0.591000020503998" header="0" footer="0"/>
  <pageSetup fitToHeight="0" fitToWidth="1" horizontalDpi="600" verticalDpi="600"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35"/>
  <sheetViews>
    <sheetView workbookViewId="0" topLeftCell="A1">
      <selection activeCell="A35" sqref="A35:I35"/>
    </sheetView>
  </sheetViews>
  <sheetFormatPr defaultColWidth="12.140625" defaultRowHeight="15" customHeight="1"/>
  <cols>
    <col min="1" max="1" width="9.140625" style="0" customWidth="1"/>
    <col min="2" max="2" width="12.8515625" style="0" customWidth="1"/>
    <col min="3" max="3" width="27.140625" style="0" customWidth="1"/>
    <col min="4" max="4" width="10.00390625" style="0" customWidth="1"/>
    <col min="5" max="5" width="14.00390625" style="0" customWidth="1"/>
    <col min="6" max="6" width="27.140625" style="0" customWidth="1"/>
    <col min="7" max="7" width="9.140625" style="0" customWidth="1"/>
    <col min="8" max="8" width="12.8515625" style="0" customWidth="1"/>
    <col min="9" max="9" width="27.140625" style="0" customWidth="1"/>
  </cols>
  <sheetData>
    <row r="1" spans="1:9" ht="54.75" customHeight="1">
      <c r="A1" s="205" t="s">
        <v>1930</v>
      </c>
      <c r="B1" s="139"/>
      <c r="C1" s="139"/>
      <c r="D1" s="139"/>
      <c r="E1" s="139"/>
      <c r="F1" s="139"/>
      <c r="G1" s="139"/>
      <c r="H1" s="139"/>
      <c r="I1" s="139"/>
    </row>
    <row r="2" spans="1:9" ht="15">
      <c r="A2" s="140" t="s">
        <v>1</v>
      </c>
      <c r="B2" s="141"/>
      <c r="C2" s="149" t="str">
        <f>'Stavební rozpočet'!D2</f>
        <v>Vybudování a rekonstrukce odborných učeben v ZŠ TGM</v>
      </c>
      <c r="D2" s="150"/>
      <c r="E2" s="147" t="s">
        <v>5</v>
      </c>
      <c r="F2" s="147" t="str">
        <f>'Stavební rozpočet'!J2</f>
        <v>Město ivančice</v>
      </c>
      <c r="G2" s="141"/>
      <c r="H2" s="147" t="s">
        <v>1870</v>
      </c>
      <c r="I2" s="152" t="s">
        <v>1871</v>
      </c>
    </row>
    <row r="3" spans="1:9" ht="15" customHeight="1">
      <c r="A3" s="142"/>
      <c r="B3" s="143"/>
      <c r="C3" s="151"/>
      <c r="D3" s="151"/>
      <c r="E3" s="143"/>
      <c r="F3" s="143"/>
      <c r="G3" s="143"/>
      <c r="H3" s="143"/>
      <c r="I3" s="153"/>
    </row>
    <row r="4" spans="1:9" ht="15">
      <c r="A4" s="144" t="s">
        <v>7</v>
      </c>
      <c r="B4" s="143"/>
      <c r="C4" s="148" t="str">
        <f>'Stavební rozpočet'!D4</f>
        <v>Stavební úpravy</v>
      </c>
      <c r="D4" s="143"/>
      <c r="E4" s="148" t="s">
        <v>11</v>
      </c>
      <c r="F4" s="148" t="str">
        <f>'Stavební rozpočet'!J4</f>
        <v>Tomáš Sýkora</v>
      </c>
      <c r="G4" s="143"/>
      <c r="H4" s="148" t="s">
        <v>1870</v>
      </c>
      <c r="I4" s="153" t="s">
        <v>1872</v>
      </c>
    </row>
    <row r="5" spans="1:9" ht="15" customHeight="1">
      <c r="A5" s="142"/>
      <c r="B5" s="143"/>
      <c r="C5" s="143"/>
      <c r="D5" s="143"/>
      <c r="E5" s="143"/>
      <c r="F5" s="143"/>
      <c r="G5" s="143"/>
      <c r="H5" s="143"/>
      <c r="I5" s="153"/>
    </row>
    <row r="6" spans="1:9" ht="15">
      <c r="A6" s="144" t="s">
        <v>13</v>
      </c>
      <c r="B6" s="143"/>
      <c r="C6" s="148" t="str">
        <f>'Stavební rozpočet'!D6</f>
        <v>ZŠ TGM Ivančice; Na Brněnce 1, 664 91 Ivančice</v>
      </c>
      <c r="D6" s="143"/>
      <c r="E6" s="148" t="s">
        <v>16</v>
      </c>
      <c r="F6" s="148" t="str">
        <f>'Stavební rozpočet'!J6</f>
        <v> </v>
      </c>
      <c r="G6" s="143"/>
      <c r="H6" s="148" t="s">
        <v>1870</v>
      </c>
      <c r="I6" s="153" t="s">
        <v>52</v>
      </c>
    </row>
    <row r="7" spans="1:9" ht="15" customHeight="1">
      <c r="A7" s="142"/>
      <c r="B7" s="143"/>
      <c r="C7" s="143"/>
      <c r="D7" s="143"/>
      <c r="E7" s="143"/>
      <c r="F7" s="143"/>
      <c r="G7" s="143"/>
      <c r="H7" s="143"/>
      <c r="I7" s="153"/>
    </row>
    <row r="8" spans="1:9" ht="15">
      <c r="A8" s="144" t="s">
        <v>9</v>
      </c>
      <c r="B8" s="143"/>
      <c r="C8" s="148" t="str">
        <f>'Stavební rozpočet'!H4</f>
        <v>22.09.2023</v>
      </c>
      <c r="D8" s="143"/>
      <c r="E8" s="148" t="s">
        <v>15</v>
      </c>
      <c r="F8" s="148" t="str">
        <f>'Stavební rozpočet'!H6</f>
        <v xml:space="preserve"> </v>
      </c>
      <c r="G8" s="143"/>
      <c r="H8" s="143" t="s">
        <v>1873</v>
      </c>
      <c r="I8" s="207">
        <v>79</v>
      </c>
    </row>
    <row r="9" spans="1:9" ht="15">
      <c r="A9" s="142"/>
      <c r="B9" s="143"/>
      <c r="C9" s="143"/>
      <c r="D9" s="143"/>
      <c r="E9" s="143"/>
      <c r="F9" s="143"/>
      <c r="G9" s="143"/>
      <c r="H9" s="143"/>
      <c r="I9" s="153"/>
    </row>
    <row r="10" spans="1:9" ht="15">
      <c r="A10" s="144" t="s">
        <v>18</v>
      </c>
      <c r="B10" s="143"/>
      <c r="C10" s="148" t="str">
        <f>'Stavební rozpočet'!D8</f>
        <v>8013212</v>
      </c>
      <c r="D10" s="143"/>
      <c r="E10" s="148" t="s">
        <v>21</v>
      </c>
      <c r="F10" s="148" t="str">
        <f>'Stavební rozpočet'!J8</f>
        <v>Tomáš Sýkora</v>
      </c>
      <c r="G10" s="143"/>
      <c r="H10" s="143" t="s">
        <v>1874</v>
      </c>
      <c r="I10" s="208" t="str">
        <f>'Stavební rozpočet'!H8</f>
        <v>22.09.2023</v>
      </c>
    </row>
    <row r="11" spans="1:9" ht="15">
      <c r="A11" s="206"/>
      <c r="B11" s="203"/>
      <c r="C11" s="203"/>
      <c r="D11" s="203"/>
      <c r="E11" s="203"/>
      <c r="F11" s="203"/>
      <c r="G11" s="203"/>
      <c r="H11" s="203"/>
      <c r="I11" s="209"/>
    </row>
    <row r="12" spans="1:9" ht="23.25">
      <c r="A12" s="210" t="s">
        <v>1875</v>
      </c>
      <c r="B12" s="210"/>
      <c r="C12" s="210"/>
      <c r="D12" s="210"/>
      <c r="E12" s="210"/>
      <c r="F12" s="210"/>
      <c r="G12" s="210"/>
      <c r="H12" s="210"/>
      <c r="I12" s="210"/>
    </row>
    <row r="13" spans="1:9" ht="26.25" customHeight="1">
      <c r="A13" s="118" t="s">
        <v>1876</v>
      </c>
      <c r="B13" s="211" t="s">
        <v>1877</v>
      </c>
      <c r="C13" s="212"/>
      <c r="D13" s="119" t="s">
        <v>1878</v>
      </c>
      <c r="E13" s="211" t="s">
        <v>1879</v>
      </c>
      <c r="F13" s="212"/>
      <c r="G13" s="119" t="s">
        <v>1880</v>
      </c>
      <c r="H13" s="211" t="s">
        <v>1881</v>
      </c>
      <c r="I13" s="212"/>
    </row>
    <row r="14" spans="1:9" ht="15.75">
      <c r="A14" s="120" t="s">
        <v>1882</v>
      </c>
      <c r="B14" s="121" t="s">
        <v>1883</v>
      </c>
      <c r="C14" s="122">
        <f>SUMIF('Stavební rozpočet'!AI12:AI1282,"01_3",'Stavební rozpočet'!AB12:AB1282)</f>
        <v>0</v>
      </c>
      <c r="D14" s="219" t="s">
        <v>1884</v>
      </c>
      <c r="E14" s="220"/>
      <c r="F14" s="122">
        <f>'VORN objektu (01_3)'!I15</f>
        <v>0</v>
      </c>
      <c r="G14" s="219" t="s">
        <v>1885</v>
      </c>
      <c r="H14" s="220"/>
      <c r="I14" s="123">
        <f>'VORN objektu (01_3)'!I21</f>
        <v>0</v>
      </c>
    </row>
    <row r="15" spans="1:9" ht="15.75">
      <c r="A15" s="124" t="s">
        <v>52</v>
      </c>
      <c r="B15" s="121" t="s">
        <v>37</v>
      </c>
      <c r="C15" s="122">
        <f>SUMIF('Stavební rozpočet'!AI12:AI1282,"01_3",'Stavební rozpočet'!AC12:AC1282)</f>
        <v>0</v>
      </c>
      <c r="D15" s="219" t="s">
        <v>1886</v>
      </c>
      <c r="E15" s="220"/>
      <c r="F15" s="122">
        <f>'VORN objektu (01_3)'!I16</f>
        <v>0</v>
      </c>
      <c r="G15" s="219" t="s">
        <v>1887</v>
      </c>
      <c r="H15" s="220"/>
      <c r="I15" s="123">
        <f>'VORN objektu (01_3)'!I22</f>
        <v>0</v>
      </c>
    </row>
    <row r="16" spans="1:9" ht="15.75">
      <c r="A16" s="120" t="s">
        <v>1888</v>
      </c>
      <c r="B16" s="121" t="s">
        <v>1883</v>
      </c>
      <c r="C16" s="122">
        <f>SUMIF('Stavební rozpočet'!AI12:AI1282,"01_3",'Stavební rozpočet'!AD12:AD1282)</f>
        <v>0</v>
      </c>
      <c r="D16" s="219" t="s">
        <v>1889</v>
      </c>
      <c r="E16" s="220"/>
      <c r="F16" s="122">
        <f>'VORN objektu (01_3)'!I17</f>
        <v>0</v>
      </c>
      <c r="G16" s="219" t="s">
        <v>1890</v>
      </c>
      <c r="H16" s="220"/>
      <c r="I16" s="123">
        <f>'VORN objektu (01_3)'!I23</f>
        <v>0</v>
      </c>
    </row>
    <row r="17" spans="1:9" ht="15.75">
      <c r="A17" s="124" t="s">
        <v>52</v>
      </c>
      <c r="B17" s="121" t="s">
        <v>37</v>
      </c>
      <c r="C17" s="122">
        <f>SUMIF('Stavební rozpočet'!AI12:AI1282,"01_3",'Stavební rozpočet'!AE12:AE1282)</f>
        <v>0</v>
      </c>
      <c r="D17" s="219" t="s">
        <v>52</v>
      </c>
      <c r="E17" s="220"/>
      <c r="F17" s="123" t="s">
        <v>52</v>
      </c>
      <c r="G17" s="219" t="s">
        <v>1891</v>
      </c>
      <c r="H17" s="220"/>
      <c r="I17" s="123">
        <f>'VORN objektu (01_3)'!I24</f>
        <v>0</v>
      </c>
    </row>
    <row r="18" spans="1:9" ht="15.75">
      <c r="A18" s="120" t="s">
        <v>1892</v>
      </c>
      <c r="B18" s="121" t="s">
        <v>1883</v>
      </c>
      <c r="C18" s="122">
        <f>SUMIF('Stavební rozpočet'!AI12:AI1282,"01_3",'Stavební rozpočet'!AF12:AF1282)</f>
        <v>0</v>
      </c>
      <c r="D18" s="219" t="s">
        <v>52</v>
      </c>
      <c r="E18" s="220"/>
      <c r="F18" s="123" t="s">
        <v>52</v>
      </c>
      <c r="G18" s="219" t="s">
        <v>1893</v>
      </c>
      <c r="H18" s="220"/>
      <c r="I18" s="123">
        <f>'VORN objektu (01_3)'!I25</f>
        <v>0</v>
      </c>
    </row>
    <row r="19" spans="1:9" ht="15.75">
      <c r="A19" s="124" t="s">
        <v>52</v>
      </c>
      <c r="B19" s="121" t="s">
        <v>37</v>
      </c>
      <c r="C19" s="122">
        <f>SUMIF('Stavební rozpočet'!AI12:AI1282,"01_3",'Stavební rozpočet'!AG12:AG1282)</f>
        <v>0</v>
      </c>
      <c r="D19" s="219" t="s">
        <v>52</v>
      </c>
      <c r="E19" s="220"/>
      <c r="F19" s="123" t="s">
        <v>52</v>
      </c>
      <c r="G19" s="219" t="s">
        <v>1894</v>
      </c>
      <c r="H19" s="220"/>
      <c r="I19" s="123">
        <f>'VORN objektu (01_3)'!I26</f>
        <v>0</v>
      </c>
    </row>
    <row r="20" spans="1:9" ht="15.75">
      <c r="A20" s="213" t="s">
        <v>1895</v>
      </c>
      <c r="B20" s="214"/>
      <c r="C20" s="122">
        <f>SUMIF('Stavební rozpočet'!AI12:AI1282,"01_3",'Stavební rozpočet'!AH12:AH1282)</f>
        <v>0</v>
      </c>
      <c r="D20" s="219" t="s">
        <v>52</v>
      </c>
      <c r="E20" s="220"/>
      <c r="F20" s="123" t="s">
        <v>52</v>
      </c>
      <c r="G20" s="219" t="s">
        <v>52</v>
      </c>
      <c r="H20" s="220"/>
      <c r="I20" s="123" t="s">
        <v>52</v>
      </c>
    </row>
    <row r="21" spans="1:9" ht="15.75">
      <c r="A21" s="215" t="s">
        <v>1896</v>
      </c>
      <c r="B21" s="216"/>
      <c r="C21" s="122">
        <f>SUMIF('Stavební rozpočet'!AI12:AI1282,"01_3",'Stavební rozpočet'!Z12:Z1282)</f>
        <v>0</v>
      </c>
      <c r="D21" s="221" t="s">
        <v>52</v>
      </c>
      <c r="E21" s="222"/>
      <c r="F21" s="126" t="s">
        <v>52</v>
      </c>
      <c r="G21" s="221" t="s">
        <v>52</v>
      </c>
      <c r="H21" s="222"/>
      <c r="I21" s="126" t="s">
        <v>52</v>
      </c>
    </row>
    <row r="22" spans="1:9" ht="16.5" customHeight="1">
      <c r="A22" s="217" t="s">
        <v>1897</v>
      </c>
      <c r="B22" s="218"/>
      <c r="C22" s="122">
        <f>SUM(C14:C21)</f>
        <v>0</v>
      </c>
      <c r="D22" s="223" t="s">
        <v>1898</v>
      </c>
      <c r="E22" s="218"/>
      <c r="F22" s="127">
        <f>SUM(F14:F21)</f>
        <v>0</v>
      </c>
      <c r="G22" s="223" t="s">
        <v>1899</v>
      </c>
      <c r="H22" s="218"/>
      <c r="I22" s="127">
        <f>SUM(I14:I21)</f>
        <v>0</v>
      </c>
    </row>
    <row r="23" spans="7:9" ht="15.75">
      <c r="G23" s="213" t="s">
        <v>1902</v>
      </c>
      <c r="H23" s="214"/>
      <c r="I23" s="122">
        <f>'VORN objektu (01_3)'!I36</f>
        <v>0</v>
      </c>
    </row>
    <row r="25" spans="1:3" ht="15.75">
      <c r="A25" s="225" t="s">
        <v>1904</v>
      </c>
      <c r="B25" s="226"/>
      <c r="C25" s="128">
        <f>('Stavební rozpočet'!AS320+'Stavební rozpočet'!AS336+'Stavební rozpočet'!AS362+'Stavební rozpočet'!AS390+'Stavební rozpočet'!AS392+'Stavební rozpočet'!AS395+'Stavební rozpočet'!AS397+'Stavební rozpočet'!AS399+'Stavební rozpočet'!AS401+'Stavební rozpočet'!AS403+'Stavební rozpočet'!AS405)</f>
        <v>0</v>
      </c>
    </row>
    <row r="26" spans="1:9" ht="15.75">
      <c r="A26" s="227" t="s">
        <v>1905</v>
      </c>
      <c r="B26" s="228"/>
      <c r="C26" s="129">
        <f>('Stavební rozpočet'!AT320+'Stavební rozpočet'!AT336+'Stavební rozpočet'!AT362+'Stavební rozpočet'!AT390+'Stavební rozpočet'!AT392+'Stavební rozpočet'!AT395+'Stavební rozpočet'!AT397+'Stavební rozpočet'!AT399+'Stavební rozpočet'!AT401+'Stavební rozpočet'!AT403+'Stavební rozpočet'!AT405)</f>
        <v>0</v>
      </c>
      <c r="D26" s="229" t="s">
        <v>1906</v>
      </c>
      <c r="E26" s="226"/>
      <c r="F26" s="128">
        <f>ROUND(C26*(12/100),2)</f>
        <v>0</v>
      </c>
      <c r="G26" s="229" t="s">
        <v>1907</v>
      </c>
      <c r="H26" s="226"/>
      <c r="I26" s="128">
        <f>SUM(C25:C27)</f>
        <v>0</v>
      </c>
    </row>
    <row r="27" spans="1:9" ht="15.75">
      <c r="A27" s="227" t="s">
        <v>1908</v>
      </c>
      <c r="B27" s="228"/>
      <c r="C27" s="129">
        <f>('Stavební rozpočet'!AU320+'Stavební rozpočet'!AU336+'Stavební rozpočet'!AU362+'Stavební rozpočet'!AU390+'Stavební rozpočet'!AU392+'Stavební rozpočet'!AU395+'Stavební rozpočet'!AU397+'Stavební rozpočet'!AU399+'Stavební rozpočet'!AU401+'Stavební rozpočet'!AU403+'Stavební rozpočet'!AU405)+(F22+I22+F23+I23+I24)</f>
        <v>0</v>
      </c>
      <c r="D27" s="230" t="s">
        <v>1909</v>
      </c>
      <c r="E27" s="228"/>
      <c r="F27" s="129">
        <f>ROUND(C27*(21/100),2)</f>
        <v>0</v>
      </c>
      <c r="G27" s="230" t="s">
        <v>1910</v>
      </c>
      <c r="H27" s="228"/>
      <c r="I27" s="129">
        <f>SUM(F26:F27)+I26</f>
        <v>0</v>
      </c>
    </row>
    <row r="29" spans="1:9" ht="15">
      <c r="A29" s="231" t="s">
        <v>1911</v>
      </c>
      <c r="B29" s="232"/>
      <c r="C29" s="233"/>
      <c r="D29" s="240" t="s">
        <v>1912</v>
      </c>
      <c r="E29" s="232"/>
      <c r="F29" s="233"/>
      <c r="G29" s="240" t="s">
        <v>1913</v>
      </c>
      <c r="H29" s="232"/>
      <c r="I29" s="233"/>
    </row>
    <row r="30" spans="1:9" ht="15">
      <c r="A30" s="234" t="s">
        <v>52</v>
      </c>
      <c r="B30" s="235"/>
      <c r="C30" s="236"/>
      <c r="D30" s="241" t="s">
        <v>52</v>
      </c>
      <c r="E30" s="235"/>
      <c r="F30" s="236"/>
      <c r="G30" s="241" t="s">
        <v>52</v>
      </c>
      <c r="H30" s="235"/>
      <c r="I30" s="236"/>
    </row>
    <row r="31" spans="1:9" ht="15">
      <c r="A31" s="234" t="s">
        <v>52</v>
      </c>
      <c r="B31" s="235"/>
      <c r="C31" s="236"/>
      <c r="D31" s="241" t="s">
        <v>52</v>
      </c>
      <c r="E31" s="235"/>
      <c r="F31" s="236"/>
      <c r="G31" s="241" t="s">
        <v>52</v>
      </c>
      <c r="H31" s="235"/>
      <c r="I31" s="236"/>
    </row>
    <row r="32" spans="1:9" ht="15">
      <c r="A32" s="234" t="s">
        <v>52</v>
      </c>
      <c r="B32" s="235"/>
      <c r="C32" s="236"/>
      <c r="D32" s="241" t="s">
        <v>52</v>
      </c>
      <c r="E32" s="235"/>
      <c r="F32" s="236"/>
      <c r="G32" s="241" t="s">
        <v>52</v>
      </c>
      <c r="H32" s="235"/>
      <c r="I32" s="236"/>
    </row>
    <row r="33" spans="1:9" ht="15">
      <c r="A33" s="237" t="s">
        <v>1914</v>
      </c>
      <c r="B33" s="238"/>
      <c r="C33" s="239"/>
      <c r="D33" s="242" t="s">
        <v>1914</v>
      </c>
      <c r="E33" s="238"/>
      <c r="F33" s="239"/>
      <c r="G33" s="242" t="s">
        <v>1914</v>
      </c>
      <c r="H33" s="238"/>
      <c r="I33" s="239"/>
    </row>
    <row r="34" ht="15">
      <c r="A34" s="130" t="s">
        <v>1868</v>
      </c>
    </row>
    <row r="35" spans="1:9" ht="12.75" customHeight="1">
      <c r="A35" s="148" t="s">
        <v>52</v>
      </c>
      <c r="B35" s="143"/>
      <c r="C35" s="143"/>
      <c r="D35" s="143"/>
      <c r="E35" s="143"/>
      <c r="F35" s="143"/>
      <c r="G35" s="143"/>
      <c r="H35" s="143"/>
      <c r="I35" s="143"/>
    </row>
  </sheetData>
  <mergeCells count="80">
    <mergeCell ref="G32:I32"/>
    <mergeCell ref="G33:I33"/>
    <mergeCell ref="A35:I35"/>
    <mergeCell ref="A32:C32"/>
    <mergeCell ref="A33:C33"/>
    <mergeCell ref="D29:F29"/>
    <mergeCell ref="D30:F30"/>
    <mergeCell ref="D31:F31"/>
    <mergeCell ref="D32:F32"/>
    <mergeCell ref="D33:F33"/>
    <mergeCell ref="G26:H26"/>
    <mergeCell ref="G27:H27"/>
    <mergeCell ref="A29:C29"/>
    <mergeCell ref="A30:C30"/>
    <mergeCell ref="A31:C31"/>
    <mergeCell ref="G29:I29"/>
    <mergeCell ref="G30:I30"/>
    <mergeCell ref="G31:I31"/>
    <mergeCell ref="A25:B25"/>
    <mergeCell ref="A26:B26"/>
    <mergeCell ref="A27:B27"/>
    <mergeCell ref="D26:E26"/>
    <mergeCell ref="D27:E27"/>
    <mergeCell ref="G19:H19"/>
    <mergeCell ref="G20:H20"/>
    <mergeCell ref="G21:H21"/>
    <mergeCell ref="G22:H22"/>
    <mergeCell ref="G23:H23"/>
    <mergeCell ref="G14:H14"/>
    <mergeCell ref="G15:H15"/>
    <mergeCell ref="G16:H16"/>
    <mergeCell ref="G17:H17"/>
    <mergeCell ref="G18:H18"/>
    <mergeCell ref="A20:B20"/>
    <mergeCell ref="A21:B21"/>
    <mergeCell ref="A22:B22"/>
    <mergeCell ref="D14:E14"/>
    <mergeCell ref="D15:E15"/>
    <mergeCell ref="D16:E16"/>
    <mergeCell ref="D17:E17"/>
    <mergeCell ref="D18:E18"/>
    <mergeCell ref="D19:E19"/>
    <mergeCell ref="D20:E20"/>
    <mergeCell ref="D21:E21"/>
    <mergeCell ref="D22:E22"/>
    <mergeCell ref="I10:I11"/>
    <mergeCell ref="A12:I12"/>
    <mergeCell ref="B13:C13"/>
    <mergeCell ref="E13:F13"/>
    <mergeCell ref="H13:I13"/>
    <mergeCell ref="F10:G11"/>
    <mergeCell ref="H2:H3"/>
    <mergeCell ref="H4:H5"/>
    <mergeCell ref="H6:H7"/>
    <mergeCell ref="H8:H9"/>
    <mergeCell ref="H10:H11"/>
    <mergeCell ref="A10:B11"/>
    <mergeCell ref="E2:E3"/>
    <mergeCell ref="E4:E5"/>
    <mergeCell ref="E6:E7"/>
    <mergeCell ref="E8:E9"/>
    <mergeCell ref="E10:E11"/>
    <mergeCell ref="C2:D3"/>
    <mergeCell ref="C4:D5"/>
    <mergeCell ref="C6:D7"/>
    <mergeCell ref="C8:D9"/>
    <mergeCell ref="C10:D11"/>
    <mergeCell ref="A1:I1"/>
    <mergeCell ref="A2:B3"/>
    <mergeCell ref="A4:B5"/>
    <mergeCell ref="A6:B7"/>
    <mergeCell ref="A8:B9"/>
    <mergeCell ref="F2:G3"/>
    <mergeCell ref="F4:G5"/>
    <mergeCell ref="F6:G7"/>
    <mergeCell ref="F8:G9"/>
    <mergeCell ref="I2:I3"/>
    <mergeCell ref="I4:I5"/>
    <mergeCell ref="I6:I7"/>
    <mergeCell ref="I8:I9"/>
  </mergeCells>
  <printOptions/>
  <pageMargins left="0.393999993801117" right="0.393999993801117" top="0.591000020503998" bottom="0.591000020503998" header="0" footer="0"/>
  <pageSetup fitToHeight="1" fitToWidth="1" horizontalDpi="600" verticalDpi="600"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36"/>
  <sheetViews>
    <sheetView workbookViewId="0" topLeftCell="A1">
      <selection activeCell="A36" sqref="A36:E36"/>
    </sheetView>
  </sheetViews>
  <sheetFormatPr defaultColWidth="12.140625" defaultRowHeight="15" customHeight="1"/>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7.140625" style="0" customWidth="1"/>
    <col min="9" max="9" width="22.8515625" style="0" customWidth="1"/>
  </cols>
  <sheetData>
    <row r="1" spans="1:9" ht="54.75" customHeight="1">
      <c r="A1" s="205" t="s">
        <v>1931</v>
      </c>
      <c r="B1" s="139"/>
      <c r="C1" s="139"/>
      <c r="D1" s="139"/>
      <c r="E1" s="139"/>
      <c r="F1" s="139"/>
      <c r="G1" s="139"/>
      <c r="H1" s="139"/>
      <c r="I1" s="139"/>
    </row>
    <row r="2" spans="1:9" ht="15">
      <c r="A2" s="140" t="s">
        <v>1</v>
      </c>
      <c r="B2" s="141"/>
      <c r="C2" s="149" t="str">
        <f>'Stavební rozpočet'!D2</f>
        <v>Vybudování a rekonstrukce odborných učeben v ZŠ TGM</v>
      </c>
      <c r="D2" s="150"/>
      <c r="E2" s="147" t="s">
        <v>5</v>
      </c>
      <c r="F2" s="147" t="str">
        <f>'Stavební rozpočet'!J2</f>
        <v>Město ivančice</v>
      </c>
      <c r="G2" s="141"/>
      <c r="H2" s="147" t="s">
        <v>1870</v>
      </c>
      <c r="I2" s="152" t="s">
        <v>1871</v>
      </c>
    </row>
    <row r="3" spans="1:9" ht="15" customHeight="1">
      <c r="A3" s="142"/>
      <c r="B3" s="143"/>
      <c r="C3" s="151"/>
      <c r="D3" s="151"/>
      <c r="E3" s="143"/>
      <c r="F3" s="143"/>
      <c r="G3" s="143"/>
      <c r="H3" s="143"/>
      <c r="I3" s="153"/>
    </row>
    <row r="4" spans="1:9" ht="15">
      <c r="A4" s="144" t="s">
        <v>7</v>
      </c>
      <c r="B4" s="143"/>
      <c r="C4" s="148" t="str">
        <f>'Stavební rozpočet'!D4</f>
        <v>Stavební úpravy</v>
      </c>
      <c r="D4" s="143"/>
      <c r="E4" s="148" t="s">
        <v>11</v>
      </c>
      <c r="F4" s="148" t="str">
        <f>'Stavební rozpočet'!J4</f>
        <v>Tomáš Sýkora</v>
      </c>
      <c r="G4" s="143"/>
      <c r="H4" s="148" t="s">
        <v>1870</v>
      </c>
      <c r="I4" s="153" t="s">
        <v>1872</v>
      </c>
    </row>
    <row r="5" spans="1:9" ht="15" customHeight="1">
      <c r="A5" s="142"/>
      <c r="B5" s="143"/>
      <c r="C5" s="143"/>
      <c r="D5" s="143"/>
      <c r="E5" s="143"/>
      <c r="F5" s="143"/>
      <c r="G5" s="143"/>
      <c r="H5" s="143"/>
      <c r="I5" s="153"/>
    </row>
    <row r="6" spans="1:9" ht="15">
      <c r="A6" s="144" t="s">
        <v>13</v>
      </c>
      <c r="B6" s="143"/>
      <c r="C6" s="148" t="str">
        <f>'Stavební rozpočet'!D6</f>
        <v>ZŠ TGM Ivančice; Na Brněnce 1, 664 91 Ivančice</v>
      </c>
      <c r="D6" s="143"/>
      <c r="E6" s="148" t="s">
        <v>16</v>
      </c>
      <c r="F6" s="148" t="str">
        <f>'Stavební rozpočet'!J6</f>
        <v> </v>
      </c>
      <c r="G6" s="143"/>
      <c r="H6" s="148" t="s">
        <v>1870</v>
      </c>
      <c r="I6" s="153" t="s">
        <v>52</v>
      </c>
    </row>
    <row r="7" spans="1:9" ht="15" customHeight="1">
      <c r="A7" s="142"/>
      <c r="B7" s="143"/>
      <c r="C7" s="143"/>
      <c r="D7" s="143"/>
      <c r="E7" s="143"/>
      <c r="F7" s="143"/>
      <c r="G7" s="143"/>
      <c r="H7" s="143"/>
      <c r="I7" s="153"/>
    </row>
    <row r="8" spans="1:9" ht="15">
      <c r="A8" s="144" t="s">
        <v>9</v>
      </c>
      <c r="B8" s="143"/>
      <c r="C8" s="148" t="str">
        <f>'Stavební rozpočet'!H4</f>
        <v>22.09.2023</v>
      </c>
      <c r="D8" s="143"/>
      <c r="E8" s="148" t="s">
        <v>15</v>
      </c>
      <c r="F8" s="148" t="str">
        <f>'Stavební rozpočet'!H6</f>
        <v xml:space="preserve"> </v>
      </c>
      <c r="G8" s="143"/>
      <c r="H8" s="143" t="s">
        <v>1873</v>
      </c>
      <c r="I8" s="207">
        <v>79</v>
      </c>
    </row>
    <row r="9" spans="1:9" ht="15">
      <c r="A9" s="142"/>
      <c r="B9" s="143"/>
      <c r="C9" s="143"/>
      <c r="D9" s="143"/>
      <c r="E9" s="143"/>
      <c r="F9" s="143"/>
      <c r="G9" s="143"/>
      <c r="H9" s="143"/>
      <c r="I9" s="153"/>
    </row>
    <row r="10" spans="1:9" ht="15">
      <c r="A10" s="144" t="s">
        <v>18</v>
      </c>
      <c r="B10" s="143"/>
      <c r="C10" s="148" t="str">
        <f>'Stavební rozpočet'!D8</f>
        <v>8013212</v>
      </c>
      <c r="D10" s="143"/>
      <c r="E10" s="148" t="s">
        <v>21</v>
      </c>
      <c r="F10" s="148" t="str">
        <f>'Stavební rozpočet'!J8</f>
        <v>Tomáš Sýkora</v>
      </c>
      <c r="G10" s="143"/>
      <c r="H10" s="143" t="s">
        <v>1874</v>
      </c>
      <c r="I10" s="208" t="str">
        <f>'Stavební rozpočet'!H8</f>
        <v>22.09.2023</v>
      </c>
    </row>
    <row r="11" spans="1:9" ht="15">
      <c r="A11" s="206"/>
      <c r="B11" s="203"/>
      <c r="C11" s="203"/>
      <c r="D11" s="203"/>
      <c r="E11" s="203"/>
      <c r="F11" s="203"/>
      <c r="G11" s="203"/>
      <c r="H11" s="203"/>
      <c r="I11" s="209"/>
    </row>
    <row r="13" spans="1:5" ht="15.75">
      <c r="A13" s="243" t="s">
        <v>1916</v>
      </c>
      <c r="B13" s="243"/>
      <c r="C13" s="243"/>
      <c r="D13" s="243"/>
      <c r="E13" s="243"/>
    </row>
    <row r="14" spans="1:9" ht="15">
      <c r="A14" s="244" t="s">
        <v>1917</v>
      </c>
      <c r="B14" s="245"/>
      <c r="C14" s="245"/>
      <c r="D14" s="245"/>
      <c r="E14" s="246"/>
      <c r="F14" s="131" t="s">
        <v>1918</v>
      </c>
      <c r="G14" s="131" t="s">
        <v>951</v>
      </c>
      <c r="H14" s="131" t="s">
        <v>1919</v>
      </c>
      <c r="I14" s="131" t="s">
        <v>1918</v>
      </c>
    </row>
    <row r="15" spans="1:9" ht="15">
      <c r="A15" s="247" t="s">
        <v>1884</v>
      </c>
      <c r="B15" s="248"/>
      <c r="C15" s="248"/>
      <c r="D15" s="248"/>
      <c r="E15" s="249"/>
      <c r="F15" s="132">
        <v>0</v>
      </c>
      <c r="G15" s="133" t="s">
        <v>52</v>
      </c>
      <c r="H15" s="133" t="s">
        <v>52</v>
      </c>
      <c r="I15" s="132">
        <f>F15</f>
        <v>0</v>
      </c>
    </row>
    <row r="16" spans="1:9" ht="15">
      <c r="A16" s="247" t="s">
        <v>1886</v>
      </c>
      <c r="B16" s="248"/>
      <c r="C16" s="248"/>
      <c r="D16" s="248"/>
      <c r="E16" s="249"/>
      <c r="F16" s="132">
        <v>0</v>
      </c>
      <c r="G16" s="133" t="s">
        <v>52</v>
      </c>
      <c r="H16" s="133" t="s">
        <v>52</v>
      </c>
      <c r="I16" s="132">
        <f>F16</f>
        <v>0</v>
      </c>
    </row>
    <row r="17" spans="1:9" ht="15">
      <c r="A17" s="250" t="s">
        <v>1889</v>
      </c>
      <c r="B17" s="251"/>
      <c r="C17" s="251"/>
      <c r="D17" s="251"/>
      <c r="E17" s="252"/>
      <c r="F17" s="134">
        <v>0</v>
      </c>
      <c r="G17" s="135" t="s">
        <v>52</v>
      </c>
      <c r="H17" s="135" t="s">
        <v>52</v>
      </c>
      <c r="I17" s="134">
        <f>F17</f>
        <v>0</v>
      </c>
    </row>
    <row r="18" spans="1:9" ht="15">
      <c r="A18" s="253" t="s">
        <v>1920</v>
      </c>
      <c r="B18" s="254"/>
      <c r="C18" s="254"/>
      <c r="D18" s="254"/>
      <c r="E18" s="255"/>
      <c r="F18" s="136" t="s">
        <v>52</v>
      </c>
      <c r="G18" s="137" t="s">
        <v>52</v>
      </c>
      <c r="H18" s="137" t="s">
        <v>52</v>
      </c>
      <c r="I18" s="138">
        <f>SUM(I15:I17)</f>
        <v>0</v>
      </c>
    </row>
    <row r="20" spans="1:9" ht="15">
      <c r="A20" s="244" t="s">
        <v>1881</v>
      </c>
      <c r="B20" s="245"/>
      <c r="C20" s="245"/>
      <c r="D20" s="245"/>
      <c r="E20" s="246"/>
      <c r="F20" s="131" t="s">
        <v>1918</v>
      </c>
      <c r="G20" s="131" t="s">
        <v>951</v>
      </c>
      <c r="H20" s="131" t="s">
        <v>1919</v>
      </c>
      <c r="I20" s="131" t="s">
        <v>1918</v>
      </c>
    </row>
    <row r="21" spans="1:9" ht="15">
      <c r="A21" s="247" t="s">
        <v>1885</v>
      </c>
      <c r="B21" s="248"/>
      <c r="C21" s="248"/>
      <c r="D21" s="248"/>
      <c r="E21" s="249"/>
      <c r="F21" s="132">
        <v>0</v>
      </c>
      <c r="G21" s="133" t="s">
        <v>52</v>
      </c>
      <c r="H21" s="133" t="s">
        <v>52</v>
      </c>
      <c r="I21" s="132">
        <f aca="true" t="shared" si="0" ref="I21:I26">F21</f>
        <v>0</v>
      </c>
    </row>
    <row r="22" spans="1:9" ht="15">
      <c r="A22" s="247" t="s">
        <v>1887</v>
      </c>
      <c r="B22" s="248"/>
      <c r="C22" s="248"/>
      <c r="D22" s="248"/>
      <c r="E22" s="249"/>
      <c r="F22" s="132">
        <v>0</v>
      </c>
      <c r="G22" s="133" t="s">
        <v>52</v>
      </c>
      <c r="H22" s="133" t="s">
        <v>52</v>
      </c>
      <c r="I22" s="132">
        <f t="shared" si="0"/>
        <v>0</v>
      </c>
    </row>
    <row r="23" spans="1:9" ht="15">
      <c r="A23" s="247" t="s">
        <v>1890</v>
      </c>
      <c r="B23" s="248"/>
      <c r="C23" s="248"/>
      <c r="D23" s="248"/>
      <c r="E23" s="249"/>
      <c r="F23" s="132">
        <v>0</v>
      </c>
      <c r="G23" s="133" t="s">
        <v>52</v>
      </c>
      <c r="H23" s="133" t="s">
        <v>52</v>
      </c>
      <c r="I23" s="132">
        <f t="shared" si="0"/>
        <v>0</v>
      </c>
    </row>
    <row r="24" spans="1:9" ht="15">
      <c r="A24" s="247" t="s">
        <v>1891</v>
      </c>
      <c r="B24" s="248"/>
      <c r="C24" s="248"/>
      <c r="D24" s="248"/>
      <c r="E24" s="249"/>
      <c r="F24" s="132">
        <v>0</v>
      </c>
      <c r="G24" s="133" t="s">
        <v>52</v>
      </c>
      <c r="H24" s="133" t="s">
        <v>52</v>
      </c>
      <c r="I24" s="132">
        <f t="shared" si="0"/>
        <v>0</v>
      </c>
    </row>
    <row r="25" spans="1:9" ht="15">
      <c r="A25" s="247" t="s">
        <v>1893</v>
      </c>
      <c r="B25" s="248"/>
      <c r="C25" s="248"/>
      <c r="D25" s="248"/>
      <c r="E25" s="249"/>
      <c r="F25" s="132">
        <v>0</v>
      </c>
      <c r="G25" s="133" t="s">
        <v>52</v>
      </c>
      <c r="H25" s="133" t="s">
        <v>52</v>
      </c>
      <c r="I25" s="132">
        <f t="shared" si="0"/>
        <v>0</v>
      </c>
    </row>
    <row r="26" spans="1:9" ht="15">
      <c r="A26" s="250" t="s">
        <v>1894</v>
      </c>
      <c r="B26" s="251"/>
      <c r="C26" s="251"/>
      <c r="D26" s="251"/>
      <c r="E26" s="252"/>
      <c r="F26" s="134">
        <v>0</v>
      </c>
      <c r="G26" s="135" t="s">
        <v>52</v>
      </c>
      <c r="H26" s="135" t="s">
        <v>52</v>
      </c>
      <c r="I26" s="134">
        <f t="shared" si="0"/>
        <v>0</v>
      </c>
    </row>
    <row r="27" spans="1:9" ht="15">
      <c r="A27" s="253" t="s">
        <v>1921</v>
      </c>
      <c r="B27" s="254"/>
      <c r="C27" s="254"/>
      <c r="D27" s="254"/>
      <c r="E27" s="255"/>
      <c r="F27" s="136" t="s">
        <v>52</v>
      </c>
      <c r="G27" s="137" t="s">
        <v>52</v>
      </c>
      <c r="H27" s="137" t="s">
        <v>52</v>
      </c>
      <c r="I27" s="138">
        <f>SUM(I21:I26)</f>
        <v>0</v>
      </c>
    </row>
    <row r="29" spans="1:9" ht="15.75">
      <c r="A29" s="256" t="s">
        <v>1922</v>
      </c>
      <c r="B29" s="257"/>
      <c r="C29" s="257"/>
      <c r="D29" s="257"/>
      <c r="E29" s="258"/>
      <c r="F29" s="259">
        <f>I18+I27</f>
        <v>0</v>
      </c>
      <c r="G29" s="260"/>
      <c r="H29" s="260"/>
      <c r="I29" s="261"/>
    </row>
    <row r="33" spans="1:5" ht="15.75">
      <c r="A33" s="243" t="s">
        <v>1923</v>
      </c>
      <c r="B33" s="243"/>
      <c r="C33" s="243"/>
      <c r="D33" s="243"/>
      <c r="E33" s="243"/>
    </row>
    <row r="34" spans="1:9" ht="15">
      <c r="A34" s="244" t="s">
        <v>1924</v>
      </c>
      <c r="B34" s="245"/>
      <c r="C34" s="245"/>
      <c r="D34" s="245"/>
      <c r="E34" s="246"/>
      <c r="F34" s="131" t="s">
        <v>1918</v>
      </c>
      <c r="G34" s="131" t="s">
        <v>951</v>
      </c>
      <c r="H34" s="131" t="s">
        <v>1919</v>
      </c>
      <c r="I34" s="131" t="s">
        <v>1918</v>
      </c>
    </row>
    <row r="35" spans="1:9" ht="15">
      <c r="A35" s="250" t="s">
        <v>52</v>
      </c>
      <c r="B35" s="251"/>
      <c r="C35" s="251"/>
      <c r="D35" s="251"/>
      <c r="E35" s="252"/>
      <c r="F35" s="134">
        <v>0</v>
      </c>
      <c r="G35" s="135" t="s">
        <v>52</v>
      </c>
      <c r="H35" s="135" t="s">
        <v>52</v>
      </c>
      <c r="I35" s="134">
        <f>F35</f>
        <v>0</v>
      </c>
    </row>
    <row r="36" spans="1:9" ht="15">
      <c r="A36" s="253" t="s">
        <v>1925</v>
      </c>
      <c r="B36" s="254"/>
      <c r="C36" s="254"/>
      <c r="D36" s="254"/>
      <c r="E36" s="255"/>
      <c r="F36" s="136" t="s">
        <v>52</v>
      </c>
      <c r="G36" s="137" t="s">
        <v>52</v>
      </c>
      <c r="H36" s="137" t="s">
        <v>52</v>
      </c>
      <c r="I36" s="138">
        <f>SUM(I35:I35)</f>
        <v>0</v>
      </c>
    </row>
  </sheetData>
  <mergeCells count="51">
    <mergeCell ref="A36:E36"/>
    <mergeCell ref="A29:E29"/>
    <mergeCell ref="F29:I29"/>
    <mergeCell ref="A33:E33"/>
    <mergeCell ref="A34:E34"/>
    <mergeCell ref="A35:E35"/>
    <mergeCell ref="A23:E23"/>
    <mergeCell ref="A24:E24"/>
    <mergeCell ref="A25:E25"/>
    <mergeCell ref="A26:E26"/>
    <mergeCell ref="A27:E27"/>
    <mergeCell ref="A17:E17"/>
    <mergeCell ref="A18:E18"/>
    <mergeCell ref="A20:E20"/>
    <mergeCell ref="A21:E21"/>
    <mergeCell ref="A22:E22"/>
    <mergeCell ref="I10:I11"/>
    <mergeCell ref="A13:E13"/>
    <mergeCell ref="A14:E14"/>
    <mergeCell ref="A15:E15"/>
    <mergeCell ref="A16:E16"/>
    <mergeCell ref="H10:H11"/>
    <mergeCell ref="C2:D3"/>
    <mergeCell ref="C4:D5"/>
    <mergeCell ref="C6:D7"/>
    <mergeCell ref="C8:D9"/>
    <mergeCell ref="C10:D11"/>
    <mergeCell ref="F2:G3"/>
    <mergeCell ref="F4:G5"/>
    <mergeCell ref="F6:G7"/>
    <mergeCell ref="F8:G9"/>
    <mergeCell ref="F10:G11"/>
    <mergeCell ref="A10:B11"/>
    <mergeCell ref="E2:E3"/>
    <mergeCell ref="E4:E5"/>
    <mergeCell ref="E6:E7"/>
    <mergeCell ref="E8:E9"/>
    <mergeCell ref="E10:E11"/>
    <mergeCell ref="A1:I1"/>
    <mergeCell ref="A2:B3"/>
    <mergeCell ref="A4:B5"/>
    <mergeCell ref="A6:B7"/>
    <mergeCell ref="A8:B9"/>
    <mergeCell ref="H2:H3"/>
    <mergeCell ref="H4:H5"/>
    <mergeCell ref="H6:H7"/>
    <mergeCell ref="H8:H9"/>
    <mergeCell ref="I2:I3"/>
    <mergeCell ref="I4:I5"/>
    <mergeCell ref="I6:I7"/>
    <mergeCell ref="I8:I9"/>
  </mergeCells>
  <printOptions/>
  <pageMargins left="0.393999993801117" right="0.393999993801117" top="0.591000020503998" bottom="0.591000020503998" header="0" footer="0"/>
  <pageSetup fitToHeight="0" fitToWidth="1" horizontalDpi="600" verticalDpi="600"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35"/>
  <sheetViews>
    <sheetView workbookViewId="0" topLeftCell="A1">
      <selection activeCell="A35" sqref="A35:I35"/>
    </sheetView>
  </sheetViews>
  <sheetFormatPr defaultColWidth="12.140625" defaultRowHeight="15" customHeight="1"/>
  <cols>
    <col min="1" max="1" width="9.140625" style="0" customWidth="1"/>
    <col min="2" max="2" width="12.8515625" style="0" customWidth="1"/>
    <col min="3" max="3" width="27.140625" style="0" customWidth="1"/>
    <col min="4" max="4" width="10.00390625" style="0" customWidth="1"/>
    <col min="5" max="5" width="14.00390625" style="0" customWidth="1"/>
    <col min="6" max="6" width="27.140625" style="0" customWidth="1"/>
    <col min="7" max="7" width="9.140625" style="0" customWidth="1"/>
    <col min="8" max="8" width="12.8515625" style="0" customWidth="1"/>
    <col min="9" max="9" width="27.140625" style="0" customWidth="1"/>
  </cols>
  <sheetData>
    <row r="1" spans="1:9" ht="54.75" customHeight="1">
      <c r="A1" s="205" t="s">
        <v>1932</v>
      </c>
      <c r="B1" s="139"/>
      <c r="C1" s="139"/>
      <c r="D1" s="139"/>
      <c r="E1" s="139"/>
      <c r="F1" s="139"/>
      <c r="G1" s="139"/>
      <c r="H1" s="139"/>
      <c r="I1" s="139"/>
    </row>
    <row r="2" spans="1:9" ht="15">
      <c r="A2" s="140" t="s">
        <v>1</v>
      </c>
      <c r="B2" s="141"/>
      <c r="C2" s="149" t="str">
        <f>'Stavební rozpočet'!D2</f>
        <v>Vybudování a rekonstrukce odborných učeben v ZŠ TGM</v>
      </c>
      <c r="D2" s="150"/>
      <c r="E2" s="147" t="s">
        <v>5</v>
      </c>
      <c r="F2" s="147" t="str">
        <f>'Stavební rozpočet'!J2</f>
        <v>Město ivančice</v>
      </c>
      <c r="G2" s="141"/>
      <c r="H2" s="147" t="s">
        <v>1870</v>
      </c>
      <c r="I2" s="152" t="s">
        <v>1871</v>
      </c>
    </row>
    <row r="3" spans="1:9" ht="15" customHeight="1">
      <c r="A3" s="142"/>
      <c r="B3" s="143"/>
      <c r="C3" s="151"/>
      <c r="D3" s="151"/>
      <c r="E3" s="143"/>
      <c r="F3" s="143"/>
      <c r="G3" s="143"/>
      <c r="H3" s="143"/>
      <c r="I3" s="153"/>
    </row>
    <row r="4" spans="1:9" ht="15">
      <c r="A4" s="144" t="s">
        <v>7</v>
      </c>
      <c r="B4" s="143"/>
      <c r="C4" s="148" t="str">
        <f>'Stavební rozpočet'!D4</f>
        <v>Stavební úpravy</v>
      </c>
      <c r="D4" s="143"/>
      <c r="E4" s="148" t="s">
        <v>11</v>
      </c>
      <c r="F4" s="148" t="str">
        <f>'Stavební rozpočet'!J4</f>
        <v>Tomáš Sýkora</v>
      </c>
      <c r="G4" s="143"/>
      <c r="H4" s="148" t="s">
        <v>1870</v>
      </c>
      <c r="I4" s="153" t="s">
        <v>1872</v>
      </c>
    </row>
    <row r="5" spans="1:9" ht="15" customHeight="1">
      <c r="A5" s="142"/>
      <c r="B5" s="143"/>
      <c r="C5" s="143"/>
      <c r="D5" s="143"/>
      <c r="E5" s="143"/>
      <c r="F5" s="143"/>
      <c r="G5" s="143"/>
      <c r="H5" s="143"/>
      <c r="I5" s="153"/>
    </row>
    <row r="6" spans="1:9" ht="15">
      <c r="A6" s="144" t="s">
        <v>13</v>
      </c>
      <c r="B6" s="143"/>
      <c r="C6" s="148" t="str">
        <f>'Stavební rozpočet'!D6</f>
        <v>ZŠ TGM Ivančice; Na Brněnce 1, 664 91 Ivančice</v>
      </c>
      <c r="D6" s="143"/>
      <c r="E6" s="148" t="s">
        <v>16</v>
      </c>
      <c r="F6" s="148" t="str">
        <f>'Stavební rozpočet'!J6</f>
        <v> </v>
      </c>
      <c r="G6" s="143"/>
      <c r="H6" s="148" t="s">
        <v>1870</v>
      </c>
      <c r="I6" s="153" t="s">
        <v>52</v>
      </c>
    </row>
    <row r="7" spans="1:9" ht="15" customHeight="1">
      <c r="A7" s="142"/>
      <c r="B7" s="143"/>
      <c r="C7" s="143"/>
      <c r="D7" s="143"/>
      <c r="E7" s="143"/>
      <c r="F7" s="143"/>
      <c r="G7" s="143"/>
      <c r="H7" s="143"/>
      <c r="I7" s="153"/>
    </row>
    <row r="8" spans="1:9" ht="15">
      <c r="A8" s="144" t="s">
        <v>9</v>
      </c>
      <c r="B8" s="143"/>
      <c r="C8" s="148" t="str">
        <f>'Stavební rozpočet'!H4</f>
        <v>22.09.2023</v>
      </c>
      <c r="D8" s="143"/>
      <c r="E8" s="148" t="s">
        <v>15</v>
      </c>
      <c r="F8" s="148" t="str">
        <f>'Stavební rozpočet'!H6</f>
        <v xml:space="preserve"> </v>
      </c>
      <c r="G8" s="143"/>
      <c r="H8" s="143" t="s">
        <v>1873</v>
      </c>
      <c r="I8" s="207">
        <v>58</v>
      </c>
    </row>
    <row r="9" spans="1:9" ht="15">
      <c r="A9" s="142"/>
      <c r="B9" s="143"/>
      <c r="C9" s="143"/>
      <c r="D9" s="143"/>
      <c r="E9" s="143"/>
      <c r="F9" s="143"/>
      <c r="G9" s="143"/>
      <c r="H9" s="143"/>
      <c r="I9" s="153"/>
    </row>
    <row r="10" spans="1:9" ht="15">
      <c r="A10" s="144" t="s">
        <v>18</v>
      </c>
      <c r="B10" s="143"/>
      <c r="C10" s="148" t="str">
        <f>'Stavební rozpočet'!D8</f>
        <v>8013212</v>
      </c>
      <c r="D10" s="143"/>
      <c r="E10" s="148" t="s">
        <v>21</v>
      </c>
      <c r="F10" s="148" t="str">
        <f>'Stavební rozpočet'!J8</f>
        <v>Tomáš Sýkora</v>
      </c>
      <c r="G10" s="143"/>
      <c r="H10" s="143" t="s">
        <v>1874</v>
      </c>
      <c r="I10" s="208" t="str">
        <f>'Stavební rozpočet'!H8</f>
        <v>22.09.2023</v>
      </c>
    </row>
    <row r="11" spans="1:9" ht="15">
      <c r="A11" s="206"/>
      <c r="B11" s="203"/>
      <c r="C11" s="203"/>
      <c r="D11" s="203"/>
      <c r="E11" s="203"/>
      <c r="F11" s="203"/>
      <c r="G11" s="203"/>
      <c r="H11" s="203"/>
      <c r="I11" s="209"/>
    </row>
    <row r="12" spans="1:9" ht="23.25">
      <c r="A12" s="210" t="s">
        <v>1875</v>
      </c>
      <c r="B12" s="210"/>
      <c r="C12" s="210"/>
      <c r="D12" s="210"/>
      <c r="E12" s="210"/>
      <c r="F12" s="210"/>
      <c r="G12" s="210"/>
      <c r="H12" s="210"/>
      <c r="I12" s="210"/>
    </row>
    <row r="13" spans="1:9" ht="26.25" customHeight="1">
      <c r="A13" s="118" t="s">
        <v>1876</v>
      </c>
      <c r="B13" s="211" t="s">
        <v>1877</v>
      </c>
      <c r="C13" s="212"/>
      <c r="D13" s="119" t="s">
        <v>1878</v>
      </c>
      <c r="E13" s="211" t="s">
        <v>1879</v>
      </c>
      <c r="F13" s="212"/>
      <c r="G13" s="119" t="s">
        <v>1880</v>
      </c>
      <c r="H13" s="211" t="s">
        <v>1881</v>
      </c>
      <c r="I13" s="212"/>
    </row>
    <row r="14" spans="1:9" ht="15.75">
      <c r="A14" s="120" t="s">
        <v>1882</v>
      </c>
      <c r="B14" s="121" t="s">
        <v>1883</v>
      </c>
      <c r="C14" s="122">
        <f>SUMIF('Stavební rozpočet'!AI12:AI1282,"02_1",'Stavební rozpočet'!AB12:AB1282)</f>
        <v>0</v>
      </c>
      <c r="D14" s="219" t="s">
        <v>1884</v>
      </c>
      <c r="E14" s="220"/>
      <c r="F14" s="122">
        <f>'VORN objektu (02_1)'!I15</f>
        <v>0</v>
      </c>
      <c r="G14" s="219" t="s">
        <v>1885</v>
      </c>
      <c r="H14" s="220"/>
      <c r="I14" s="123">
        <f>'VORN objektu (02_1)'!I21</f>
        <v>0</v>
      </c>
    </row>
    <row r="15" spans="1:9" ht="15.75">
      <c r="A15" s="124" t="s">
        <v>52</v>
      </c>
      <c r="B15" s="121" t="s">
        <v>37</v>
      </c>
      <c r="C15" s="122">
        <f>SUMIF('Stavební rozpočet'!AI12:AI1282,"02_1",'Stavební rozpočet'!AC12:AC1282)</f>
        <v>0</v>
      </c>
      <c r="D15" s="219" t="s">
        <v>1886</v>
      </c>
      <c r="E15" s="220"/>
      <c r="F15" s="122">
        <f>'VORN objektu (02_1)'!I16</f>
        <v>0</v>
      </c>
      <c r="G15" s="219" t="s">
        <v>1887</v>
      </c>
      <c r="H15" s="220"/>
      <c r="I15" s="123">
        <f>'VORN objektu (02_1)'!I22</f>
        <v>0</v>
      </c>
    </row>
    <row r="16" spans="1:9" ht="15.75">
      <c r="A16" s="120" t="s">
        <v>1888</v>
      </c>
      <c r="B16" s="121" t="s">
        <v>1883</v>
      </c>
      <c r="C16" s="122">
        <f>SUMIF('Stavební rozpočet'!AI12:AI1282,"02_1",'Stavební rozpočet'!AD12:AD1282)</f>
        <v>0</v>
      </c>
      <c r="D16" s="219" t="s">
        <v>1889</v>
      </c>
      <c r="E16" s="220"/>
      <c r="F16" s="122">
        <f>'VORN objektu (02_1)'!I17</f>
        <v>0</v>
      </c>
      <c r="G16" s="219" t="s">
        <v>1890</v>
      </c>
      <c r="H16" s="220"/>
      <c r="I16" s="123">
        <f>'VORN objektu (02_1)'!I23</f>
        <v>0</v>
      </c>
    </row>
    <row r="17" spans="1:9" ht="15.75">
      <c r="A17" s="124" t="s">
        <v>52</v>
      </c>
      <c r="B17" s="121" t="s">
        <v>37</v>
      </c>
      <c r="C17" s="122">
        <f>SUMIF('Stavební rozpočet'!AI12:AI1282,"02_1",'Stavební rozpočet'!AE12:AE1282)</f>
        <v>0</v>
      </c>
      <c r="D17" s="219" t="s">
        <v>52</v>
      </c>
      <c r="E17" s="220"/>
      <c r="F17" s="123" t="s">
        <v>52</v>
      </c>
      <c r="G17" s="219" t="s">
        <v>1891</v>
      </c>
      <c r="H17" s="220"/>
      <c r="I17" s="123">
        <f>'VORN objektu (02_1)'!I24</f>
        <v>0</v>
      </c>
    </row>
    <row r="18" spans="1:9" ht="15.75">
      <c r="A18" s="120" t="s">
        <v>1892</v>
      </c>
      <c r="B18" s="121" t="s">
        <v>1883</v>
      </c>
      <c r="C18" s="122">
        <f>SUMIF('Stavební rozpočet'!AI12:AI1282,"02_1",'Stavební rozpočet'!AF12:AF1282)</f>
        <v>0</v>
      </c>
      <c r="D18" s="219" t="s">
        <v>52</v>
      </c>
      <c r="E18" s="220"/>
      <c r="F18" s="123" t="s">
        <v>52</v>
      </c>
      <c r="G18" s="219" t="s">
        <v>1893</v>
      </c>
      <c r="H18" s="220"/>
      <c r="I18" s="123">
        <f>'VORN objektu (02_1)'!I25</f>
        <v>0</v>
      </c>
    </row>
    <row r="19" spans="1:9" ht="15.75">
      <c r="A19" s="124" t="s">
        <v>52</v>
      </c>
      <c r="B19" s="121" t="s">
        <v>37</v>
      </c>
      <c r="C19" s="122">
        <f>SUMIF('Stavební rozpočet'!AI12:AI1282,"02_1",'Stavební rozpočet'!AG12:AG1282)</f>
        <v>0</v>
      </c>
      <c r="D19" s="219" t="s">
        <v>52</v>
      </c>
      <c r="E19" s="220"/>
      <c r="F19" s="123" t="s">
        <v>52</v>
      </c>
      <c r="G19" s="219" t="s">
        <v>1894</v>
      </c>
      <c r="H19" s="220"/>
      <c r="I19" s="123">
        <f>'VORN objektu (02_1)'!I26</f>
        <v>0</v>
      </c>
    </row>
    <row r="20" spans="1:9" ht="15.75">
      <c r="A20" s="213" t="s">
        <v>1895</v>
      </c>
      <c r="B20" s="214"/>
      <c r="C20" s="122">
        <f>SUMIF('Stavební rozpočet'!AI12:AI1282,"02_1",'Stavební rozpočet'!AH12:AH1282)</f>
        <v>0</v>
      </c>
      <c r="D20" s="219" t="s">
        <v>52</v>
      </c>
      <c r="E20" s="220"/>
      <c r="F20" s="123" t="s">
        <v>52</v>
      </c>
      <c r="G20" s="219" t="s">
        <v>52</v>
      </c>
      <c r="H20" s="220"/>
      <c r="I20" s="123" t="s">
        <v>52</v>
      </c>
    </row>
    <row r="21" spans="1:9" ht="15.75">
      <c r="A21" s="215" t="s">
        <v>1896</v>
      </c>
      <c r="B21" s="216"/>
      <c r="C21" s="122">
        <f>SUMIF('Stavební rozpočet'!AI12:AI1282,"02_1",'Stavební rozpočet'!Z12:Z1282)</f>
        <v>0</v>
      </c>
      <c r="D21" s="221" t="s">
        <v>52</v>
      </c>
      <c r="E21" s="222"/>
      <c r="F21" s="126" t="s">
        <v>52</v>
      </c>
      <c r="G21" s="221" t="s">
        <v>52</v>
      </c>
      <c r="H21" s="222"/>
      <c r="I21" s="126" t="s">
        <v>52</v>
      </c>
    </row>
    <row r="22" spans="1:9" ht="16.5" customHeight="1">
      <c r="A22" s="217" t="s">
        <v>1897</v>
      </c>
      <c r="B22" s="218"/>
      <c r="C22" s="122">
        <f>SUM(C14:C21)</f>
        <v>0</v>
      </c>
      <c r="D22" s="223" t="s">
        <v>1898</v>
      </c>
      <c r="E22" s="218"/>
      <c r="F22" s="127">
        <f>SUM(F14:F21)</f>
        <v>0</v>
      </c>
      <c r="G22" s="223" t="s">
        <v>1899</v>
      </c>
      <c r="H22" s="218"/>
      <c r="I22" s="127">
        <f>SUM(I14:I21)</f>
        <v>0</v>
      </c>
    </row>
    <row r="23" spans="7:9" ht="15.75">
      <c r="G23" s="213" t="s">
        <v>1902</v>
      </c>
      <c r="H23" s="214"/>
      <c r="I23" s="122">
        <f>'VORN objektu (02_1)'!I36</f>
        <v>0</v>
      </c>
    </row>
    <row r="25" spans="1:3" ht="15.75">
      <c r="A25" s="225" t="s">
        <v>1904</v>
      </c>
      <c r="B25" s="226"/>
      <c r="C25" s="128">
        <f>('Stavební rozpočet'!AS411+'Stavební rozpočet'!AS420+'Stavební rozpočet'!AS424+'Stavební rozpočet'!AS435+'Stavební rozpočet'!AS440+'Stavební rozpočet'!AS451+'Stavební rozpočet'!AS488+'Stavební rozpočet'!AS516+'Stavební rozpočet'!AS527+'Stavební rozpočet'!AS552+'Stavební rozpočet'!AS559+'Stavební rozpočet'!AS563+'Stavební rozpočet'!AS570+'Stavební rozpočet'!AS574+'Stavební rozpočet'!AS577)</f>
        <v>0</v>
      </c>
    </row>
    <row r="26" spans="1:9" ht="15.75">
      <c r="A26" s="227" t="s">
        <v>1905</v>
      </c>
      <c r="B26" s="228"/>
      <c r="C26" s="129">
        <f>('Stavební rozpočet'!AT411+'Stavební rozpočet'!AT420+'Stavební rozpočet'!AT424+'Stavební rozpočet'!AT435+'Stavební rozpočet'!AT440+'Stavební rozpočet'!AT451+'Stavební rozpočet'!AT488+'Stavební rozpočet'!AT516+'Stavební rozpočet'!AT527+'Stavební rozpočet'!AT552+'Stavební rozpočet'!AT559+'Stavební rozpočet'!AT563+'Stavební rozpočet'!AT570+'Stavební rozpočet'!AT574+'Stavební rozpočet'!AT577)</f>
        <v>0</v>
      </c>
      <c r="D26" s="229" t="s">
        <v>1906</v>
      </c>
      <c r="E26" s="226"/>
      <c r="F26" s="128">
        <f>ROUND(C26*(12/100),2)</f>
        <v>0</v>
      </c>
      <c r="G26" s="229" t="s">
        <v>1907</v>
      </c>
      <c r="H26" s="226"/>
      <c r="I26" s="128">
        <f>SUM(C25:C27)</f>
        <v>0</v>
      </c>
    </row>
    <row r="27" spans="1:9" ht="15.75">
      <c r="A27" s="227" t="s">
        <v>1908</v>
      </c>
      <c r="B27" s="228"/>
      <c r="C27" s="129">
        <f>('Stavební rozpočet'!AU411+'Stavební rozpočet'!AU420+'Stavební rozpočet'!AU424+'Stavební rozpočet'!AU435+'Stavební rozpočet'!AU440+'Stavební rozpočet'!AU451+'Stavební rozpočet'!AU488+'Stavební rozpočet'!AU516+'Stavební rozpočet'!AU527+'Stavební rozpočet'!AU552+'Stavební rozpočet'!AU559+'Stavební rozpočet'!AU563+'Stavební rozpočet'!AU570+'Stavební rozpočet'!AU574+'Stavební rozpočet'!AU577)+(F22+I22+F23+I23+I24)</f>
        <v>0</v>
      </c>
      <c r="D27" s="230" t="s">
        <v>1909</v>
      </c>
      <c r="E27" s="228"/>
      <c r="F27" s="129">
        <f>ROUND(C27*(21/100),2)</f>
        <v>0</v>
      </c>
      <c r="G27" s="230" t="s">
        <v>1910</v>
      </c>
      <c r="H27" s="228"/>
      <c r="I27" s="129">
        <f>SUM(F26:F27)+I26</f>
        <v>0</v>
      </c>
    </row>
    <row r="29" spans="1:9" ht="15">
      <c r="A29" s="231" t="s">
        <v>1911</v>
      </c>
      <c r="B29" s="232"/>
      <c r="C29" s="233"/>
      <c r="D29" s="240" t="s">
        <v>1912</v>
      </c>
      <c r="E29" s="232"/>
      <c r="F29" s="233"/>
      <c r="G29" s="240" t="s">
        <v>1913</v>
      </c>
      <c r="H29" s="232"/>
      <c r="I29" s="233"/>
    </row>
    <row r="30" spans="1:9" ht="15">
      <c r="A30" s="234" t="s">
        <v>52</v>
      </c>
      <c r="B30" s="235"/>
      <c r="C30" s="236"/>
      <c r="D30" s="241" t="s">
        <v>52</v>
      </c>
      <c r="E30" s="235"/>
      <c r="F30" s="236"/>
      <c r="G30" s="241" t="s">
        <v>52</v>
      </c>
      <c r="H30" s="235"/>
      <c r="I30" s="236"/>
    </row>
    <row r="31" spans="1:9" ht="15">
      <c r="A31" s="234" t="s">
        <v>52</v>
      </c>
      <c r="B31" s="235"/>
      <c r="C31" s="236"/>
      <c r="D31" s="241" t="s">
        <v>52</v>
      </c>
      <c r="E31" s="235"/>
      <c r="F31" s="236"/>
      <c r="G31" s="241" t="s">
        <v>52</v>
      </c>
      <c r="H31" s="235"/>
      <c r="I31" s="236"/>
    </row>
    <row r="32" spans="1:9" ht="15">
      <c r="A32" s="234" t="s">
        <v>52</v>
      </c>
      <c r="B32" s="235"/>
      <c r="C32" s="236"/>
      <c r="D32" s="241" t="s">
        <v>52</v>
      </c>
      <c r="E32" s="235"/>
      <c r="F32" s="236"/>
      <c r="G32" s="241" t="s">
        <v>52</v>
      </c>
      <c r="H32" s="235"/>
      <c r="I32" s="236"/>
    </row>
    <row r="33" spans="1:9" ht="15">
      <c r="A33" s="237" t="s">
        <v>1914</v>
      </c>
      <c r="B33" s="238"/>
      <c r="C33" s="239"/>
      <c r="D33" s="242" t="s">
        <v>1914</v>
      </c>
      <c r="E33" s="238"/>
      <c r="F33" s="239"/>
      <c r="G33" s="242" t="s">
        <v>1914</v>
      </c>
      <c r="H33" s="238"/>
      <c r="I33" s="239"/>
    </row>
    <row r="34" ht="15">
      <c r="A34" s="130" t="s">
        <v>1868</v>
      </c>
    </row>
    <row r="35" spans="1:9" ht="12.75" customHeight="1">
      <c r="A35" s="148" t="s">
        <v>52</v>
      </c>
      <c r="B35" s="143"/>
      <c r="C35" s="143"/>
      <c r="D35" s="143"/>
      <c r="E35" s="143"/>
      <c r="F35" s="143"/>
      <c r="G35" s="143"/>
      <c r="H35" s="143"/>
      <c r="I35" s="143"/>
    </row>
  </sheetData>
  <mergeCells count="80">
    <mergeCell ref="G32:I32"/>
    <mergeCell ref="G33:I33"/>
    <mergeCell ref="A35:I35"/>
    <mergeCell ref="A32:C32"/>
    <mergeCell ref="A33:C33"/>
    <mergeCell ref="D29:F29"/>
    <mergeCell ref="D30:F30"/>
    <mergeCell ref="D31:F31"/>
    <mergeCell ref="D32:F32"/>
    <mergeCell ref="D33:F33"/>
    <mergeCell ref="G26:H26"/>
    <mergeCell ref="G27:H27"/>
    <mergeCell ref="A29:C29"/>
    <mergeCell ref="A30:C30"/>
    <mergeCell ref="A31:C31"/>
    <mergeCell ref="G29:I29"/>
    <mergeCell ref="G30:I30"/>
    <mergeCell ref="G31:I31"/>
    <mergeCell ref="A25:B25"/>
    <mergeCell ref="A26:B26"/>
    <mergeCell ref="A27:B27"/>
    <mergeCell ref="D26:E26"/>
    <mergeCell ref="D27:E27"/>
    <mergeCell ref="G19:H19"/>
    <mergeCell ref="G20:H20"/>
    <mergeCell ref="G21:H21"/>
    <mergeCell ref="G22:H22"/>
    <mergeCell ref="G23:H23"/>
    <mergeCell ref="G14:H14"/>
    <mergeCell ref="G15:H15"/>
    <mergeCell ref="G16:H16"/>
    <mergeCell ref="G17:H17"/>
    <mergeCell ref="G18:H18"/>
    <mergeCell ref="A20:B20"/>
    <mergeCell ref="A21:B21"/>
    <mergeCell ref="A22:B22"/>
    <mergeCell ref="D14:E14"/>
    <mergeCell ref="D15:E15"/>
    <mergeCell ref="D16:E16"/>
    <mergeCell ref="D17:E17"/>
    <mergeCell ref="D18:E18"/>
    <mergeCell ref="D19:E19"/>
    <mergeCell ref="D20:E20"/>
    <mergeCell ref="D21:E21"/>
    <mergeCell ref="D22:E22"/>
    <mergeCell ref="I10:I11"/>
    <mergeCell ref="A12:I12"/>
    <mergeCell ref="B13:C13"/>
    <mergeCell ref="E13:F13"/>
    <mergeCell ref="H13:I13"/>
    <mergeCell ref="F10:G11"/>
    <mergeCell ref="H2:H3"/>
    <mergeCell ref="H4:H5"/>
    <mergeCell ref="H6:H7"/>
    <mergeCell ref="H8:H9"/>
    <mergeCell ref="H10:H11"/>
    <mergeCell ref="A10:B11"/>
    <mergeCell ref="E2:E3"/>
    <mergeCell ref="E4:E5"/>
    <mergeCell ref="E6:E7"/>
    <mergeCell ref="E8:E9"/>
    <mergeCell ref="E10:E11"/>
    <mergeCell ref="C2:D3"/>
    <mergeCell ref="C4:D5"/>
    <mergeCell ref="C6:D7"/>
    <mergeCell ref="C8:D9"/>
    <mergeCell ref="C10:D11"/>
    <mergeCell ref="A1:I1"/>
    <mergeCell ref="A2:B3"/>
    <mergeCell ref="A4:B5"/>
    <mergeCell ref="A6:B7"/>
    <mergeCell ref="A8:B9"/>
    <mergeCell ref="F2:G3"/>
    <mergeCell ref="F4:G5"/>
    <mergeCell ref="F6:G7"/>
    <mergeCell ref="F8:G9"/>
    <mergeCell ref="I2:I3"/>
    <mergeCell ref="I4:I5"/>
    <mergeCell ref="I6:I7"/>
    <mergeCell ref="I8:I9"/>
  </mergeCells>
  <printOptions/>
  <pageMargins left="0.393999993801117" right="0.393999993801117" top="0.591000020503998" bottom="0.591000020503998" header="0" footer="0"/>
  <pageSetup fitToHeight="1" fitToWidth="1"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Tomáš Sýkora</cp:lastModifiedBy>
  <dcterms:created xsi:type="dcterms:W3CDTF">2021-06-10T20:06:38Z</dcterms:created>
  <dcterms:modified xsi:type="dcterms:W3CDTF">2024-03-25T17:23:09Z</dcterms:modified>
  <cp:category/>
  <cp:version/>
  <cp:contentType/>
  <cp:contentStatus/>
</cp:coreProperties>
</file>