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drawings/drawing1.xml" ContentType="application/vnd.openxmlformats-officedocument.drawing+xml"/>
  <Override PartName="/xl/worksheets/sheet1.xml" ContentType="application/vnd.openxmlformats-officedocument.spreadsheetml.worksheet+xml"/>
  <Override PartName="/xl/drawings/drawing2.xml" ContentType="application/vnd.openxmlformats-officedocument.drawing+xml"/>
  <Override PartName="/xl/worksheets/sheet2.xml" ContentType="application/vnd.openxmlformats-officedocument.spreadsheetml.worksheet+xml"/>
  <Override PartName="/xl/drawings/drawing3.xml" ContentType="application/vnd.openxmlformats-officedocument.drawing+xml"/>
  <Override PartName="/xl/worksheets/sheet3.xml" ContentType="application/vnd.openxmlformats-officedocument.spreadsheetml.worksheet+xml"/>
  <Override PartName="/xl/drawings/drawing4.xml" ContentType="application/vnd.openxmlformats-officedocument.drawing+xml"/>
  <Override PartName="/xl/worksheets/sheet4.xml" ContentType="application/vnd.openxmlformats-officedocument.spreadsheetml.worksheet+xml"/>
  <Override PartName="/xl/drawings/drawing5.xml" ContentType="application/vnd.openxmlformats-officedocument.drawing+xml"/>
  <Override PartName="/xl/worksheets/sheet5.xml" ContentType="application/vnd.openxmlformats-officedocument.spreadsheetml.worksheet+xml"/>
  <Override PartName="/xl/drawings/drawing6.xml" ContentType="application/vnd.openxmlformats-officedocument.drawing+xml"/>
  <Override PartName="/xl/worksheets/sheet6.xml" ContentType="application/vnd.openxmlformats-officedocument.spreadsheetml.worksheet+xml"/>
  <Override PartName="/xl/drawings/drawing7.xml" ContentType="application/vnd.openxmlformats-officedocument.drawing+xml"/>
  <Override PartName="/xl/worksheets/sheet7.xml" ContentType="application/vnd.openxmlformats-officedocument.spreadsheetml.worksheet+xml"/>
  <Override PartName="/xl/drawings/drawing8.xml" ContentType="application/vnd.openxmlformats-officedocument.drawing+xml"/>
  <Override PartName="/xl/worksheets/sheet8.xml" ContentType="application/vnd.openxmlformats-officedocument.spreadsheetml.worksheet+xml"/>
  <Override PartName="/xl/drawings/drawing9.xml" ContentType="application/vnd.openxmlformats-officedocument.drawing+xml"/>
  <Override PartName="/xl/worksheets/sheet9.xml" ContentType="application/vnd.openxmlformats-officedocument.spreadsheetml.worksheet+xml"/>
  <Override PartName="/xl/drawings/drawing10.xml" ContentType="application/vnd.openxmlformats-officedocument.drawing+xml"/>
  <Override PartName="/xl/worksheets/sheet10.xml" ContentType="application/vnd.openxmlformats-officedocument.spreadsheetml.worksheet+xml"/>
  <Override PartName="/xl/drawings/drawing11.xml" ContentType="application/vnd.openxmlformats-officedocument.drawing+xml"/>
  <Override PartName="/xl/worksheets/sheet11.xml" ContentType="application/vnd.openxmlformats-officedocument.spreadsheetml.worksheet+xml"/>
  <Override PartName="/xl/drawings/drawing12.xml" ContentType="application/vnd.openxmlformats-officedocument.drawing+xml"/>
  <Override PartName="/xl/worksheets/sheet12.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_rels/.rels" ContentType="application/vnd.openxmlformats-package.relationships+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workbookPr date1904="false"/>
  <bookViews>
    <workbookView activeTab="0" showHorizontalScroll="true" showVerticalScroll="true" showSheetTabs="true"/>
  </bookViews>
  <sheets>
    <sheet name="Stavební rozpočet" sheetId="1" r:id="rId1"/>
    <sheet name="Stavební rozpočet - součet" sheetId="2" r:id="rId2"/>
    <sheet name="Krycí list rozpočtu" sheetId="3" r:id="rId3"/>
    <sheet name="VORN" sheetId="4" state="hidden" r:id="rId4"/>
    <sheet name="Krycí list rozpočtu (D.1.1.)" sheetId="5" r:id="rId5"/>
    <sheet name="VORN objektu (D.1.1.)" sheetId="6" state="hidden" r:id="rId6"/>
    <sheet name="Krycí list rozpočtu (D.1.4.a)" sheetId="7" r:id="rId7"/>
    <sheet name="VORN objektu (D.1.4.a)" sheetId="8" state="hidden" r:id="rId8"/>
    <sheet name="Krycí list rozpočtu (D.1.4.b)" sheetId="9" r:id="rId9"/>
    <sheet name="VORN objektu (D.1.4.b)" sheetId="10" state="hidden" r:id="rId10"/>
    <sheet name="Krycí list rozpočtu (D.1.4.d)" sheetId="11" r:id="rId11"/>
    <sheet name="VORN objektu (D.1.4.d)" sheetId="12" state="hidden" r:id="rId12"/>
  </sheets>
  <definedNames>
    <definedName name="vorn_sum">VORN!$I$36</definedName>
  </definedNames>
  <calcPr refMode="A1"/>
</workbook>
</file>

<file path=xl/sharedStrings.xml><?xml version="1.0" encoding="utf-8"?>
<sst xmlns="http://schemas.openxmlformats.org/spreadsheetml/2006/main" count="2247" uniqueCount="2247">
  <si>
    <t>Slepý stavební rozpočet</t>
  </si>
  <si>
    <t>Název stavby:</t>
  </si>
  <si>
    <t>Vestavba odborné učebny v podkroví ZŠ TGM Ivančice</t>
  </si>
  <si>
    <t>Doba výstavby:</t>
  </si>
  <si>
    <t>62 dní</t>
  </si>
  <si>
    <t>Objednatel:</t>
  </si>
  <si>
    <t> </t>
  </si>
  <si>
    <t>Druh stavby:</t>
  </si>
  <si>
    <t>Změna využití stavby</t>
  </si>
  <si>
    <t>Začátek výstavby:</t>
  </si>
  <si>
    <t>01.07.2022</t>
  </si>
  <si>
    <t>Projektant:</t>
  </si>
  <si>
    <t>Lokalita:</t>
  </si>
  <si>
    <t>ZŠ TGM Ivančice; Na Brněnce 1, 664 91 Ivančice</t>
  </si>
  <si>
    <t>Konec výstavby:</t>
  </si>
  <si>
    <t>31.08.2022</t>
  </si>
  <si>
    <t>Zhotovitel:</t>
  </si>
  <si>
    <t>JKSO:</t>
  </si>
  <si>
    <t>8013215</t>
  </si>
  <si>
    <t>Zpracováno dne:</t>
  </si>
  <si>
    <t>26.11.2021</t>
  </si>
  <si>
    <t>Zpracoval:</t>
  </si>
  <si>
    <t>Tomáš Sýkora</t>
  </si>
  <si>
    <t>Č</t>
  </si>
  <si>
    <t>Kód</t>
  </si>
  <si>
    <t>Zkrácený popis</t>
  </si>
  <si>
    <t>MJ</t>
  </si>
  <si>
    <t>Množství</t>
  </si>
  <si>
    <t>Cena/MJ</t>
  </si>
  <si>
    <t>Náklady (Kč)</t>
  </si>
  <si>
    <t>Cenová</t>
  </si>
  <si>
    <t>ISWORK</t>
  </si>
  <si>
    <t>GROUPCODE</t>
  </si>
  <si>
    <t>VATTAX</t>
  </si>
  <si>
    <t xml:space="preserve"> </t>
  </si>
  <si>
    <t>Rozměry</t>
  </si>
  <si>
    <t>(Kč)</t>
  </si>
  <si>
    <t>Dodávka</t>
  </si>
  <si>
    <t>Montáž</t>
  </si>
  <si>
    <t>Celkem</t>
  </si>
  <si>
    <t>soustava</t>
  </si>
  <si>
    <t>Přesuny</t>
  </si>
  <si>
    <t>Typ skupiny</t>
  </si>
  <si>
    <t>HSV mat</t>
  </si>
  <si>
    <t>HSV prac</t>
  </si>
  <si>
    <t>PSV mat</t>
  </si>
  <si>
    <t>PSV prac</t>
  </si>
  <si>
    <t>Mont mat</t>
  </si>
  <si>
    <t>Mont prac</t>
  </si>
  <si>
    <t>Ostatní mat.</t>
  </si>
  <si>
    <t>MAT</t>
  </si>
  <si>
    <t>WORK</t>
  </si>
  <si>
    <t>CELK</t>
  </si>
  <si>
    <t/>
  </si>
  <si>
    <t>Stavební část</t>
  </si>
  <si>
    <t>M000VD</t>
  </si>
  <si>
    <t>Preambule</t>
  </si>
  <si>
    <t>D.1.1.</t>
  </si>
  <si>
    <t>1</t>
  </si>
  <si>
    <t>0001</t>
  </si>
  <si>
    <t>!!!UPOZORNĚNÍ k nacenění rozpočtu, čtěte popis této položky!!!</t>
  </si>
  <si>
    <t>2</t>
  </si>
  <si>
    <t>M000VD_</t>
  </si>
  <si>
    <t>D.1.1._9_</t>
  </si>
  <si>
    <t>D.1.1._</t>
  </si>
  <si>
    <t xml:space="preserve">Rozpočet je zpracován dle projektové dokumentace "Vestavba odborné učebny v podkroví ZŠ TGM Ivančice"
- technické zprávy
-výkresové dokumentace
</t>
  </si>
  <si>
    <t>M005VD</t>
  </si>
  <si>
    <t>Vedlejší náklady</t>
  </si>
  <si>
    <t>005121010R</t>
  </si>
  <si>
    <t>Vybudování zařízení staveniště</t>
  </si>
  <si>
    <t>Soubor</t>
  </si>
  <si>
    <t>vlastní</t>
  </si>
  <si>
    <t>M005VD_</t>
  </si>
  <si>
    <t>3</t>
  </si>
  <si>
    <t>005121020R</t>
  </si>
  <si>
    <t>Provoz zařízení staveniště</t>
  </si>
  <si>
    <t>4</t>
  </si>
  <si>
    <t>005121030R</t>
  </si>
  <si>
    <t>Odstranění zařízení staveniště</t>
  </si>
  <si>
    <t>5</t>
  </si>
  <si>
    <t>005122010R</t>
  </si>
  <si>
    <t>Provoz objednatele</t>
  </si>
  <si>
    <t>6</t>
  </si>
  <si>
    <t>005124010R</t>
  </si>
  <si>
    <t>Koordinační činnost</t>
  </si>
  <si>
    <t>7</t>
  </si>
  <si>
    <t>005124011R</t>
  </si>
  <si>
    <t>Výrobní dokumentace</t>
  </si>
  <si>
    <t>8</t>
  </si>
  <si>
    <t>005124012R</t>
  </si>
  <si>
    <t>Dokumentace skutečného provedení stavby</t>
  </si>
  <si>
    <t>9</t>
  </si>
  <si>
    <t>00512401RVD1</t>
  </si>
  <si>
    <t>Zvýšené zabezpečení proti zatečení do objektu</t>
  </si>
  <si>
    <t>31</t>
  </si>
  <si>
    <t>Zdi podpěrné a volné</t>
  </si>
  <si>
    <t>10</t>
  </si>
  <si>
    <t>311231129RT3</t>
  </si>
  <si>
    <t>Zdivo nosné cihelné z CP 29 P25 na MC 15</t>
  </si>
  <si>
    <t>m3</t>
  </si>
  <si>
    <t>RTS I / 2022</t>
  </si>
  <si>
    <t>31_</t>
  </si>
  <si>
    <t>D.1.1._3_</t>
  </si>
  <si>
    <t>tloušťka zdiva  45 cm</t>
  </si>
  <si>
    <t>6,25*0,45*0,45</t>
  </si>
  <si>
    <t>U02</t>
  </si>
  <si>
    <t>0,3*0,985*8,65</t>
  </si>
  <si>
    <t>U01</t>
  </si>
  <si>
    <t>RTS komentář:</t>
  </si>
  <si>
    <t>V položce jsou započteny i náklady na pomocné lešení o výšce podlahy do 1,90 m a pro zatížení do 1,5 kPa. Položka se používá i pro zdivo výplňové, obkladové, půdní, nadstřešní, poprsní, římsové apod</t>
  </si>
  <si>
    <t>11</t>
  </si>
  <si>
    <t>317234410RT2</t>
  </si>
  <si>
    <t>Vyzdívka cihlami pálenými na MC</t>
  </si>
  <si>
    <t xml:space="preserve">s použitím suché maltové směsi
zazdívka po vazných trámech</t>
  </si>
  <si>
    <t>0,3*0,3*0,25*9</t>
  </si>
  <si>
    <t>U03</t>
  </si>
  <si>
    <t>33</t>
  </si>
  <si>
    <t>Sloupy a pilíře, stožáry a rámové stojky</t>
  </si>
  <si>
    <t>12</t>
  </si>
  <si>
    <t>330311711R00</t>
  </si>
  <si>
    <t>Beton sloupů a pilířů prostý C 16/20</t>
  </si>
  <si>
    <t>33_</t>
  </si>
  <si>
    <t>0,3*0,3*0,57*22</t>
  </si>
  <si>
    <t>U04 - obetonávka kolem stropnic</t>
  </si>
  <si>
    <t>Položka obsahuje náklady na dodávku a uložení betonu do připravené konstrukce. Bednění se oceňuje samostatně. V položce jsou započteny i náklady na pomocné lešení o výšce podlahy do 1,90 m a pro zatížení do 1,5 kPa</t>
  </si>
  <si>
    <t>34</t>
  </si>
  <si>
    <t>Stěny a příčky</t>
  </si>
  <si>
    <t>13</t>
  </si>
  <si>
    <t>341351101R00</t>
  </si>
  <si>
    <t>Bednění stěn nosných jednostranné - zřízení</t>
  </si>
  <si>
    <t>m2</t>
  </si>
  <si>
    <t>34_</t>
  </si>
  <si>
    <t>0,5*0,65*22</t>
  </si>
  <si>
    <t>U04 - obetonování záv. tyčí</t>
  </si>
  <si>
    <t>14</t>
  </si>
  <si>
    <t>341351102R00</t>
  </si>
  <si>
    <t>Bednění stěn nosných jednostranné - odstranění</t>
  </si>
  <si>
    <t>15</t>
  </si>
  <si>
    <t>340100012RAB</t>
  </si>
  <si>
    <t>Zazdívka otvorů v příčkách plochy do 4 m2</t>
  </si>
  <si>
    <t>příčka tloušťky 15 cm</t>
  </si>
  <si>
    <t>0,85*2,0*1</t>
  </si>
  <si>
    <t>U05 - zazdění dveří</t>
  </si>
  <si>
    <t>16</t>
  </si>
  <si>
    <t>342265112RT6</t>
  </si>
  <si>
    <t>Úprava podkroví sádrokarton. na ocel. rošt, svislá</t>
  </si>
  <si>
    <t>desky protipožární tl. 12,5 mm, bez izolace</t>
  </si>
  <si>
    <t>0,37*(17,87+8,65+13,1+2,49+4,85)</t>
  </si>
  <si>
    <t>0,4*(1,14*8+0,942*1+0,942*7)</t>
  </si>
  <si>
    <t>parapet oken</t>
  </si>
  <si>
    <t>0,4*(3,33*8*2+1,89*1*2+1,48*7*2)</t>
  </si>
  <si>
    <t>ostění oken</t>
  </si>
  <si>
    <t>Položka je určena pro úpravu podkroví sádrokartonem na plochách svislých, na ocelový rošt, bez tepelné izolace, s parotěsnou zábranou, z desek tl. 12,5 mm. V položce jsou zakalkulovány náklady na zřízení nosné konstrukce, dodávku a montáž desek tl. 12,5 mm, včetně úpravy spár a rohů. V položce nejsou zakalkulovány náklady na stojiny a na bednění přidržující izolaci ze zadní strany. V položce není zakalkulována povrchová úprava ploch. V položce není zakalkulována dodávka ani montáž tepelné izolace. Tyto práce se oceňují dle sborníku 800 - 713 Izolace tepelné. Při použití desek jiné tloušťky než 12,5 mm, při zřízení otvorů v plochách svislých, šikmých i vodorovných a při provádění ploch jednotlivě do 10 m2 se použijí položky souboru 34226 - 5.9. Příplatky k úpravám podkroví části A 01 tohoto sborníku. V položce není zakalkulováno pomocné lešení</t>
  </si>
  <si>
    <t>17</t>
  </si>
  <si>
    <t>342265122RT7</t>
  </si>
  <si>
    <t>Úprava podkroví sádrokarton. na ocel. rošt, šikmá</t>
  </si>
  <si>
    <t>desky standard impreg. tl. 12,5 mm, bez izolace</t>
  </si>
  <si>
    <t>4,03*(13,725+12,07+4,85+8,65)</t>
  </si>
  <si>
    <t>-(3,62*1,14*8+1,77*0,942*7+0,942*2,18*1)</t>
  </si>
  <si>
    <t>odečet oken</t>
  </si>
  <si>
    <t>Položka je určena pro úpravu podkroví sádrokartonem na plochách šikmých, na ocelový rošt, bez tepelné izolace, s parotěsnou zábranou, z desek tl. 12,5 mm. V položce jsou zakalkulovány náklady na zřízení nosné konstrukce, dodávku a montáž desek tl. 12,5 mm, včetně úpravy spár a rohů. V položce není zakalkulována povrchová úprava ploch. V položce není zakalkulována dodávka ani montáž tepelné izolace. Tyto práce se oceňují dle sborníku 800 - 713 Izolace tepelné. Při použití desek jiné tloušťky než 12,5 mm, při zřízení otvorů v plochách svislých, šikmých i vodorovných a při provádění ploch jednotlivě do 10 m2 se použijí položky souboru 34226 - 5.9. Příplatky k úpravám podkroví části A 01 tohoto sborníku. V položce není zakalkulováno pomocné lešení</t>
  </si>
  <si>
    <t>18</t>
  </si>
  <si>
    <t>342265132RT6</t>
  </si>
  <si>
    <t>Úprava podkroví sádrokarton. na ocel. rošt vodor.</t>
  </si>
  <si>
    <t>(0,2+0,105+0,3+1,085)*2*12,8</t>
  </si>
  <si>
    <t>0,44*(1,14*8+0,942*1+0,942*7)</t>
  </si>
  <si>
    <t>nadpraží oken</t>
  </si>
  <si>
    <t>11,25+3,87*0,87</t>
  </si>
  <si>
    <t>U11 - SDK podhled dle potřeby stavby</t>
  </si>
  <si>
    <t>Položka je určena pro úpravu podkroví sádrokartonem na plochách vodorovných, na ocelový rošt, bez tepelné izolace, s parotěsnou zábranou, z desek tl. 12,5 mm. V položce jsou zakalkulovány náklady na zřízení nosné konstrukce, dodávku a montáž desek tl. 12,5 mm, včetně úpravy spár a rohů. V položce není zakalkulována povrchová úprava ploch. V položce není zakalkulována dodávka ani montáž tepelné izolace. Tyto práce se oceňují dle sborníku 800 - 713 Izolace tepelné. Při použití desek jiné tloušťky než 12,5 mm, při zřízení otvorů v plochách svislých, šikmých i vodorovných a při provádění ploch jednotlivě do 10 m2 se použijí položky souboru 34226 - 5.9. Příplatky k úpravám podkroví části A 01 tohoto sborníku. V položce není zakalkulováno pomocné lešení</t>
  </si>
  <si>
    <t>19</t>
  </si>
  <si>
    <t>342265991R00</t>
  </si>
  <si>
    <t>Příplatek k úpravě podkroví za tloušťku desek 15mm</t>
  </si>
  <si>
    <t>55,1496</t>
  </si>
  <si>
    <t>111,61951</t>
  </si>
  <si>
    <t>65,20954</t>
  </si>
  <si>
    <t>Příplatek je určen k položkám úpravy podkroví na plochách svislých, šikmých i vodorovných sádrokartonových na dřevěnou i ocelovou konstrukci. V položce je zakalkulován rozdíl v ceně desek tl. 12,5 a 15 mm</t>
  </si>
  <si>
    <t>20</t>
  </si>
  <si>
    <t>342265193VD1</t>
  </si>
  <si>
    <t>Příplatek za otvor v podhledu podkroví pl. 2,00 m2</t>
  </si>
  <si>
    <t>kus</t>
  </si>
  <si>
    <t>8+8+7+1</t>
  </si>
  <si>
    <t>Příplatek je určen k položkám úprav podkroví na plochách šikmých a vodorovných sádrokartonových na dřevěnou i ocelovou konstrukci. V položce je zakalkulován podíl pracnosti při provádění otvorů plochy do 2,00 m2</t>
  </si>
  <si>
    <t>21</t>
  </si>
  <si>
    <t>347014111R00</t>
  </si>
  <si>
    <t>Předstěna SDK, tl.55 mm,1 x ocel. kce CD, 1 x RB 12,5 mm, bez izolace + latě 30×50</t>
  </si>
  <si>
    <t>Pod okny bude v místech radiatorů budou vloženy svislé CD profily s vloženou výdřevou latí 30×50 mm pro kotvení pro radiátory</t>
  </si>
  <si>
    <t>0,5*(17,71+8,05+13,27+2,64+4,52)</t>
  </si>
  <si>
    <t>R02/SK předstěna šikminy</t>
  </si>
  <si>
    <t>(0,7+0,97)*2,8</t>
  </si>
  <si>
    <t>R02/SK předstěna kole sloupku 4.01</t>
  </si>
  <si>
    <t>Předsazené stěny Rigips, spřažené, systém OK11 odpovídá W623, jednoduchá ocelová konstrukce z profilů CD a UD, 1x opláštěná, tl. 55 mm, bez minerální izolace, desky standard RB (A) tl. 12,5 mm. Požární odolnost EI 15. 3.21.00</t>
  </si>
  <si>
    <t>22</t>
  </si>
  <si>
    <t>342013324RT3</t>
  </si>
  <si>
    <t>Příčka SDKtl.150 mm,ocel.kce,2x oplášť.,RFI 12,5mm</t>
  </si>
  <si>
    <t>izolace tloušťky 100 mm, EI 90</t>
  </si>
  <si>
    <t>18,32*2</t>
  </si>
  <si>
    <t>R01/SK - mezi chodbou a učebnou, 4.03 a 4.04</t>
  </si>
  <si>
    <t>2,27*3,18</t>
  </si>
  <si>
    <t>R01/SK  - 4.02 a 4.05</t>
  </si>
  <si>
    <t>3,4*2,5+0,68*2,8+1,43*2,8</t>
  </si>
  <si>
    <t>R01/SK  - 4.01 a 4.05</t>
  </si>
  <si>
    <t>-(0,85*2,0*3+0,95*2,0*1)</t>
  </si>
  <si>
    <t>odečet dveří</t>
  </si>
  <si>
    <t>Příčka sádrokartonová Rigips, systém SK14 odpovídá W112, jednoduchá ocelová konstrukce, 2x opláštěná, tl. 150 mm, s minerální izolací tl. 100 mm, desky protipožární impregnované RFI (DFH2)  tl. 12,5 mm. Požární odolnost EI 90. Maximální výška stěny 6300 mm.  3.40.06</t>
  </si>
  <si>
    <t>23</t>
  </si>
  <si>
    <t>342263310R00</t>
  </si>
  <si>
    <t>Úprava sádrokartonové příčky pro osazení umývadla</t>
  </si>
  <si>
    <t>24</t>
  </si>
  <si>
    <t>342090212R00</t>
  </si>
  <si>
    <t>Otvor v SDK, pro dveře 1kř do 50 kg, UA 50, 2xopl.</t>
  </si>
  <si>
    <t>V položce se jedná o otvory do š. 1000 mm</t>
  </si>
  <si>
    <t>Položka je určena pro vytvoření stavebního otvoru pro jednokřídlé dveře šířky do 1000 mm, hmotnosti do 50 kg, v sádrokaronové příčce výšky do 3000 mm, s vyztužením konstrukce ze svislých a vodorovných UA profilů.  Položka neobsahuje montáž zárubně, oceňuje se položkami č. 642 94-221..R00</t>
  </si>
  <si>
    <t>25</t>
  </si>
  <si>
    <t>347013111RZ1</t>
  </si>
  <si>
    <t>Předstěna SDK,tl.55mm,1xoc.kce CD,1xRB 12,5mm,izol</t>
  </si>
  <si>
    <t>bez dodávky izolace</t>
  </si>
  <si>
    <t>3,09</t>
  </si>
  <si>
    <t>U12 - 4.03</t>
  </si>
  <si>
    <t>Předsazené stěny, spřažené, systém OK11 odpovídá W623, jednoduchá ocelová konstrukce z profilů CD a UD, 1x opláštěná, tl. 55 mm, bez izolace, desky standard RB (A) tl. 12,5 mm.</t>
  </si>
  <si>
    <t>26</t>
  </si>
  <si>
    <t>342263990RV1</t>
  </si>
  <si>
    <t>Příplatek k příčce sádrokart. za desku tl. 12,5 mm</t>
  </si>
  <si>
    <t>GKBi na jedné straně příčky</t>
  </si>
  <si>
    <t>Příplatky lze použít k položkám sádrokartonových příček v provedení s deskou standardní GKB tl. 12,5 mm</t>
  </si>
  <si>
    <t>27</t>
  </si>
  <si>
    <t>342091041R00</t>
  </si>
  <si>
    <t>Sleva za nestandardní povrchovou úpravu Q1</t>
  </si>
  <si>
    <t>1,2*1,5</t>
  </si>
  <si>
    <t>obklad</t>
  </si>
  <si>
    <t xml:space="preserve">Q1 - Základní tmelení - zaplnění spár sádrokartonových desek a překrytí viditelných částí upevňovaných předmětů. Broušení, stejně jako nanášení tmelu mimo bezprostřední okolí spáry, se neprovádí  </t>
  </si>
  <si>
    <t>28</t>
  </si>
  <si>
    <t>342091131R00</t>
  </si>
  <si>
    <t>Příplatek za rozteč 300 mm u profilů R-CW 50</t>
  </si>
  <si>
    <t>0,6*(1,14*8+0,9*8)</t>
  </si>
  <si>
    <t>osazení radiátorů</t>
  </si>
  <si>
    <t>Příplatek pro vyšší konstrukční výšky sádrokartonových příček jednoduše opláštěných pro výšky: - od 3800-4300 mm v kategorii A (obytné plochy a plochy pro domácí činnosti)  - od 3400-3850 mm v kategorii B,C1-C4,D (kancelářské plochy, plochy kde může docházet ke shromažďování lidí a obchodní plochy) dvojitě opláštěných  pro výšky: - od 5500-6100 mm v kategorii A (obytné plochy a plochy pro domácí činnosti)  - od 4800-5000 mm v kategorii B,C1-C4,D (kancelářské plochy, plochy kde může docházet ke shromažďování lidí a obchodní plochy) Použitím položky se změní (sníží) požární odolnost sádrokartonových příček, s nimiž je zkombinována</t>
  </si>
  <si>
    <t>41</t>
  </si>
  <si>
    <t>Stropy a stropní konstrukce (pro pozemní stavby)</t>
  </si>
  <si>
    <t>29</t>
  </si>
  <si>
    <t>413941125R00</t>
  </si>
  <si>
    <t>Osazení válcovaných nosníků ve stropech č.24 a výš</t>
  </si>
  <si>
    <t>t</t>
  </si>
  <si>
    <t>41_</t>
  </si>
  <si>
    <t>D.1.1._4_</t>
  </si>
  <si>
    <t>9,25*7*93/1000</t>
  </si>
  <si>
    <t>OK01 - HEB260</t>
  </si>
  <si>
    <t>9,25*2*36,2/1000</t>
  </si>
  <si>
    <t>OK02 - I240</t>
  </si>
  <si>
    <t>11,9*2*36,2/1000</t>
  </si>
  <si>
    <t>OK03 - I240</t>
  </si>
  <si>
    <t xml:space="preserve"> V položkách není zakalkulována dodávka ocelových válcovaných nosníků. Tato dodávka se oceňuje ve specifikaci, ztratné se doporučuje ve výši 8% a kryje náklady na prořez (zbytkový odpad) a náklady na řezání příslušných délek</t>
  </si>
  <si>
    <t>30</t>
  </si>
  <si>
    <t>13487130</t>
  </si>
  <si>
    <t>Tyč průřezu HEB 260, hrubé, jakost oceli S235</t>
  </si>
  <si>
    <t>;ztratné 8%; 0,48174</t>
  </si>
  <si>
    <t>hmotnost 93 kg/m  Profilová ocel válcovaná za tepla neušlechtilá  TYČ TVAROVÁ HEB DIN 1025-2, zn. S235JRG2 dle EN 10025+A1(11375</t>
  </si>
  <si>
    <t>13480925</t>
  </si>
  <si>
    <t>Tyč průřezu I 240, hrubé, jakost oceli S235</t>
  </si>
  <si>
    <t>;ztratné 8%; 0,1225008</t>
  </si>
  <si>
    <t>hmotnost 36,20 kg/m  profilová ocel neušlechtilá válcovaná za tepla ČSN 420135, ČSN 425550, DIN 1025  TYČ TVAROVÁ I VÁLC. ZA TEPLA ČSN 42 5550, ČSN 42 0135, zn. 11 375.0</t>
  </si>
  <si>
    <t>32</t>
  </si>
  <si>
    <t>411320140RAA</t>
  </si>
  <si>
    <t>Strop ŽB z betonu C20/25, tl. 10 cm, ztrac.bednění</t>
  </si>
  <si>
    <t xml:space="preserve">ocelový pozinkovaný plech, výztuž 90 kg/m3
</t>
  </si>
  <si>
    <t>8,65*13,1+2,45+11,3</t>
  </si>
  <si>
    <t>S102 - stropní deska</t>
  </si>
  <si>
    <t>Poznámka:</t>
  </si>
  <si>
    <t xml:space="preserve">Na podlahové nosníky budou uloženy trapézové plechy výšky 40 mm typu
TR40S/160/0,63. V každé druhé spodní vlně budou plechy přišroubovány do horní pásnice
nosníků samovrtným šroubem TEX 6,3 mm. Do trapézových plechů bude vybetonována
deska z betonu třídy C20/25 celkové tloušťky 100 mm, tedy do výšky 60 mm nad vlny
plechů. Do každé spodní vlny trapézových pechů vložíme výztuž _x0001_R8 s krytím 15 mm.
Při horním líci desky budou položeny svařované sítě z drátů _x0001_6 a oky 100/100 mm. Krytí sítí
od horního líce desky bude 20 mm.</t>
  </si>
  <si>
    <t>44</t>
  </si>
  <si>
    <t>Zastřešení</t>
  </si>
  <si>
    <t>44035123VD1</t>
  </si>
  <si>
    <t>Provedení sondy</t>
  </si>
  <si>
    <t>ks</t>
  </si>
  <si>
    <t>44_</t>
  </si>
  <si>
    <t>Otevření konstrukce střešní římsy z interiéru</t>
  </si>
  <si>
    <t>U04</t>
  </si>
  <si>
    <t xml:space="preserve">Pro bourací práce je nutné římsu fixovat!!! Před započetím bouracích prací budou provedeny 2 sondy na protilehlých fasádách s cílem zjistit skutečný rozsah a zapuštění střešní římsy! </t>
  </si>
  <si>
    <t>45</t>
  </si>
  <si>
    <t>Podkladní a vedlejší konstrukce (kromě vozovek a železničního svršku)</t>
  </si>
  <si>
    <t>451311811VD1</t>
  </si>
  <si>
    <t>Podklad pod stropní nosníky z betonu C 25/30 XA1,do 10 cm</t>
  </si>
  <si>
    <t>45_</t>
  </si>
  <si>
    <t>0,3*0,3*22</t>
  </si>
  <si>
    <t>X10</t>
  </si>
  <si>
    <t>0,45*0,3*4</t>
  </si>
  <si>
    <t>podkladní beton tl. 50 mm a po zatvrdnutí bude položen roznášecí plech 300×300×20 mm.</t>
  </si>
  <si>
    <t>60</t>
  </si>
  <si>
    <t>Omítky ze suchých směsí</t>
  </si>
  <si>
    <t>35</t>
  </si>
  <si>
    <t>602011141VD1</t>
  </si>
  <si>
    <t>Systémová vnitřní stěrka hlazená, ručně 2vrstvy</t>
  </si>
  <si>
    <t>60_</t>
  </si>
  <si>
    <t>D.1.1._6_</t>
  </si>
  <si>
    <t>bez materiálu</t>
  </si>
  <si>
    <t>1,7*2</t>
  </si>
  <si>
    <t>viz U05 - zazdívka otvoru</t>
  </si>
  <si>
    <t>3,5*2+6,2*3,0</t>
  </si>
  <si>
    <t>zdivo v podkroví</t>
  </si>
  <si>
    <t>Omítka ze suché směsi, vhodná pro vnitřní použití. Položka je kalkulována jako jedna z vrstev omítkové skladby. Položky za jednotlivé požadované vrstvy se sčítají.  V položce nejsou zakalkulovány náklady na pomocné lešení,  náklady na použití rohových lišt a armovací skelné tkaniny.</t>
  </si>
  <si>
    <t>36</t>
  </si>
  <si>
    <t>585941592</t>
  </si>
  <si>
    <t>Systémová hlazená vnitřní omítka</t>
  </si>
  <si>
    <t>kg</t>
  </si>
  <si>
    <t>3,4*1,5*3</t>
  </si>
  <si>
    <t>(tl. 3 mm)</t>
  </si>
  <si>
    <t>;ztratné 5%; 2,045</t>
  </si>
  <si>
    <t>spotřeba suché směsi: 1,5 kg/m2/tl. 1 mm</t>
  </si>
  <si>
    <t>61</t>
  </si>
  <si>
    <t>Úprava povrchů vnitřní</t>
  </si>
  <si>
    <t>37</t>
  </si>
  <si>
    <t>612481211RU1</t>
  </si>
  <si>
    <t>Montáž výztužné sítě(perlinky)do stěrky-vnit.stěny</t>
  </si>
  <si>
    <t>61_</t>
  </si>
  <si>
    <t>včetně výztužné sítě a stěrkového tmelu Terranova</t>
  </si>
  <si>
    <t>0,85*2,0*1*2</t>
  </si>
  <si>
    <t>Položka obsahuje natažení stěrkového tmelu, vtlačení výztužné sítě a rozetření tmelu.</t>
  </si>
  <si>
    <t>63</t>
  </si>
  <si>
    <t>Podlahy a podlahové konstrukce</t>
  </si>
  <si>
    <t>38</t>
  </si>
  <si>
    <t>631571010R00</t>
  </si>
  <si>
    <t>Zřízení násypu, podlahy nebo střechy, bez dodávky</t>
  </si>
  <si>
    <t>63_</t>
  </si>
  <si>
    <t>12,744</t>
  </si>
  <si>
    <t>4.01,4.02 - S103</t>
  </si>
  <si>
    <t>Položka je určena pro zřízení násypu pod podlahy, mazaniny a dlažby, popř. na plochých střechách, vodorovný nebo ve spádu, s udusáním a urovnáním povrchu. Dodávka násypového materiálu se oceňuje ve specifikaci, na sednutí násypového materiálu se doporučuje koeficient 1,1.</t>
  </si>
  <si>
    <t>39</t>
  </si>
  <si>
    <t>58761600T01</t>
  </si>
  <si>
    <t>Lehký vyrovnávací podsyp 2-4 mm</t>
  </si>
  <si>
    <t>12,744*27</t>
  </si>
  <si>
    <t>tl. max 60 mm - S103</t>
  </si>
  <si>
    <t>;ztratné 10%; 34,4088</t>
  </si>
  <si>
    <t>78011  K vyrovnání výšek u nerovných podlah před položením podlahových dílců násyp zrnitost 2 - 4 mm objemová hmotnost 450 kg/m3 třída reakce na oheň A1  balení: 50 l = 22,5 kg</t>
  </si>
  <si>
    <t>40</t>
  </si>
  <si>
    <t>635110051R00T1</t>
  </si>
  <si>
    <t>Montáž suchých podlah z dílců</t>
  </si>
  <si>
    <t>(2,32*2,7+2,4*2,7)*2</t>
  </si>
  <si>
    <t>4.01,4.02 - S103 (2 vrstvy desek)</t>
  </si>
  <si>
    <t>Umístění okrajových pásků, úprava dílců na potřebný rozměr, položení jedné vrstvy podlahového dílce do násypu na sraz</t>
  </si>
  <si>
    <t>59592040</t>
  </si>
  <si>
    <t>E 20 dílec podlahový sádrovláknitý 45321</t>
  </si>
  <si>
    <t>;ztratné 5%; 0,6372</t>
  </si>
  <si>
    <t>Suché podlahy Rigips jsou plovoucí podlahy vytvořené dvěma vzájemně slepenými speciálními deskami. V případě podlahových dílců jsou sádrovláknité desky k sobě slepeny již z výroby; při použití sádrokartonové podlahy se k sobě dvě desky vzájemně lepí při montáži. Takto vzniklá tuhá deska je oddělena od podkladní konstrukce pružnou mezivrstvou z minerálních vláken, polystyrenu nebo suchého podsypu a od obvodových stěn izolačním okrajovým páskem. Hotová podlaha má potom s ohledem na izolační mezivrstvu vyšší parametry kročejové neprůzvučnosti a tepelného odporu.</t>
  </si>
  <si>
    <t>42</t>
  </si>
  <si>
    <t>595920201</t>
  </si>
  <si>
    <t>Deska sádrovláknitá - lep. spára -  10/2500</t>
  </si>
  <si>
    <t>Univerzálně použitelná jako stavební, protipožární i impregnovaná</t>
  </si>
  <si>
    <t>43</t>
  </si>
  <si>
    <t>632421115RV2</t>
  </si>
  <si>
    <t>Potěr ,ručně zpracovaný,tl. 5 mm</t>
  </si>
  <si>
    <t>samoniv., pevnost 35 MPa, s vlákny</t>
  </si>
  <si>
    <t>137,8266</t>
  </si>
  <si>
    <t>4.01-4.05 - S102,S104</t>
  </si>
  <si>
    <t>Položka obsahuje jednonásobnou penetraci podkladu, rozmíchání suché směsi s vodou a rozprostření směsi.</t>
  </si>
  <si>
    <t>632421170RU1</t>
  </si>
  <si>
    <t>Potěr,ručně zpracovaný,tl.60 mm</t>
  </si>
  <si>
    <t xml:space="preserve">systém  balkonový
cementový potěr vyztužený vláknem
- pro spádové vrstvy
pochůznost min. po 1 dni
v místnosti 4.05 proveden ve spádu</t>
  </si>
  <si>
    <t>4.01-4.05</t>
  </si>
  <si>
    <t>Podlahová hmota k provádění vyrovnávacích a spádových vrstev ( vnějších i vnitřních ).  Položka obsahuje jednonásobnou penetraci podkladu, rozmíchání suché směsi s vodou a rozprostření směsi.</t>
  </si>
  <si>
    <t>64</t>
  </si>
  <si>
    <t>Výplně otvorů</t>
  </si>
  <si>
    <t>642942214R00</t>
  </si>
  <si>
    <t>Osazení zárubně do sádrokarton. příčky tl. 150 mm</t>
  </si>
  <si>
    <t>64_</t>
  </si>
  <si>
    <t>Položka je určena pro osazení zárubně do sádrokartonové příčky. V položce není zakalkulována: - dodávka zárubní, která se oceňuje ve specifikaci. - montáž a demontáž pomocného lešení. - dodávka a montáž vyztužení otvoru profily pro osazení zárubně, oceňuje se položkami 342 09-0...R00 Otvor v SDK, pro dveře</t>
  </si>
  <si>
    <t>46</t>
  </si>
  <si>
    <t>55330477</t>
  </si>
  <si>
    <t>Zárubeň ocelová S150   900x1970x150 L</t>
  </si>
  <si>
    <t>Z01</t>
  </si>
  <si>
    <t>typ S - zárubeň hranatá sádrokarton</t>
  </si>
  <si>
    <t>47</t>
  </si>
  <si>
    <t>55330475</t>
  </si>
  <si>
    <t>Zárubeň ocelová S150   800x1970x150 L</t>
  </si>
  <si>
    <t>Z02</t>
  </si>
  <si>
    <t>48</t>
  </si>
  <si>
    <t>55330476</t>
  </si>
  <si>
    <t>Zárubeň ocelová S150   800x1970x150 P</t>
  </si>
  <si>
    <t>Z03</t>
  </si>
  <si>
    <t>49</t>
  </si>
  <si>
    <t>998011003R00</t>
  </si>
  <si>
    <t>Přesun hmot pro budovy zděné výšky do 24 m</t>
  </si>
  <si>
    <t>713</t>
  </si>
  <si>
    <t>Izolace tepelné</t>
  </si>
  <si>
    <t>50</t>
  </si>
  <si>
    <t>713101122R00</t>
  </si>
  <si>
    <t>Odstr.tep.izol. stropů,volně,minerál tl.100-200 mm</t>
  </si>
  <si>
    <t>713_</t>
  </si>
  <si>
    <t>D.1.1._71_</t>
  </si>
  <si>
    <t>154,142</t>
  </si>
  <si>
    <t>X04,X05 - S01,S02</t>
  </si>
  <si>
    <t>51</t>
  </si>
  <si>
    <t>713121118RU1</t>
  </si>
  <si>
    <t>Montáž dilatačního pásku podél stěn</t>
  </si>
  <si>
    <t>m</t>
  </si>
  <si>
    <t>včetně dodávky N/PP 15x100x1000 mm</t>
  </si>
  <si>
    <t>15,55+8,65+13,1+2,65+2,45+11,3</t>
  </si>
  <si>
    <t>kolem stropní desky S102</t>
  </si>
  <si>
    <t>2,7+2,40*2+2,32*2+2,7</t>
  </si>
  <si>
    <t>kolem skladby S103</t>
  </si>
  <si>
    <t>11,34+12,44+37,54+23,02+12,2</t>
  </si>
  <si>
    <t>Podlaha 4.01-4.05</t>
  </si>
  <si>
    <t>52</t>
  </si>
  <si>
    <t>713191100R00</t>
  </si>
  <si>
    <t>Položení separační fólie</t>
  </si>
  <si>
    <t>2,32*2,7+2,4*2,7</t>
  </si>
  <si>
    <t>V položce nejsou zakalkulovány náklady na dodávku folie.</t>
  </si>
  <si>
    <t>53</t>
  </si>
  <si>
    <t>69366199</t>
  </si>
  <si>
    <t>Geotextilie  500 g/m2 š. 200cm 100% PP</t>
  </si>
  <si>
    <t>;ztratné 20%; 2,5488</t>
  </si>
  <si>
    <t>Netkaná geotextilie zpevněná vpichováním ze 100% z polypropylenu se separační, ochranou, filtrační a zpevňovací funkcí.  Použití v pozemním stavitelství při výstavbě střech, zakládání staveb a výstavbě drenáží, v silničním a železničním stavitelství při výstavbě silničních a železničních násypů, zajišťování svahů, při výstavbě tunelů a drenážních systémů, ve vodním stavitelství při výstavbě nádrží, kanálů a rybníků, pro zajišťování hrází a břehů, při výstavbě ekologických staveb a skládek TKO.  Základní vlastnosti textilie FILTEK: odolává plísním, bakteriím a běžným chemikáliím, nemá negativní vliv na kvalitu pitné vody.</t>
  </si>
  <si>
    <t>54</t>
  </si>
  <si>
    <t>713121111RT1</t>
  </si>
  <si>
    <t>Izolace tepelná podlah na sucho, jednovrstvá</t>
  </si>
  <si>
    <t>materiál ve specifikaci</t>
  </si>
  <si>
    <t>2,45*3,22</t>
  </si>
  <si>
    <t>4.01 - S102</t>
  </si>
  <si>
    <t>3,95*2,27</t>
  </si>
  <si>
    <t>4.02 - S102</t>
  </si>
  <si>
    <t>10,12*8,65</t>
  </si>
  <si>
    <t>4.03 - S102</t>
  </si>
  <si>
    <t>2,86*8,65</t>
  </si>
  <si>
    <t>4.04 - S102</t>
  </si>
  <si>
    <t>2,27*3,83</t>
  </si>
  <si>
    <t>4.05 - S104</t>
  </si>
  <si>
    <t>V položce není zakalkulována dodávka izolačního materiálu. Tato dodávka se oceňuje ve specifikaci. Při stanovení množství tepelné izolace se z celkového množství neodečítají otvory nebo neizolované plochy menší než 2 m2.</t>
  </si>
  <si>
    <t>55</t>
  </si>
  <si>
    <t>631514491</t>
  </si>
  <si>
    <t>Deska z minerální plsti  T-P tl. 20 mm</t>
  </si>
  <si>
    <t>;ztratné 5%; 0,39445</t>
  </si>
  <si>
    <t>Izolační desky vyrobené z minerální plsti Isover. Výroba je založena na metodě rozvlákňování taveniny směsi hornin a dalších příměsí a přísad. Vlákna jsou po celém povrchu hydrofobizována. Desky je nutné v konstrukci chránit vhodným způsobem (parotěsná fólie, vrstvy konstrukce podlahy atp.).  Přesně řezané desky do lehkých a těžkých plovoucích podlah v kombinaci s N/PP podlahovými pásky. Vysoké nároky jsou kladeny na podklad suchých plovoucích podlah, na který se kladou vrstvy přesně řezaných desek. V případě lehké i těžké plovoucí podlahy je limitní hodnota zatížení 5 kN/m2, tj. 500 kg/m2.  Součinitel tepelné vodivosti 0,039 W/mK Rozměry 1200 x 600 m</t>
  </si>
  <si>
    <t>56</t>
  </si>
  <si>
    <t>63151450</t>
  </si>
  <si>
    <t>Deska z minerální plsti T-P tl. 40 mm</t>
  </si>
  <si>
    <t>137,8266-7,889</t>
  </si>
  <si>
    <t>4.02-4.05</t>
  </si>
  <si>
    <t>;ztratné 5%; 6,49688</t>
  </si>
  <si>
    <t>Izolační desky vyrobené z minerální plsti Isover. Výroba je založena na metodě rozvlákňování taveniny směsi hornin a dalších příměsí a přísad. Vlákna jsou po celém povrchu hydrofobizována. Desky je nutné v konstrukci chránit vhodným způsobem (parotěsná fólie, vrstvy konstrukce podlahy atp.).  Přesně řezané desky do lehkých a těžkých plovoucích podlah v kombinaci s  N/PP podlahovými pásky. Vysoké nároky jsou kladeny na podklad suchých plovoucích podlah, na který se kladou vrstvy přesně řezaných desek. V případě lehké i těžké plovoucí podlahy je limitní hodnota zatížení 5 kN/m2, tj. 500 kg/m2.  Součinitel tepelné vodivosti 0,039 W/mK Rozměry 1200 x 600 m</t>
  </si>
  <si>
    <t>57</t>
  </si>
  <si>
    <t>713120080RA0</t>
  </si>
  <si>
    <t>Separační fólie PE</t>
  </si>
  <si>
    <t>S102,S103 - viz plocha TI</t>
  </si>
  <si>
    <t>58</t>
  </si>
  <si>
    <t>59</t>
  </si>
  <si>
    <t>28375706</t>
  </si>
  <si>
    <t>Deska izolační stabilizov. EPS 200  1000 x 500 mm</t>
  </si>
  <si>
    <t>12,744*0,07</t>
  </si>
  <si>
    <t>;ztratné 5%; 0,044604</t>
  </si>
  <si>
    <t>Isover EPS 200 jsou tepelněizolační desky ze stabilizovaného pěnového polystyrenu pro všeobecné použití v konstrukcích se zvýšenými požadavky na zatížení tlakem. Typické použití pro podlahové, stěnové a střešní aplikace se zatížením maximálně 3600 kg/m2 při stlačení max 2%.  Dodávají se v základních rozměrech 1000 x 500 mm v tloušťkách 20-300 mm, pro střešní aplikace pak v rozměrech 2500 x 1000 mm. Veškeré izolace Isover EPS jsou zdravotně nezávadné, trvale odolávají vlhkosti, lehce se zpracovávají a dodávají se výhradně v samozhášivém provedení se zvýšenou požární bezpečností.  Deklarovaný součinitel tepelné vodivosti:  0,034 W/mK Pevnost (napětí) v tlaku při 10% lin. def. CS(10): 200 kP</t>
  </si>
  <si>
    <t>713111130RT1</t>
  </si>
  <si>
    <t>Izolace tepelné stropů, vložené mezi krokve</t>
  </si>
  <si>
    <t>1 vrstva - materiál ve specifikaci</t>
  </si>
  <si>
    <t>6,8*0,575*19+6,8*0,285*2+6,8*0,685*1+6,8*0,575*7*0,5+1,9*0,575*0,5</t>
  </si>
  <si>
    <t>S101 - jižní fasáda</t>
  </si>
  <si>
    <t>6,8*0,575*14*0,5+3,7*0,575*6+4,55*0,575*4*0,5</t>
  </si>
  <si>
    <t>S101 - západní fasáda</t>
  </si>
  <si>
    <t>6,8*0,575*7*0,5+6,8*0,575*13+6,8*0,275*1+5,36*0,575*4*0,5+2,70*0,685*1*0,5+1,61*0,285*1*0,5</t>
  </si>
  <si>
    <t>S101 - severní fasáda</t>
  </si>
  <si>
    <t>0,925*0,575*8+6,5*0,575*1+6,0*0,575*8*0,5+6,5*0,575*7*0,5</t>
  </si>
  <si>
    <t>-(1,14*1,6*8+1,14*1,18*8+0,94*1,18*7+0,94*1,6*1)</t>
  </si>
  <si>
    <t>2,86*0,06*8+1,18*0,06*7+1,6*0,06*1</t>
  </si>
  <si>
    <t>přípočet krokví k oknům</t>
  </si>
  <si>
    <t>607153010</t>
  </si>
  <si>
    <t>Deska dřevovláknitá Flex 036 1220x575x200mm</t>
  </si>
  <si>
    <t>218,34208</t>
  </si>
  <si>
    <t>S101 - mezikrokevní TI</t>
  </si>
  <si>
    <t>;ztratné 2%; 4,3668416</t>
  </si>
  <si>
    <t>Elastická dřevovláknitá tepelná izolace k izolaci prostor mezi konstrukčními prvky střech, stěn a stropů  Objemová hmotnost 60 kg/m3 Součinitel tepelné vodivosti 0,036 W/m</t>
  </si>
  <si>
    <t>62</t>
  </si>
  <si>
    <t>713161701RT01</t>
  </si>
  <si>
    <t>Položení nadkrokevní izolace z desek, včetně kotvení</t>
  </si>
  <si>
    <t>kotvící materiál je součástí dodávky</t>
  </si>
  <si>
    <t>300,25</t>
  </si>
  <si>
    <t>PLOCHA STŘEŠNÍCH ROVIN</t>
  </si>
  <si>
    <t xml:space="preserve">Položka obsahuje uložení a kotvení desek tepelné izolace na šikmé střechy (krovy i střechy hal) na sraz, nebo na pero a drážku. </t>
  </si>
  <si>
    <t>60715325</t>
  </si>
  <si>
    <t>Deska dřevovlák.  Special dry 1800x600x 60mm</t>
  </si>
  <si>
    <t>265,628</t>
  </si>
  <si>
    <t>viz plocha střechy</t>
  </si>
  <si>
    <t>;ztratné 2%; 5,31256</t>
  </si>
  <si>
    <t>Dřevovláknitá deska určená k renovaci podkroví a stěn, možnost ukládání izolace přímo na krokve bez deskování, ochraňuje před větrem, vlhkostí a hlukem. hydrofobizovaná izolační stěnová deska vyráběná suchým způsobem  Objemová hmotnost 140 kg/m3 Součinitel tepelné vodivosti 0,041 W/m</t>
  </si>
  <si>
    <t>Izolace tepelné stropů spodem, vložená mezi krokve</t>
  </si>
  <si>
    <t>2,33*12,7</t>
  </si>
  <si>
    <t>S105 - mezi kleštinami</t>
  </si>
  <si>
    <t>-0,1*2,33*29</t>
  </si>
  <si>
    <t>odečet kleštin</t>
  </si>
  <si>
    <t>65</t>
  </si>
  <si>
    <t>63151413.A</t>
  </si>
  <si>
    <t>Deska z minerální plsti  UNI tl. 180 mm</t>
  </si>
  <si>
    <t>22,834</t>
  </si>
  <si>
    <t>viz S105</t>
  </si>
  <si>
    <t>;ztratné 2%; 0,45668</t>
  </si>
  <si>
    <t>Izolační desky vyrobené z minerální plsti . Výroba je založena na metodě rozvlákňování taveniny směsi hornin a dalších příměsí a přísad. Vytvořená minerální vlákna se v rámci výrobní linky zpracují do finálního tvaru desek. Vlákna jsou po celém povrchu hydrofobizována. Desky je nutné v konstrukci chránit vhodným způsobem proti povětrnostním vlivům (vnější opláštění kazet, difuzní a parotěsnící fólie).  Desky UNI jsou vhodné pro nezatížené izolace vnějších stěn (provětrávaných fasád pod obklad s vkládáním izolantu do kazet nebo do roštů), dále pro izolace šikmých střech, stropů, podhledů a dalších lehkých sendvičových konstrukcí. Materiál je vhodný do protipožárních systémových konstrukcí s požadavkem na objemovou hmotnost min. 40 kg/m3.  součinitel tepelné vodivosti  = 0,035 W/m</t>
  </si>
  <si>
    <t>66</t>
  </si>
  <si>
    <t>713111211RL5</t>
  </si>
  <si>
    <t>Montáž parozábrany krovů spodem s přelepením spojů</t>
  </si>
  <si>
    <t xml:space="preserve">parobrzda 
fólie na bázi polyamidu, která kromě parotěsné funkce má navíc proměnnou ekvivalentní difuzní tloušťku sd (0,3-5,0 m</t>
  </si>
  <si>
    <t>198,12+6,35*5,3+4,89+4,5*2,5</t>
  </si>
  <si>
    <t>S101 - parozábrana</t>
  </si>
  <si>
    <t xml:space="preserve">Položka je určena pro montáž fólie s přelepením spojů na krovu před položením tepelné izolace a obsahuje montážní práce a spojovací prostředky. Včetně dodávky parotěsné zábrany. </t>
  </si>
  <si>
    <t>67</t>
  </si>
  <si>
    <t>713131130VD1</t>
  </si>
  <si>
    <t>Izolace tepelná vložením do konstrukce</t>
  </si>
  <si>
    <t>svislé SDK</t>
  </si>
  <si>
    <t>76,76001</t>
  </si>
  <si>
    <t>šikmé SDK</t>
  </si>
  <si>
    <t>50,59264</t>
  </si>
  <si>
    <t>Vodorovné SDK</t>
  </si>
  <si>
    <t>Vložení do SDK roštu. V položce není zakalkulována dodávka izolačního materiálu. Tato dodávka se oceňuje ve specifikaci. Při stanovení množství tepelné izolace se z celkového množství neodečítají otvory nebo neizolované plochy menší než 1 m2. Měrnou jednotkou je pohledová plocha stěny. Doporučená spotřeba minerálních desek je 0,97 m2/m2 plochy stěny</t>
  </si>
  <si>
    <t>68</t>
  </si>
  <si>
    <t>63151400.A</t>
  </si>
  <si>
    <t>Deska z minerální plsti UNI tl. 40 mm</t>
  </si>
  <si>
    <t>197,11915</t>
  </si>
  <si>
    <t>;ztratné 5%; 9,8559575</t>
  </si>
  <si>
    <t>Izolační desky vyrobené z minerální plsti . Výroba je založena na metodě rozvlákňování taveniny směsi hornin a dalších příměsí a přísad. Vytvořená minerální vlákna se v rámci výrobní linky zpracují do finálního tvaru desek. Vlákna jsou po celém povrchu hydrofobizována. Desky je nutné v konstrukci chránit vhodným způsobem proti povětrnostním vlivům (vnější opláštění kazet, difuzní a parotěsnící fólie).  Desky  UNI jsou vhodné pro nezatížené izolace vnějších stěn (provětrávaných fasád pod obklad s vkládáním izolantu do kazet nebo do roštů), dále pro izolace šikmých střech, stropů, podhledů a dalších lehkých sendvičových konstrukcí. Materiál je vhodný do protipožárních systémových konstrukcí s požadavkem na objemovou hmotnost min. 40 kg/m3.  součinitel tepelné vodivosti  = 0,035 W/m</t>
  </si>
  <si>
    <t>69</t>
  </si>
  <si>
    <t>713101121R00</t>
  </si>
  <si>
    <t>Odstr.tep.izol.stropů,volně,minerál tl.do 100 mm</t>
  </si>
  <si>
    <t>70</t>
  </si>
  <si>
    <t>713521121R00</t>
  </si>
  <si>
    <t>Izolace profilů požár.obklad deskami 1vrstvá</t>
  </si>
  <si>
    <t>Desky tl. 15 mm</t>
  </si>
  <si>
    <t>(0,34*2+0,15*2)*(0,175+4,13+2,50+4,13+0,175)*3+(0,34*2+0,15*2)*(0,175+4,13+1,09)*2</t>
  </si>
  <si>
    <t>U09 - obklad OK příčné</t>
  </si>
  <si>
    <t>(0,26*2+0,11*2)*(4,36*2+3,43*2)</t>
  </si>
  <si>
    <t>U09 - obklad OK podélné</t>
  </si>
  <si>
    <t>Viditelné části ocelové konstrukce vynášející krov budou opatřeny protipožárním obkladem ze sádrovláknitých desek . Opláštění bude ze čtyř stran a bude splňovat odolnost R30. Při montáži je nutno zajistit volnou teplotní dilataci ocelového prvku zachováním mezery 5 mm mezi lícem prvku a vnitřním lícem opláštění Glasroc F Ridurit. Svislé desky budou pokračovat nad horní plochu OK a budou dotaženy k SDK podhledu. Napojení bude provedeno přes koutové pásky. Spojování obkladu bude provedeno přes kovové sponky. Spáry budou přetmeleny. Na požární obklad nebudou zavěšovány předměty!!!</t>
  </si>
  <si>
    <t>71</t>
  </si>
  <si>
    <t>998713103R00</t>
  </si>
  <si>
    <t>Přesun hmot pro izolace tepelné, výšky do 24 m</t>
  </si>
  <si>
    <t>762</t>
  </si>
  <si>
    <t>Konstrukce tesařské</t>
  </si>
  <si>
    <t>72</t>
  </si>
  <si>
    <t>762811811R00</t>
  </si>
  <si>
    <t>Demontáž záklopů z hrubých prken tl. do 3,2 cm</t>
  </si>
  <si>
    <t>762_</t>
  </si>
  <si>
    <t>D.1.1._76_</t>
  </si>
  <si>
    <t>336,06</t>
  </si>
  <si>
    <t>X06 - viz plocha krytiny</t>
  </si>
  <si>
    <t>73</t>
  </si>
  <si>
    <t>762900030RAA</t>
  </si>
  <si>
    <t>Demontáž dřevěného krovu</t>
  </si>
  <si>
    <t>bez bednění</t>
  </si>
  <si>
    <t>244,16</t>
  </si>
  <si>
    <t>X03</t>
  </si>
  <si>
    <t>V položce není kalkulován poplatek za skládku pro vybouranou suť. Tyto náklady se oceňují individuálně podle místních podmínek. Orientační hmotnost vybouraných konstrukcí je 0,039 t/m2 konstrukce. Měrnou jednotkou je metr čtvereční půdorysné plochy krovu</t>
  </si>
  <si>
    <t>74</t>
  </si>
  <si>
    <t>762900080RA0</t>
  </si>
  <si>
    <t>Demontáž záklopu stropů z OSB desek tl. 25 mm</t>
  </si>
  <si>
    <t>včetně dřevěného roštu a podkladků</t>
  </si>
  <si>
    <t>13,1*8,65+6,39*2,45+(2,49+2,7)*4,85</t>
  </si>
  <si>
    <t>X04, X05 - S01,S02</t>
  </si>
  <si>
    <t>V položce není kalkulován poplatek za skládku pro vybouranou suť. Tyto náklady se oceňují individuálně podle místních podmínek. Orientační hmotnost vybouraných konstrukcí je 0,014 t/m2 konstrukce.</t>
  </si>
  <si>
    <t>75</t>
  </si>
  <si>
    <t>762811811VD1</t>
  </si>
  <si>
    <t>Vyřezání záklopů z hrubých prken tl. do 3,2 cm</t>
  </si>
  <si>
    <t>0,45*6,25+0,3*8,65</t>
  </si>
  <si>
    <t>U01,U02</t>
  </si>
  <si>
    <t>76</t>
  </si>
  <si>
    <t>762313113VD1</t>
  </si>
  <si>
    <t>Montáž kotevních prvků délky 450 mm + pásovina fixace střešní římsy</t>
  </si>
  <si>
    <t>včetně svarů a svorníků</t>
  </si>
  <si>
    <t>U04 - závitové tyče</t>
  </si>
  <si>
    <t>Položka je určena pro montáž svorníků, šroubů. V položce nejsou zakalkulovány náklady na dodávku spojovacích prostředků.Tato dodávka se oceňuje ve specifikaci, ztratné se nedoporučuje</t>
  </si>
  <si>
    <t>Navaření závitových tyčí O 12 do horní pásnic „I“ profilů nové stropní konstrukce v prostoru uložení na vnějším zdivu. Na závitové tyče bude v nové úrovní nadezdívky navlečena pásovina 50×5 a přivařena – tímto dojde ke stabilizaci střešní římsy.</t>
  </si>
  <si>
    <t>77</t>
  </si>
  <si>
    <t>31179107</t>
  </si>
  <si>
    <t>Tyč závitová M12, DIN 975</t>
  </si>
  <si>
    <t>22*0,45</t>
  </si>
  <si>
    <t>78</t>
  </si>
  <si>
    <t>13351380.A</t>
  </si>
  <si>
    <t>Ocel pásová jakost S235  50x5,0 mm</t>
  </si>
  <si>
    <t>(18,03+8,97+13,26+2,8+5,0)*1,96/1000</t>
  </si>
  <si>
    <t>;ztratné 5%; 0,00471</t>
  </si>
  <si>
    <t>hmotnost 1,96 kg/m  PÁSOVÁ OCEL VÁLC.ZA TEPLA ČSN 42 5340.01(pod.dělená),ČSN 42 0145,zn.S235JRG2 dle EN 10025+A1-svitk</t>
  </si>
  <si>
    <t>79</t>
  </si>
  <si>
    <t>762332110R00</t>
  </si>
  <si>
    <t>Montáž vázaných krovů pravidelných do 120 cm2</t>
  </si>
  <si>
    <t>6,5*4+6,28+7,24+6,03+6,6*2</t>
  </si>
  <si>
    <t>krokev 6×20cm _01 KVH</t>
  </si>
  <si>
    <t>6,5*10+4,49+2,72+0,24+0,94+1,81+2,67+4,48+4,48+2,67+1,81+0,94+1,47+2,35+3,25+3,71+3,20</t>
  </si>
  <si>
    <t>krokev 6×20cm _01 SM/JD</t>
  </si>
  <si>
    <t>1,54+0,83+1,76+2,58+4,27+5,21+4,37+3,52+2,68+1,84+0,99+0,15</t>
  </si>
  <si>
    <t>2*6,5*(11+8)+2*(7,96+6,37+6,37+6,61)</t>
  </si>
  <si>
    <t>krokev 2×6×20cm _09 KVH</t>
  </si>
  <si>
    <t>4,96+2,40</t>
  </si>
  <si>
    <t>Styčníková vrcholová vaznice 60×20 SM/DJ</t>
  </si>
  <si>
    <t>11,18*105</t>
  </si>
  <si>
    <t>námětek 32×150 mm  _08</t>
  </si>
  <si>
    <t>8,85*2+11,32+8,8</t>
  </si>
  <si>
    <t>nárožní hranol 60×60 mm</t>
  </si>
  <si>
    <t>2*(5,43+3,65+1,71+1,17+3,62+5,43+5,43+3,62+3,42+5,18)</t>
  </si>
  <si>
    <t>krokev 2×6×20cm _09 SM/JD</t>
  </si>
  <si>
    <t>1,21*3*8+1,21*7+1,21*2</t>
  </si>
  <si>
    <t>výměna oken 6×20 cm _11 SM/JD</t>
  </si>
  <si>
    <t>0,575*(32+7+7+6+28+8+28+48)</t>
  </si>
  <si>
    <t>proti klopení  6×20 cm _11 SM/JD</t>
  </si>
  <si>
    <t>-(1,6*8+1,19*8+1,18*7+1,6*1)</t>
  </si>
  <si>
    <t>Položka je určena pro montáž vázaných konstrukcí krovů střech pultových, sedlových, valbových, stanových čtvercového nebo obdélníkového půdorysu. V položce nejsou zakalkulovány náklady na dodávku řeziva.Tato dodávka se oceňuje ve specifikaci, ztratné se doporučuje 10%</t>
  </si>
  <si>
    <t>80</t>
  </si>
  <si>
    <t>60515817</t>
  </si>
  <si>
    <t>Hranol konstrukční masivní KVH NSi 60x200 mm l=13 m</t>
  </si>
  <si>
    <t>(6,5*4+6,28+7,24+6,03+6,6*2)*0,06*0,2</t>
  </si>
  <si>
    <t>(2*6,5*(11+8)+2*(7,96+6,37+6,37+6,61))*0,06*0,2</t>
  </si>
  <si>
    <t>;ztratné 10%; 0,432444</t>
  </si>
  <si>
    <t>Stavební masivní dřevo KVH  Vizuálně nebo strojově dle pevnosti tříděné, technicky sušené a kalibrované masivní dřevo s definovanou rozměrovou stálostí pro viditelné a neviditelné úseky.  Masivní konstrukční dřevo (KVH) jsou profily z jehličnatého dřeva (převážně smrku) pro použití v moderních dřevěných stavbách. KVH profily jsou čtyřstranně hoblované a mají sražené hrany. Délkovým nastavováním jednotlivých profilů pomocí zubovitého spoje lze dosahovat délek až 18 m. Profily jsou technicky vysušeny na vlhkost 15 ± 3 %. Podle účelu použití se rozlišují dva druhy KVH profilů, které se však od sebe odlišují pouze vlastnostmi povrchu:  * KVH-Si pro pohledové konstrukce  * KVH-NSi pro nepohledové konstrukce</t>
  </si>
  <si>
    <t>81</t>
  </si>
  <si>
    <t>60515242VD1</t>
  </si>
  <si>
    <t>Hranol SM/JD 1 6x20 délka 300-600 cm</t>
  </si>
  <si>
    <t>(6,5*10+4,49+2,72+0,24+0,94+1,81+2,67+4,48+4,48+2,67+1,81+0,94+1,47+2,35+3,25+3,71+3,20)*0,06*0,2</t>
  </si>
  <si>
    <t>(1,54+0,83+1,76+2,58+4,27+5,21+4,37+3,52+2,68+1,84+0,99+0,15)*0,06*0,2</t>
  </si>
  <si>
    <t>(2*(5,43+3,65+1,71+1,17+3,62+5,43+5,43+3,62+3,42+5,18))*0,06*0,2</t>
  </si>
  <si>
    <t>-(1,6*8+1,19*8+1,18*7+1,6*1)*0,06*0,2</t>
  </si>
  <si>
    <t>(1,21*3*8+1,21*7+1,21*2)*0,06*0,2</t>
  </si>
  <si>
    <t>(0,575*(32+7+7+6+28+8+28+48))*0,06*0,2</t>
  </si>
  <si>
    <t>(4,96+2,40)*0,06*0,2</t>
  </si>
  <si>
    <t>;ztratné 10%; 0,38724</t>
  </si>
  <si>
    <t>82</t>
  </si>
  <si>
    <t>60515810</t>
  </si>
  <si>
    <t>Hranol konstrukční masivní KVH NSi 60x60 mm l=5 m</t>
  </si>
  <si>
    <t>(8,85*2+11,32+8,8)*0,06*0,06</t>
  </si>
  <si>
    <t>;ztratné 10%; 0,013615</t>
  </si>
  <si>
    <t>83</t>
  </si>
  <si>
    <t>762332120R00</t>
  </si>
  <si>
    <t>Montáž vázaných krovů pravidelných do 224 cm2</t>
  </si>
  <si>
    <t>2,93*29</t>
  </si>
  <si>
    <t>kleštiny horní 10×18cm _03</t>
  </si>
  <si>
    <t>1,45*3*2</t>
  </si>
  <si>
    <t>kleštiny dolní 10×18cm _03</t>
  </si>
  <si>
    <t>4,45*3</t>
  </si>
  <si>
    <t>vzpěra 12×15 cm  _05</t>
  </si>
  <si>
    <t>17,87+8,97+13,1+2,49+5,01</t>
  </si>
  <si>
    <t>pozednice 12×16 cm  _05</t>
  </si>
  <si>
    <t>84</t>
  </si>
  <si>
    <t>60515793VD1</t>
  </si>
  <si>
    <t>Hranol SM profil 100x180 mm dl. 3-5 m</t>
  </si>
  <si>
    <t>93,67*0,1*0,18</t>
  </si>
  <si>
    <t>_03</t>
  </si>
  <si>
    <t>;ztratné 10%; 0,168606</t>
  </si>
  <si>
    <t>85</t>
  </si>
  <si>
    <t>60515794VD1</t>
  </si>
  <si>
    <t>Hranol SM profil 120x150 mm dl. 3-5 m</t>
  </si>
  <si>
    <t>4,45*3*0,12*0,15</t>
  </si>
  <si>
    <t>vzpěra 12×15 _05</t>
  </si>
  <si>
    <t>;ztratné 10%; 0,02403</t>
  </si>
  <si>
    <t>86</t>
  </si>
  <si>
    <t>60515794VD2</t>
  </si>
  <si>
    <t>Hranol SM profil 120x160 mm dl. 3-5 m</t>
  </si>
  <si>
    <t>(17,87+8,97+13,1+2,49+5,01)*0,12*0,16</t>
  </si>
  <si>
    <t>;ztratné 10%; 0,091085</t>
  </si>
  <si>
    <t>87</t>
  </si>
  <si>
    <t>762332130R00</t>
  </si>
  <si>
    <t>Montáž vázaných krovů pravidelných do 288 cm2</t>
  </si>
  <si>
    <t>8,85*5</t>
  </si>
  <si>
    <t>Nárožní a úžlabní krokev 10×24 cm _07</t>
  </si>
  <si>
    <t>88</t>
  </si>
  <si>
    <t>60515835VD1</t>
  </si>
  <si>
    <t>Hranol konstrukční masivní KVH NSi 100x240mm l=9 m</t>
  </si>
  <si>
    <t>44,25*0,1*0,24</t>
  </si>
  <si>
    <t>;ztratné 10%; 0,1062</t>
  </si>
  <si>
    <t>89</t>
  </si>
  <si>
    <t>762332140R00</t>
  </si>
  <si>
    <t>Montáž vázaných krovů pravidelných do 450 cm2</t>
  </si>
  <si>
    <t>12,725*2+2,515</t>
  </si>
  <si>
    <t>vaznice 18×22 cm _04</t>
  </si>
  <si>
    <t>90</t>
  </si>
  <si>
    <t>60515274</t>
  </si>
  <si>
    <t>Hranol SM/JD 1 18x22 délka nad 600 cm</t>
  </si>
  <si>
    <t>27,965*0,18*0,22</t>
  </si>
  <si>
    <t>_04 Vaznice 18×22cm</t>
  </si>
  <si>
    <t>;ztratné 10%; 0,110741</t>
  </si>
  <si>
    <t>91</t>
  </si>
  <si>
    <t>762342205VD1</t>
  </si>
  <si>
    <t>Montáž námětku na vruty</t>
  </si>
  <si>
    <t>včetně dodávky prken 32×150mm</t>
  </si>
  <si>
    <t>1,17*(19,22+10,75+13,25+2,65+5,0)</t>
  </si>
  <si>
    <t>U08 - námětek</t>
  </si>
  <si>
    <t>V položce jsou zakalkulovány náklady na dodávku spojovacího materiálu (vruty) a řeziva</t>
  </si>
  <si>
    <t>92</t>
  </si>
  <si>
    <t>762795000R00</t>
  </si>
  <si>
    <t>Spojovací prostředky pro vázané konstrukce</t>
  </si>
  <si>
    <t>33*(0,044*0,025+0,03*0,05*0,37)</t>
  </si>
  <si>
    <t>Mont. prvek hřebene</t>
  </si>
  <si>
    <t>Položka je určena pouze pro soubor 762 7 Montáž prostorových vázaných konstrukcí</t>
  </si>
  <si>
    <t>93</t>
  </si>
  <si>
    <t>762342210RT2</t>
  </si>
  <si>
    <t>Montáž kontralatí přes vláknitou izolaci tl. 60 mm</t>
  </si>
  <si>
    <t xml:space="preserve">včetně dodávky latě 60 x 40 mm
Kontralatě budou kotveny přes dřevovláknité desky do krokví dvouzávitovými vruty.</t>
  </si>
  <si>
    <t>Montáž kontralatí přes vrchem kladenou izolaci. V položce jsou zakalkulovány náklady na dodávku spojovacího materiálu (vruty) a řeziva</t>
  </si>
  <si>
    <t>94</t>
  </si>
  <si>
    <t>762812240R00</t>
  </si>
  <si>
    <t>Montáž záklopu, vrchní na P+D, OSB</t>
  </si>
  <si>
    <t>S105 - nad kleštinami</t>
  </si>
  <si>
    <t>Montáž záklopu vrchního na P+D včetně olištování kolem zdí, spáry kryté lištami.V položce nejsou zakalkulovány náklady na dodávku řeziva.Tato dodávka se oceňuje ve specifikaci, ztratné se doporučuje ve výši 8%</t>
  </si>
  <si>
    <t>95</t>
  </si>
  <si>
    <t>60725014</t>
  </si>
  <si>
    <t>Deska dřevoštěpková OSB 3 N tl. 18 mm</t>
  </si>
  <si>
    <t>29,591</t>
  </si>
  <si>
    <t>S105</t>
  </si>
  <si>
    <t>;ztratné 8%; 2,36728</t>
  </si>
  <si>
    <t xml:space="preserve">SUPERFINISH  OSB3 - konstrukční deska pro použití ve vlhkém prostředí  N - nebroušená strana  rozměr 2500 x 1250 mm </t>
  </si>
  <si>
    <t>96</t>
  </si>
  <si>
    <t>762895000R00</t>
  </si>
  <si>
    <t>Spojovací prostředky pro montáž stropů</t>
  </si>
  <si>
    <t>29,591*0,018</t>
  </si>
  <si>
    <t>Položka je určena pouze pro soubory: 762 81 Montáž záklopu,  762 82 Montáž stropnic,  762 84 Montáž podbíjení.</t>
  </si>
  <si>
    <t>97</t>
  </si>
  <si>
    <t>762341220R00</t>
  </si>
  <si>
    <t>M. bedn.střech rovn. z aglomer.desek šroubováním</t>
  </si>
  <si>
    <t>S101 - PLOCHA STŘEŠNÍCH ROVIN</t>
  </si>
  <si>
    <t>(0,25+0,25)*(13,5+2,4+5,05)</t>
  </si>
  <si>
    <t>odvetrávání ve hřebeni</t>
  </si>
  <si>
    <t>V položce nejsou zakalkulovány náklady na dodávku desek. Tato dodávka se oceňuje ve specifikaci, ztratné se doporučuje ve výši 10 %. Spojovací a ochranné prostředky se ocení položkou 762 39-5000.</t>
  </si>
  <si>
    <t>98</t>
  </si>
  <si>
    <t>607250361VD1</t>
  </si>
  <si>
    <t>Deska dřevoštěpková OSB ECO 3 N P+D tl. 25 mm</t>
  </si>
  <si>
    <t>RTS II / 2021</t>
  </si>
  <si>
    <t>;ztratné 10%; 31,0725</t>
  </si>
  <si>
    <t xml:space="preserve">SUPERFINISH ECO  OSB3 - konstrukční deska pro použití ve vlhkém prostředí  N - nebroušená strana  OSB SUPERFINISH®  jsou víceúčelové desky vyráběné unikátní technologií lepení definovaných dřevěných třísek ve třech na sebe navzájem kolmých vrstvách. Rozměry, tvar a směrová orientace třísek v jednotlivých vrstvách maximálně využívají přirozené vlastnosti dřeva k dosažení těch nejlepších stavebně-fyzikálních parametrů desek. Desky neobsahují přirozené vady rostlého dřeva (suky, praskliny apod.). Oproti výrobě klasických OSB desek se používá výhradně pojivo na bázi polyuretanových pryskyřic, které neobsahuje žádný formaldehyd.  rozměr 2500 x 1250 mm </t>
  </si>
  <si>
    <t>99</t>
  </si>
  <si>
    <t>762395000R00</t>
  </si>
  <si>
    <t>Spojovací a ochranné prostředky pro střechy</t>
  </si>
  <si>
    <t>300,25*0,025</t>
  </si>
  <si>
    <t>Položka je určena pouze pro soubory:  762 33 Montáž vázaných konstrukcí krovů 762 34 Montáž bednění a laťování, 762 35 Montáž nadstřešních konstrukcí, 762 36 Montáž spádových klínů.</t>
  </si>
  <si>
    <t>100</t>
  </si>
  <si>
    <t>762341922R00</t>
  </si>
  <si>
    <t>Vyřezání otvorů střech, v bednění pl. do 2 m2</t>
  </si>
  <si>
    <t>1,14,1,6*8</t>
  </si>
  <si>
    <t>T01</t>
  </si>
  <si>
    <t>1,14*1,18*8</t>
  </si>
  <si>
    <t>T02</t>
  </si>
  <si>
    <t>0,94*1,18*7</t>
  </si>
  <si>
    <t>T03</t>
  </si>
  <si>
    <t>0,94*1,6*1</t>
  </si>
  <si>
    <t>T04</t>
  </si>
  <si>
    <t>Množství vyřezání střešní vazby se určuje v m délky prvků, bez čepů</t>
  </si>
  <si>
    <t>101</t>
  </si>
  <si>
    <t>762342911VD1</t>
  </si>
  <si>
    <t>Montovaný prvek vynášející hřeben střechy D+M</t>
  </si>
  <si>
    <t>Ks</t>
  </si>
  <si>
    <t>latě 3/5 cm, OSB ECO typ 3 tl. 25 mm</t>
  </si>
  <si>
    <t>Plošně bude prvek proveden z OSB tl. 25 mm, V horní části bude vruty připevněna lať pro kotvení záklopu. Prvky budou kotveny do kontralatí.</t>
  </si>
  <si>
    <t>102</t>
  </si>
  <si>
    <t>998762103R00</t>
  </si>
  <si>
    <t>Přesun hmot pro tesařské konstrukce, výšky do 24 m</t>
  </si>
  <si>
    <t>764</t>
  </si>
  <si>
    <t>Konstrukce klempířské</t>
  </si>
  <si>
    <t>103</t>
  </si>
  <si>
    <t>764323820R00</t>
  </si>
  <si>
    <t>Demont. oplech. okapů, živičná krytina, rš 250 mm</t>
  </si>
  <si>
    <t>764_</t>
  </si>
  <si>
    <t>20,2+10,75+13,25+5,0+2,65</t>
  </si>
  <si>
    <t>X06 - okapnice</t>
  </si>
  <si>
    <t>104</t>
  </si>
  <si>
    <t>764900035RAA</t>
  </si>
  <si>
    <t>Demontáž podokapních žlabů půlkruhových</t>
  </si>
  <si>
    <t xml:space="preserve">z plechu pozinkovaného
vč. žlabových háků</t>
  </si>
  <si>
    <t>X07</t>
  </si>
  <si>
    <t>V položce není kalkulován poplatek za skládku pro vybouranou suť. Tyto náklady se oceňují individuálně podle místních podmínek. Orientační hmotnost vybouraných konstrukcí je 0,005 t/m konstrukce.</t>
  </si>
  <si>
    <t>105</t>
  </si>
  <si>
    <t>764218111R00</t>
  </si>
  <si>
    <t>Strukturní dělicí vrstva</t>
  </si>
  <si>
    <t xml:space="preserve">Strukturní dělicí vrstva  pro krytiny z plechu TiZn </t>
  </si>
  <si>
    <t>106</t>
  </si>
  <si>
    <t>764212623RT3</t>
  </si>
  <si>
    <t>Krytina TiZn , svitky rš. 670 mm, do 45°</t>
  </si>
  <si>
    <t>TiZn plechu tl. 0,7 mm ve předzvětralém vzhledu z výroby (břidlicově šedá úprava)</t>
  </si>
  <si>
    <t>124,95+39,15+92,75+35,26+43,95</t>
  </si>
  <si>
    <t>K51-K55</t>
  </si>
  <si>
    <t xml:space="preserve">Střešní krytina z plechu TiZn hladká ze svitku tl.0,7 mm, RŠ 670 mm, systém dvojité stojaté drážky, se sklonem od 30° do 45°. </t>
  </si>
  <si>
    <t>107</t>
  </si>
  <si>
    <t>764238611VD1</t>
  </si>
  <si>
    <t>Lemování střešního okna z TiZn</t>
  </si>
  <si>
    <t>K1,K2,K3,K4</t>
  </si>
  <si>
    <t>Lemování střešního okna z plechu TiZn  na střechách s plechovou krytinou z TiZn , systém dvojité stojaté drážky.  Okno do rozměru 1140x1600 mm.  lemovací profil rš. 400 mm, tl. 0,7 mm, horní odvodňovací lišta rš. 167 mm, tl. 0,7 mm</t>
  </si>
  <si>
    <t>108</t>
  </si>
  <si>
    <t>764222491R00</t>
  </si>
  <si>
    <t>Montáž oplechování okapů Ti Zn, tvrdá krytina</t>
  </si>
  <si>
    <t xml:space="preserve">R.Š. 167 mm
TiZn plechu tl. 0,7 mm ve předzvětralém vzhledu z výroby (břidlicově šedá úprava)</t>
  </si>
  <si>
    <t>20,2</t>
  </si>
  <si>
    <t>K05</t>
  </si>
  <si>
    <t>10,75</t>
  </si>
  <si>
    <t>K06</t>
  </si>
  <si>
    <t>13,25</t>
  </si>
  <si>
    <t>K07</t>
  </si>
  <si>
    <t>2,65</t>
  </si>
  <si>
    <t>K08</t>
  </si>
  <si>
    <t>5,0</t>
  </si>
  <si>
    <t>K09</t>
  </si>
  <si>
    <t>V položce je zakalkulována pouze práce a spojovací materiál.</t>
  </si>
  <si>
    <t>109</t>
  </si>
  <si>
    <t>1911331023VD1</t>
  </si>
  <si>
    <t>Svit.š.670mm, předzvětralý šedá břidlicová,t.0,8</t>
  </si>
  <si>
    <t>51,85/4</t>
  </si>
  <si>
    <t>K05-K09</t>
  </si>
  <si>
    <t>;ztratné 10%; 1,29625</t>
  </si>
  <si>
    <t>Svitek šíře 670 mm  oblast použití: střechy a fasády standardní šířka: 670 mm, 570 mm standardní tloušťka: 1,00 mm; 0,80 mm; 0,70 mm standardní váha svitku: 1000 kg, 500 kg, 125 kg  u šířky 1000 mm také 150 kg vnitřní průměr svitků: u svitků  více než 500 kg - 508 mm  méně než 500 kg - 400 mm  balení na zapůjčených paletác</t>
  </si>
  <si>
    <t>110</t>
  </si>
  <si>
    <t>764394230R00</t>
  </si>
  <si>
    <t>Podkladní pás z Pz plechu rš 250 mm D+M tl. 0,8 mm</t>
  </si>
  <si>
    <t>K15</t>
  </si>
  <si>
    <t>K16</t>
  </si>
  <si>
    <t>K17</t>
  </si>
  <si>
    <t>K18</t>
  </si>
  <si>
    <t>K19</t>
  </si>
  <si>
    <t>111</t>
  </si>
  <si>
    <t>Montáž oplechování okapů Ti Zn,</t>
  </si>
  <si>
    <t>K20</t>
  </si>
  <si>
    <t>K21</t>
  </si>
  <si>
    <t>K22</t>
  </si>
  <si>
    <t>K23</t>
  </si>
  <si>
    <t>K24</t>
  </si>
  <si>
    <t>112</t>
  </si>
  <si>
    <t>Svit.š.670mm,ve předzvětralém vzhledu z výroby (břidlicově šedá úprava),t.0,8 mm</t>
  </si>
  <si>
    <t>51,85/2</t>
  </si>
  <si>
    <t>K20-K24 R.Š. 333 mm</t>
  </si>
  <si>
    <t>;ztratné 10%; 2,5925</t>
  </si>
  <si>
    <t>113</t>
  </si>
  <si>
    <t>764394320VD1</t>
  </si>
  <si>
    <t>Podkladní pás z FeZn plechu rš 167 mm D+M tl. 0,8 mm</t>
  </si>
  <si>
    <t>8,85*2</t>
  </si>
  <si>
    <t>K25</t>
  </si>
  <si>
    <t>11,32</t>
  </si>
  <si>
    <t>K26</t>
  </si>
  <si>
    <t>8,8</t>
  </si>
  <si>
    <t>K27</t>
  </si>
  <si>
    <t>114</t>
  </si>
  <si>
    <t>764521491VD1</t>
  </si>
  <si>
    <t>Montáž oplechování nárožní lišty R.š. 200 mm</t>
  </si>
  <si>
    <t>115</t>
  </si>
  <si>
    <t>Svit.š.670mm,ve předzvětralém vzhledu z výroby (břidlicově šedá úprava),t.0,8</t>
  </si>
  <si>
    <t>37,82/3</t>
  </si>
  <si>
    <t>K25-K27</t>
  </si>
  <si>
    <t>;ztratné 15%; 1,8910005</t>
  </si>
  <si>
    <t>116</t>
  </si>
  <si>
    <t>764333291R00</t>
  </si>
  <si>
    <t>Montáž lemování zdí Pz, živičná krytina</t>
  </si>
  <si>
    <t>K31</t>
  </si>
  <si>
    <t>Položka je určena pro montáž hotových (předvyrobených nebo nakoupených) prvků. Dodávka těchto prvků se ocení ve specifikaci.</t>
  </si>
  <si>
    <t>117</t>
  </si>
  <si>
    <t>13814189</t>
  </si>
  <si>
    <t>Plech pozinkovaný tl.0,80 mm, 1000 x 2000 mm</t>
  </si>
  <si>
    <t>8,8/6*6,4/1000</t>
  </si>
  <si>
    <t>;ztratné 25%; 0,0023475</t>
  </si>
  <si>
    <t xml:space="preserve">1000 x 2000 mm hmotnost kusu 12,8 kg  PLECH POZINKOVANÝ V TAVENINĚ EN 10143, zn. DX51D+Z200-M-A (1.0917) dle EN 10346  </t>
  </si>
  <si>
    <t>118</t>
  </si>
  <si>
    <t>764292611RT3</t>
  </si>
  <si>
    <t>Oplechování hřebene TiZn ve předzvětralém vzhledu z výroby (břidlicově šedá úprava), s odvětráním</t>
  </si>
  <si>
    <t>plech ve předzvětralém vzhledu z výroby (břidlicově šedá úprava)</t>
  </si>
  <si>
    <t>13,6+5,05+2,4</t>
  </si>
  <si>
    <t>K32,K33,K34,K35,K36,K37</t>
  </si>
  <si>
    <t>Oplechování hřebene z plechu TiZn  na střechách s plechovou krytinou z TiZn , systém dvojité stojaté drážky, hřeben sedlové střechy s odvětráním  1,976 kg plech na dvojitou stojatou drážku, ze svitku 0,7x670 (570) mm, EN 988, podle  (výška zdvihu 2x 150 mm) 3,714 kg vrchní krytí hřebene rš. 670 mm, tl. 0,8 mm  3,925 kg výztužný pás z pozinkované oceli, RŠ 2x250 mm, tl. 1,0 m</t>
  </si>
  <si>
    <t>119</t>
  </si>
  <si>
    <t>764292633RT3</t>
  </si>
  <si>
    <t>Úžlabí TiZnve předzvětralém vzhledu z výroby (břidlicově šedá úprava),rš.800,ležatá drážka,nad 10°</t>
  </si>
  <si>
    <t xml:space="preserve">plech ve předzvětralém vzhledu z výroby (břidlicově šedá úprava)
včetně PŘÍDAVNÝ "Z" PROFIL PŘIPÁJKOVANÝ</t>
  </si>
  <si>
    <t>8,85</t>
  </si>
  <si>
    <t>K41, K43</t>
  </si>
  <si>
    <t>11,35</t>
  </si>
  <si>
    <t>K42, K44</t>
  </si>
  <si>
    <t>Oplechování úžlabí z plechu TiZn ve předzvětralém vzhledu z výroby (břidlicově šedá úprava) leskle válcovaný (WB) na střechách s plechovou krytinou z TiZn ve předzvětralém vzhledu z výroby (břidlicově šedá úprava), systém dvojité stojaté drážky, úžlabí s jednoduchou ležatou drážkou a s přídavnou drážkou, pro sklony přes 10°.  5,069 kg oplechování úžlabí, RŠ 800 mm, tl.0,8 mm 1,109 kg 2x přídavná drážka, RŠ 100 mm,  tl.0,8 mm 0,667 kg cínová pájka L-Pb Sn 40(Sb) přídavná drážka průběžně 0,089 kg cínová pájka L-Pb Sn 40(Sb) příčný spoj á 3m</t>
  </si>
  <si>
    <t>120</t>
  </si>
  <si>
    <t>764530492VD1</t>
  </si>
  <si>
    <t>Montáž oplechování čela hřebene Ti Zn</t>
  </si>
  <si>
    <t>K45</t>
  </si>
  <si>
    <t>121</t>
  </si>
  <si>
    <t>19113310342</t>
  </si>
  <si>
    <t>Svit.š.570mm,ve předzvětralém vzhledu z výroby (břidlicově šedá úprava),t.0,8</t>
  </si>
  <si>
    <t>0,5</t>
  </si>
  <si>
    <t>;ztratné 10%; 0,05</t>
  </si>
  <si>
    <t>ve předzvětralém vzhledu z výroby (břidlicově šedá úprava) Svitek šíře 570 mm  oblast použití: střechy a fasády standardní šířka: 1000 mm, 800 mm, 670 mm, 570 mm standardní tloušťka: 1,00mm; 0,80 mm; 0,70 mm standardní váha svitku: 1000 kg, 500 kg, 125 kg  u šířky 1000 mm také 150 kg vnitřní průměr svitků: u svitků  více než 500 kg - 508 mm  méně než 500 kg - 400 mm  balení na zapůjčených paletác</t>
  </si>
  <si>
    <t>122</t>
  </si>
  <si>
    <t>764252605VD1</t>
  </si>
  <si>
    <t>Žlab podokapní půlkulatý TiZn ve předzvětralém vzhledu z výroby (břidlicově šedá úprava) rš. 400 mm</t>
  </si>
  <si>
    <t>20,4</t>
  </si>
  <si>
    <t>K46</t>
  </si>
  <si>
    <t>11,15</t>
  </si>
  <si>
    <t>K47</t>
  </si>
  <si>
    <t>13,4</t>
  </si>
  <si>
    <t>K48</t>
  </si>
  <si>
    <t>2,80</t>
  </si>
  <si>
    <t>K49</t>
  </si>
  <si>
    <t>5,15</t>
  </si>
  <si>
    <t>K50</t>
  </si>
  <si>
    <t xml:space="preserve">Položka je kalkulována včetně háků, čel, rohů, rovných hrdel a dilatací. </t>
  </si>
  <si>
    <t>123</t>
  </si>
  <si>
    <t>764248493VD1</t>
  </si>
  <si>
    <t>Montáž zachytače sněhu z Ti Zn podélného</t>
  </si>
  <si>
    <t>20,4+10,75+13,25+2,65+5,0</t>
  </si>
  <si>
    <t>K56-K60</t>
  </si>
  <si>
    <t>124</t>
  </si>
  <si>
    <t>19115101VD1</t>
  </si>
  <si>
    <t>Montážní svorka na uchycení trubkového zachytávače sněhu</t>
  </si>
  <si>
    <t>52,05/0,6</t>
  </si>
  <si>
    <t>;ztratné 3%; 2,6025</t>
  </si>
  <si>
    <t>systém dodavatele opelchování střechy</t>
  </si>
  <si>
    <t>125</t>
  </si>
  <si>
    <t>19115101VD2</t>
  </si>
  <si>
    <t>AL trubka zachytávače sněhu</t>
  </si>
  <si>
    <t>52,05</t>
  </si>
  <si>
    <t>;ztratné 5%; 2,6025</t>
  </si>
  <si>
    <t>systém dodavatele oplechování střechy</t>
  </si>
  <si>
    <t>126</t>
  </si>
  <si>
    <t>19115101VD3</t>
  </si>
  <si>
    <t>spojka trubek</t>
  </si>
  <si>
    <t>52,05/6</t>
  </si>
  <si>
    <t>;ztratné 10%; 0,8675</t>
  </si>
  <si>
    <t>127</t>
  </si>
  <si>
    <t>19115101VD4</t>
  </si>
  <si>
    <t>zachytávač ledu</t>
  </si>
  <si>
    <t>;ztratné 5%; 4,3375</t>
  </si>
  <si>
    <t>128</t>
  </si>
  <si>
    <t>764242411RT3</t>
  </si>
  <si>
    <t>Lemování trub průměr 110 mm, TiZn ve předzvětralém vzhledu z výroby (břidlicově šedá úprava)</t>
  </si>
  <si>
    <t>K61</t>
  </si>
  <si>
    <t>Lemování prostupů kruhových průměr 110 mm z plechu TiZn ve předzvětralém vzhledu z výroby (břidlicově šedá úprava) leskle válcovaný (WB) na střechách s plechovou krytinou z TiZn ve předzvětralém vzhledu z výroby (břidlicově šedá úprava), systém dvojité stojaté drážky  0,843 kg přechodová manžeta o průměru 110 mm (RŠ 333 mm), tl.0,7 mm 0,291 kg dilatační lišta, RŠ 167 mm, tl. 0,7 m</t>
  </si>
  <si>
    <t>129</t>
  </si>
  <si>
    <t>998764103R00</t>
  </si>
  <si>
    <t>Přesun hmot pro klempířské konstr., výšky do 24 m</t>
  </si>
  <si>
    <t>765</t>
  </si>
  <si>
    <t>Krytina tvrdá</t>
  </si>
  <si>
    <t>130</t>
  </si>
  <si>
    <t>765361810VD1</t>
  </si>
  <si>
    <t>Demontáž asf. šindelové krytiny, do suti</t>
  </si>
  <si>
    <t>765_</t>
  </si>
  <si>
    <t>včetně podkladního asf. pásu</t>
  </si>
  <si>
    <t>X03 - dem krytiny</t>
  </si>
  <si>
    <t>11,35*1,0</t>
  </si>
  <si>
    <t>X16</t>
  </si>
  <si>
    <t>131</t>
  </si>
  <si>
    <t>765799301VD1</t>
  </si>
  <si>
    <t>Demontáž separační PE folie</t>
  </si>
  <si>
    <t>viz S01,S02</t>
  </si>
  <si>
    <t>132</t>
  </si>
  <si>
    <t>765799301VD2</t>
  </si>
  <si>
    <t>Demontáž asf.pásu volně položeného</t>
  </si>
  <si>
    <t>133</t>
  </si>
  <si>
    <t>765799313R00</t>
  </si>
  <si>
    <t>Montáž fólie na bednění přibitím, přelepení spojů</t>
  </si>
  <si>
    <t>S101 - viz plocha kontraltí</t>
  </si>
  <si>
    <t>Položka je určena pro montáž fólie na střeše o sklonu do 35°. Montáž fólie ve sklonu 35° až 45° se oceňuje s příplatkem za sklon položkou č. 765 79-9315.R00. Montáž fólie ve sklonu přes 45° se stanovuje individuálně. Bez dodávky fólie</t>
  </si>
  <si>
    <t>134</t>
  </si>
  <si>
    <t>67352181</t>
  </si>
  <si>
    <t>Fólie hydroizolační difuzní Tyvek SOLID 50x1,5 m</t>
  </si>
  <si>
    <t>S101</t>
  </si>
  <si>
    <t>;ztratné 20%; 53,1256</t>
  </si>
  <si>
    <t>Pojistná hydroizolace. Kontaktní difúzně otevřená fólie sd &lt; 0,03 m, možnost kladení přímo na izolaci i na bednění, použití na chemicky ošetřený krov, šíře role 1500 mm, UV stabilita 4 měsíce, teplotní odolnost -40 až +100 °C. Membrána má také antireflexní povrch a bude funkční i v případě instalace nepotištěnou (bílou) stranou vzhůru. Ekvivalentní difuzní tloušťka sd: 0,03 m. Hmotnost: 8,0 kg. Tloušťka: 220 µm.</t>
  </si>
  <si>
    <t>135</t>
  </si>
  <si>
    <t>765799315R00</t>
  </si>
  <si>
    <t>Příplatek za sklon od 30° do 45°,fólie na bednění</t>
  </si>
  <si>
    <t>S101 - pojistní HI</t>
  </si>
  <si>
    <t xml:space="preserve">Položka je určena pro montáž fólie nebo lepenky. </t>
  </si>
  <si>
    <t>136</t>
  </si>
  <si>
    <t>765312785VD1</t>
  </si>
  <si>
    <t>Pás ochranný větrací okapní kotvený do záklopu</t>
  </si>
  <si>
    <t>K10</t>
  </si>
  <si>
    <t>K11</t>
  </si>
  <si>
    <t>K12</t>
  </si>
  <si>
    <t>K13</t>
  </si>
  <si>
    <t>K14</t>
  </si>
  <si>
    <t>13,5*2</t>
  </si>
  <si>
    <t>K38</t>
  </si>
  <si>
    <t>2,2*2</t>
  </si>
  <si>
    <t>K39</t>
  </si>
  <si>
    <t>5,0*2</t>
  </si>
  <si>
    <t>K40</t>
  </si>
  <si>
    <t>137</t>
  </si>
  <si>
    <t>191135105</t>
  </si>
  <si>
    <t>Tahokov,AERO63, svitek,ve předzvětralém vzhledu z výroby (břidlicově šedá úprava)</t>
  </si>
  <si>
    <t>51,85/5</t>
  </si>
  <si>
    <t>K10-K14</t>
  </si>
  <si>
    <t>;ztratné 10%; 5,177</t>
  </si>
  <si>
    <t xml:space="preserve"> Tahokov, leskle válcováno volný průřez 63% svitek délka 20 mm, hmotnost svitku 53 k</t>
  </si>
  <si>
    <t>138</t>
  </si>
  <si>
    <t>998765103R00</t>
  </si>
  <si>
    <t>Přesun hmot pro krytiny tvrdé, výšky do 24 m</t>
  </si>
  <si>
    <t>766</t>
  </si>
  <si>
    <t>Konstrukce truhlářské</t>
  </si>
  <si>
    <t>139</t>
  </si>
  <si>
    <t>766421822R00</t>
  </si>
  <si>
    <t>Demontáž podkladových roštů obložení podhledů</t>
  </si>
  <si>
    <t>766_</t>
  </si>
  <si>
    <t>140</t>
  </si>
  <si>
    <t>766660016RA0</t>
  </si>
  <si>
    <t>Montáž dveří jednokřídlových šířky 90 cm</t>
  </si>
  <si>
    <t>01/L</t>
  </si>
  <si>
    <t>Dodávka a montáž prahu, bez dodávky dveří</t>
  </si>
  <si>
    <t>141</t>
  </si>
  <si>
    <t>766660014RA0</t>
  </si>
  <si>
    <t>Montáž dveří jednokřídlových šířky 80 cm</t>
  </si>
  <si>
    <t>02/L, 03/L, 04/P</t>
  </si>
  <si>
    <t>142</t>
  </si>
  <si>
    <t>766695213R00</t>
  </si>
  <si>
    <t>Montáž prahů dveří jednokřídlových š. nad 10 cm</t>
  </si>
  <si>
    <t>T07</t>
  </si>
  <si>
    <t>T06</t>
  </si>
  <si>
    <t>143</t>
  </si>
  <si>
    <t>611601204VD1</t>
  </si>
  <si>
    <t>Dveře - DTD deska plná, POVRCH HPL LAMINÁT TL. 0,8 MM plné 1kř. 90x197 cm - viz výpis výplní otvorů</t>
  </si>
  <si>
    <t xml:space="preserve">Laminát  0,8 mm . Vzduchov neprůzvučnost &gt;37 dBa. Požárni odolnost EI 15 DP3-C. Barva ŠEDÁ, BUDE VYVZORKOVÁNO A VYBRÁNO INVESTOREM. "KLIKA/KLIKA. 
ZADLABACÍ ZÁMEK, VLOŽKA CYLINDRICKÁ. 
SAMOZAVÍRAČ"
</t>
  </si>
  <si>
    <t>144</t>
  </si>
  <si>
    <t>611601203VD2</t>
  </si>
  <si>
    <t>Dveře - DTD deska plná, POVRCH HPL LAMINÁT TL. 0,8 MM plné 1kř. 80x197 cm viz výpis výplní otvorů</t>
  </si>
  <si>
    <t>02/L</t>
  </si>
  <si>
    <t>03/L</t>
  </si>
  <si>
    <t>04/P</t>
  </si>
  <si>
    <t xml:space="preserve">Laminát  0,8 mm . Vzduchov neprůzvučnost &gt;37 dBa. Požárni odolnost EI 15 DP3-C. Barva ŠEDÁ, BUDE VYVZORKOVÁNO A VYBRÁNO INVESTOREM. "KLIKA/KLIKA. 
ZADLABACÍ ZÁMEK, VLOŽKA CYLINDRICKÁ. </t>
  </si>
  <si>
    <t>145</t>
  </si>
  <si>
    <t>61187401</t>
  </si>
  <si>
    <t>Prah bukový délka 80 cm šířka 15 cm 2 cm</t>
  </si>
  <si>
    <t>146</t>
  </si>
  <si>
    <t>61187421</t>
  </si>
  <si>
    <t>Prah bukový délka 90 cm šířka 15 cm tl. 2 cm</t>
  </si>
  <si>
    <t>147</t>
  </si>
  <si>
    <t>766231111R00</t>
  </si>
  <si>
    <t>Montáž stahovacích půdních schodů</t>
  </si>
  <si>
    <t>T05</t>
  </si>
  <si>
    <t>148</t>
  </si>
  <si>
    <t>61140983VD1</t>
  </si>
  <si>
    <t>Schody s dřevěným žebříkem do podstřešního prostoru</t>
  </si>
  <si>
    <t xml:space="preserve">Ud [W/m2K] = 1,1. VNĚJŠÍ POVRCH VÍKA - BÍLÁ. VČETNĚ MONTÁŽE; POŽÁRNÍ ODOLNOST EI 15 DP3. Rozměry půdního otvoru 55×111 cm
</t>
  </si>
  <si>
    <t>149</t>
  </si>
  <si>
    <t>766624044R00</t>
  </si>
  <si>
    <t>Montáž střešních oken rozměr 114/160 - 140-160 cm</t>
  </si>
  <si>
    <t>Položka obsahuje montáž střešního okna včetně lemování a spojovacího materiálu.</t>
  </si>
  <si>
    <t>150</t>
  </si>
  <si>
    <t>6114020413VD1</t>
  </si>
  <si>
    <t>Okno střešní Integra GGU SK10 006821A  114 x 160 cm - viz výpis</t>
  </si>
  <si>
    <t xml:space="preserve">• Ovládání okna dálkovým ovladačem komunikujícím na platformě io-homecontrol.  Prvky elektrického ovládání jsou zabudované ve střešním okně. • Součástí ovládání okna je dešťový senzor, který automaticky zavře okno v případě deště. • Okno je možné ovládat i manuálně. • Možnost přímého připojení elektricky ovládaných doplňků – rolet či markýz. • Snadné připojení do zásuvky pomocí 4 m dlouhého kabelu s vidlicí. • Bezúdržbové provedení křídla a rámu s oblými rohy.  Sklon střechy • Lze instalovat ve sklonu od 15° do 90°.  Materiál rámu/křídla • ThermoTechnology™ – Lepený tepelně upravený dřevěný profil (TMT) s vrstvou polyuretanu. • Finální bílý lak UV stabilizovaný – při působení slunečního záření zůstává bílý a nemění svoji barvu (NSC S 0500-N nebo jako RAL 9003).  U okna = 1,0 ( W/m2 K) koeficient prostupu tepla U skla  = 0,6 ( W/m2 K) koeficient prostupu tepla.
Soft-apklikace pro tablet -  zajišťuje řízení vnitřního klimatu prostřednictvím chytrých senzorů a aplikace ve vašem telefonu nebo tabletu. Díky kompatibilitě se střešními okny, roletami i žaluziemi poskytuje možnost automatického větrání a ochrany před přehřátím interiéru. </t>
  </si>
  <si>
    <t>151</t>
  </si>
  <si>
    <t>611403064VD1</t>
  </si>
  <si>
    <t>Lemování okna SK10  114 x 160 cm</t>
  </si>
  <si>
    <t>Lemování se zateplovací sadou - Lemování na falcovanou krytinu se zateplovací sadou. Lemování zajišťuje vodotěsnost a ochranu proti povětrnostním vlivům. Pro montáž samostatného střešního okna do hladké střešní krytiny o výšce do 120 mm.  • Standardní provedení z hliníku v neutrální šedé barvě. • Pro střechy se sklonem 15° až 90°.</t>
  </si>
  <si>
    <t>152</t>
  </si>
  <si>
    <t>61140609VD1</t>
  </si>
  <si>
    <t>Systém řízení vnitřního klimatu a jednotlivých prvků</t>
  </si>
  <si>
    <t>pro okna v učebně</t>
  </si>
  <si>
    <t>Systém automaticky zlepšuje vnitřní klima pomocí chytrých senzorů a umožňuje vám monitorovat a ovládat vaše produkty prostřednictvím aplikace dodavatele oken.</t>
  </si>
  <si>
    <t>153</t>
  </si>
  <si>
    <t>611403064VD2</t>
  </si>
  <si>
    <t>Lemování okna SK06  114 x 118 cm</t>
  </si>
  <si>
    <t>154</t>
  </si>
  <si>
    <t>6114020413VD2</t>
  </si>
  <si>
    <t>Okno střešní Integra GGU SK06 006821A 114 x 118 cm</t>
  </si>
  <si>
    <t>• Ovládání okna dálkovým ovladačem komunikujícím na platformě io-homecontrol.  Prvky elektrického ovládání jsou zabudované ve střešním okně. • Součástí ovládání okna je dešťový senzor, který automaticky zavře okno v případě deště. • Okno je možné ovládat i manuálně. • Možnost přímého připojení elektricky ovládaných doplňků – rolet či markýz. • Snadné připojení do zásuvky pomocí 4 m dlouhého kabelu s vidlicí. • Bezúdržbové provedení křídla a rámu s oblými rohy.  Sklon střechy • Lze instalovat ve sklonu od 15° do 90°.  Materiál rámu/křídla • ThermoTechnology™ – Lepený tepelně upravený dřevěný profil (TMT) s vrstvou polyuretanu. • Finální bílý lak UV stabilizovaný – při působení slunečního záření zůstává bílý a nemění svoji barvu (NSC S 0500-N nebo jako RAL 9003).  U okna = 1,0 ( W/m2 K) koeficient prostupu tepla U skla  = 0,6 ( W/m2 K) koeficient prostupu tepla.</t>
  </si>
  <si>
    <t>155</t>
  </si>
  <si>
    <t>766624064R00</t>
  </si>
  <si>
    <t>Montáž zastiňujících rolet střešních oken</t>
  </si>
  <si>
    <t>V01, V05</t>
  </si>
  <si>
    <t>V02, V06</t>
  </si>
  <si>
    <t>V03, V07</t>
  </si>
  <si>
    <t>V04, V08</t>
  </si>
  <si>
    <t xml:space="preserve">Položka obsahuje montáž zastiňujících rolet včetně spojovacího materiálu </t>
  </si>
  <si>
    <t>156</t>
  </si>
  <si>
    <t>6114058107VD1</t>
  </si>
  <si>
    <t>Roleta venkovní hliníková SML SK10 0000SA</t>
  </si>
  <si>
    <t>V01</t>
  </si>
  <si>
    <t>VENKOVNÍ ROLETA S ELEKTRICKÝM DÁLKOVÝM OVLÁDÁNÍM. SYSTÉMOVĚ KOMPATIBILNÍ S OKNEM. SDRUŽENÍ DO OVLÁDACÍCH CELKŮ - VIZ PROJEKT ELEKTRO.</t>
  </si>
  <si>
    <t>157</t>
  </si>
  <si>
    <t>61140559</t>
  </si>
  <si>
    <t>Roleta vnitřní zastiňující  OKNO SK10 - VIZ VÝPIS</t>
  </si>
  <si>
    <t>V05</t>
  </si>
  <si>
    <t xml:space="preserve">VNITŘNÍ ZASTIŇOVACÍ ROLETA S ELEKTRICKÝM OVLÁDÁNÍM. SYSTÉMOVĚ KOMPATIBILNÍ S OKNEM. SDRUŽENÍ DO OVLÁDACÍCH CELKŮ - VIZ PROJEKT ELEKTRO.
</t>
  </si>
  <si>
    <t>158</t>
  </si>
  <si>
    <t>6114058107VD2</t>
  </si>
  <si>
    <t>Roleta venkovní hliníková SML SK06 0000SA</t>
  </si>
  <si>
    <t>V02</t>
  </si>
  <si>
    <t>159</t>
  </si>
  <si>
    <t>61140559VD2</t>
  </si>
  <si>
    <t>Roleta vnitřní zastiňující  OKNO SK06 - VIZ VÝPIS</t>
  </si>
  <si>
    <t>V06</t>
  </si>
  <si>
    <t>160</t>
  </si>
  <si>
    <t>Roleta vnitřní zastiňující  PK06 1028SWL  - viz výpis</t>
  </si>
  <si>
    <t>V07</t>
  </si>
  <si>
    <t xml:space="preserve">VNITŘNÍ ZASTIŇOVACÍ ROLETA S RUČNÍM OVLÁDÁNÍM. SYSTÉMOVĚ KOMPATIBILNÍ S OKNEM. 
BÍLÉ LIŠTY, BÍLÁ TKANINA (BUDE VYVZORKOVÁNO)
</t>
  </si>
  <si>
    <t>161</t>
  </si>
  <si>
    <t>61140559VD4</t>
  </si>
  <si>
    <t>Roleta vnitřní zastiňující  PK10 1028SWL  - viz výpis</t>
  </si>
  <si>
    <t>V08</t>
  </si>
  <si>
    <t xml:space="preserve">VNITŘNÍ ZASTIŇOVACÍ ROLETA S RUČNÍM OVLÁDÁNÍM. SYSTÉMOVĚ KOMPATIBILNÍ S OKNEM. 
BÍLÉ LIŠTY, BÍLÁ TKANINA (BUDE VYVZORKOVÁNO)</t>
  </si>
  <si>
    <t>162</t>
  </si>
  <si>
    <t>6114058107VD3</t>
  </si>
  <si>
    <t>Roleta venkovní hliníková SML PK06 0000SA  - viz výpis</t>
  </si>
  <si>
    <t>V03</t>
  </si>
  <si>
    <t>VENKOVNÍ ROLETA S ELEKTRICKÝM DÁLKOVÝM OVLÁDÁNÍM. DODATEČNÁ MONTÁŽ, UVLÁDÁNÍ SAMOSTATNĚ PRO KAŽDÉ OKNO.</t>
  </si>
  <si>
    <t>163</t>
  </si>
  <si>
    <t>6114058107VD4</t>
  </si>
  <si>
    <t>Roleta venkovní hliníková SML PK10 0000SA  - viz výpis</t>
  </si>
  <si>
    <t>V04</t>
  </si>
  <si>
    <t>164</t>
  </si>
  <si>
    <t>766624045R00</t>
  </si>
  <si>
    <t>Montáž střešních oken rozměr 94/118-116 cm</t>
  </si>
  <si>
    <t>165</t>
  </si>
  <si>
    <t>6114020413VD3</t>
  </si>
  <si>
    <t>Okno střešní GGU PK06 0068 94 x 118 cm VIZ VÝPIS</t>
  </si>
  <si>
    <t>Okno je možné ovládat manuálně. • Možnost přímého připojení elektricky ovládaných doplňků – rolet či markýz. • Bezúdržbové provedení křídla a rámu s oblými rohy.  Sklon střechy • Lze instalovat ve sklonu od 15° do 90°.  Materiál rámu/křídla • ThermoTechnology™ – Lepený tepelně upravený dřevěný profil (TMT) s vrstvou polyuretanu. • Finální bílý lak UV stabilizovaný – při působení slunečního záření zůstává bílý a nemění svoji barvu (NSC S 0500-N nebo jako RAL 9003).  U okna = 1,0 ( W/m2 K) koeficient prostupu tepla U skla  = 0,6 ( W/m2 K) koeficient prostupu tepla.</t>
  </si>
  <si>
    <t>166</t>
  </si>
  <si>
    <t>611403064VD3</t>
  </si>
  <si>
    <t>Lemování okna SK06  94 x 118 cm</t>
  </si>
  <si>
    <t>167</t>
  </si>
  <si>
    <t>6114020413VD4</t>
  </si>
  <si>
    <t>Okno střešní GGU PK10 0068 94 x 160 cm VIZ VÝPIS</t>
  </si>
  <si>
    <t>168</t>
  </si>
  <si>
    <t>611403064VD4</t>
  </si>
  <si>
    <t>Lemování okna PK10  94 x 160 cm</t>
  </si>
  <si>
    <t>169</t>
  </si>
  <si>
    <t>998766203R00</t>
  </si>
  <si>
    <t>Přesun hmot pro truhlářské konstr., výšky do 24 m</t>
  </si>
  <si>
    <t>%</t>
  </si>
  <si>
    <t>767</t>
  </si>
  <si>
    <t>Konstrukce doplňkové stavební (zámečnické)</t>
  </si>
  <si>
    <t>170</t>
  </si>
  <si>
    <t>767137803R00</t>
  </si>
  <si>
    <t>Demontáž příček sádrokartonových, desek do suti</t>
  </si>
  <si>
    <t>767_</t>
  </si>
  <si>
    <t>(0,97+0,68)*2,5</t>
  </si>
  <si>
    <t>X11 - SDK opláštění sloupku</t>
  </si>
  <si>
    <t>171</t>
  </si>
  <si>
    <t>767990010RAC</t>
  </si>
  <si>
    <t>Atypické ocelové konstrukce</t>
  </si>
  <si>
    <t>10 - 50 kg/kus</t>
  </si>
  <si>
    <t>14,4*22</t>
  </si>
  <si>
    <t>X10 - podkladní plech pod stropní nosníky</t>
  </si>
  <si>
    <t>14,4*4</t>
  </si>
  <si>
    <t>U02 - podkladní plech pod stropní nosníky</t>
  </si>
  <si>
    <t>10,7*8</t>
  </si>
  <si>
    <t>U08 - svařenec mezi nosníkem, na tl. stropní desky 100 mm</t>
  </si>
  <si>
    <t>460*0,15</t>
  </si>
  <si>
    <t>+15% prořezy a sváry</t>
  </si>
  <si>
    <t>172</t>
  </si>
  <si>
    <t>767990010RAA</t>
  </si>
  <si>
    <t xml:space="preserve">do 5 kg/kus
včetně navaření na nosníky</t>
  </si>
  <si>
    <t>8*4,032</t>
  </si>
  <si>
    <t>podkladní plechy pod rámové nosníky</t>
  </si>
  <si>
    <t>32,256*0,15</t>
  </si>
  <si>
    <t>V kotvících bodech pro OK vynášející krov budou na horní pásnice I nosníků stropu navařeny roznášecí plechy tl. 20 mm a půdorysného rozměru dle půřezu navazujícího svařence.</t>
  </si>
  <si>
    <t>173</t>
  </si>
  <si>
    <t>767990010RAF</t>
  </si>
  <si>
    <t>250 - 500 kg/kus</t>
  </si>
  <si>
    <t>498,256*3</t>
  </si>
  <si>
    <t>Prvek 2 - 2×U180 - svařenec</t>
  </si>
  <si>
    <t>1494,768*0,15</t>
  </si>
  <si>
    <t>174</t>
  </si>
  <si>
    <t>767990010RAE</t>
  </si>
  <si>
    <t>100 - 250 kg/kus</t>
  </si>
  <si>
    <t>242,044*2</t>
  </si>
  <si>
    <t>Prvek 12 - 2×U180 - svařenec</t>
  </si>
  <si>
    <t>484,088*0,15</t>
  </si>
  <si>
    <t>175</t>
  </si>
  <si>
    <t>767990010RAD</t>
  </si>
  <si>
    <t>50 - 100 kg/kus</t>
  </si>
  <si>
    <t>92,432*2</t>
  </si>
  <si>
    <t>Prvek 13 - 2×U100 - svařenec</t>
  </si>
  <si>
    <t>72,6312*2</t>
  </si>
  <si>
    <t>Prvek 14 - 2×U100 - svařenec</t>
  </si>
  <si>
    <t>330,1264*0,15</t>
  </si>
  <si>
    <t>176</t>
  </si>
  <si>
    <t>998767103R00</t>
  </si>
  <si>
    <t>Přesun hmot pro zámečnické konstr., výšky do 24 m</t>
  </si>
  <si>
    <t>771</t>
  </si>
  <si>
    <t>Podlahy z dlaždic</t>
  </si>
  <si>
    <t>177</t>
  </si>
  <si>
    <t>771212113R00</t>
  </si>
  <si>
    <t>Kladení dlažby keramické do TM, vel. do 400x400 mm</t>
  </si>
  <si>
    <t>771_</t>
  </si>
  <si>
    <t>D.1.1._77_</t>
  </si>
  <si>
    <t>2,27*3,83+0,5*2,0</t>
  </si>
  <si>
    <t>S104</t>
  </si>
  <si>
    <t>Položka je určena pro kladení dlažby do tmele, rovnoběžně se stěnou, bez skládání složitých vzorů a tvarů. Položka obsahuje :  - zametení podkladu, - rozměření plochy,  - rozbalení balíků, třídění nebo rozpojení dlaždic dodávaných v blocích, - příprava a nanesení tmele na plochu, - řezání dlaždic, - kladení dlaždic, - spárování, čištění dlažby, odstranění odpadu. Položka neobsahuje žádný materiál. Skládání složitých vzorů a tvarů se oceňuje individuálně.</t>
  </si>
  <si>
    <t>178</t>
  </si>
  <si>
    <t>597642030</t>
  </si>
  <si>
    <t>Dlažba Taurus Granit matná 300x300x9 mm</t>
  </si>
  <si>
    <t>9,6941</t>
  </si>
  <si>
    <t>;ztratné 5%; 0,484705</t>
  </si>
  <si>
    <t>Slinuté neglazované obkladové prvky s velmi nízkou nasákavostí pod 0,5 %, určené k obkladům podlah v exteriérech a interiérech, které jsou vystaveny povětrnostním vlivům a vysokému až extremnímu mechanickému namáhání, obrusu a znečištění</t>
  </si>
  <si>
    <t>179</t>
  </si>
  <si>
    <t>58582139</t>
  </si>
  <si>
    <t>weberfor duoflex lepicí tmel na obklady a dlažby</t>
  </si>
  <si>
    <t>9,6941*4</t>
  </si>
  <si>
    <t>;ztratné 5%; 1,93882</t>
  </si>
  <si>
    <t>Mrazuvzdorný, jednosložkový, lepicí tmel na bázi cementu.  Použití: Pro minerální podklady, jako vápenocementové omítky a beton.  Pro lepení dlažby na podklady se zabudovaným topením.  Na terasy, balkony. Podlahy ve vlhkých provozech.  K lepení bělninových, slinutých, kameninových obkladů, obkladů z umělých kamenů a skleněných tvárnic.  Nedoporučuje se na dřevo, štuky, kovy a barevné nátěry.  cca 4 kg/m</t>
  </si>
  <si>
    <t>180</t>
  </si>
  <si>
    <t>771475014RT01</t>
  </si>
  <si>
    <t>Obklad soklíků keram.rovných, tmel,výška 10 cm</t>
  </si>
  <si>
    <t>lep+penetr.+spár.</t>
  </si>
  <si>
    <t>13,04</t>
  </si>
  <si>
    <t>4.05</t>
  </si>
  <si>
    <t>Spotřeba lepidla pro zubovou stěrku 6 mm, spotřeba spárovací hmoty pro spáru šířky 5, výšky 8 mm</t>
  </si>
  <si>
    <t>181</t>
  </si>
  <si>
    <t>Dlažba matná 300x300x9 mm</t>
  </si>
  <si>
    <t>13,04/3</t>
  </si>
  <si>
    <t>;ztratné 15%; 0,6520005</t>
  </si>
  <si>
    <t>182</t>
  </si>
  <si>
    <t>771479001R00</t>
  </si>
  <si>
    <t>Řezání dlaždic keramických pro soklíky</t>
  </si>
  <si>
    <t>183</t>
  </si>
  <si>
    <t>771578011R00</t>
  </si>
  <si>
    <t>Spára podlaha - stěna, silikonem</t>
  </si>
  <si>
    <t>184</t>
  </si>
  <si>
    <t>771579793R00</t>
  </si>
  <si>
    <t>Příplatek za spárovací hmotu - plošně,keram.dlažba</t>
  </si>
  <si>
    <t>13,04*0,1</t>
  </si>
  <si>
    <t>185</t>
  </si>
  <si>
    <t>771111122R00</t>
  </si>
  <si>
    <t>Montáž podlahových lišt přechodových</t>
  </si>
  <si>
    <t>Položka je určena pro vytvoření  přechodU mezi různými podlahovými materiály. Položka obsahuje : - přípravu lišty, - osazení samolepicí lišty, nebo lišty do tmelu. Položka neobsahuje žádný materiál</t>
  </si>
  <si>
    <t>186</t>
  </si>
  <si>
    <t>5537005224</t>
  </si>
  <si>
    <t>Lišta přechodová nerez 12 721/F vrtaná l=270 cm</t>
  </si>
  <si>
    <t>profil pro podlahy o stejné výšce  nerez ocel 1.4016 tl. 12/10 mm šířka 30 mm vrtaná lišt</t>
  </si>
  <si>
    <t>187</t>
  </si>
  <si>
    <t>998771103R00</t>
  </si>
  <si>
    <t>Přesun hmot pro podlahy z dlaždic, výšky do 24 m</t>
  </si>
  <si>
    <t>776</t>
  </si>
  <si>
    <t>Podlahy povlakové</t>
  </si>
  <si>
    <t>188</t>
  </si>
  <si>
    <t>776101121R00</t>
  </si>
  <si>
    <t>Provedení penetrace podkladu pod.povlak.podlahy</t>
  </si>
  <si>
    <t>776_</t>
  </si>
  <si>
    <t>4.01,4.02 - S103 (dvě vrstvy)</t>
  </si>
  <si>
    <t>137,8266*2</t>
  </si>
  <si>
    <t>4.01-4.05 - S102,S104 (dvě vrstvy)</t>
  </si>
  <si>
    <t>Položka obsahuje provedení penetračního nátěru pro zlepšení kontaktu podkladu s lepicím materiálem. Položka neobsahuje žádný materiál.</t>
  </si>
  <si>
    <t>189</t>
  </si>
  <si>
    <t>24592120</t>
  </si>
  <si>
    <t>Nátěr penetrační disperzní weberpodklad haft 5 kg</t>
  </si>
  <si>
    <t>12,744*2*0,2</t>
  </si>
  <si>
    <t>4.01,4.02 - S103 (2 vrstvy)</t>
  </si>
  <si>
    <t>137,8266*2*0,2</t>
  </si>
  <si>
    <t>;ztratné 5%; 3,011412</t>
  </si>
  <si>
    <t>weber.podklad haft, NP653  univerzální disperzní penetrační nátěr pro savé i nesavé povrchy bez rozpouštědel  připravený k přímému použití  vysoká přilnavost na hladkých nesajících podkladech  rychlé tuhnutí  vhodný pro použití ve vnitřních prostorách  bal. 5 kg  spotřeba: 0,2 kg/m</t>
  </si>
  <si>
    <t>190</t>
  </si>
  <si>
    <t>776520030RAI</t>
  </si>
  <si>
    <t>Podlaha povlaková z PVC antistatická, soklík</t>
  </si>
  <si>
    <t>pouze položení, podlahovina ve specifikaci - bude vyvzorkováno</t>
  </si>
  <si>
    <t>6,31+10,26+65,75+11,54</t>
  </si>
  <si>
    <t>4.01-4.04</t>
  </si>
  <si>
    <t>191</t>
  </si>
  <si>
    <t>28410247VD1</t>
  </si>
  <si>
    <t>Podlahovina PVC  608x608x1,7 mm homogenní</t>
  </si>
  <si>
    <t>93,86</t>
  </si>
  <si>
    <t>;ztratné 15%; 14,079</t>
  </si>
  <si>
    <t xml:space="preserve">Kategorie: _x0009_Zátěžové PVC
Hmotnost: _x0009_2.363 kg
Antistatika: _x0009_Ano
Celková tloušťka (mm): _x0009_1.7
Dekor: _x0009_Barevný, Chips, Ostatní
Dostupnost: _x0009_Skladem
Klasifikace hořlavosti: _x0009_Bfl.S1
Nášlapná vrstva: _x0009_1.7
Použití: _x0009_Zátěžové
Rubová strana: _x0009_Bez filcu
Užitná třída: _x0009_41
Váha celková: _x0009_2363 g/m2
Vhodnost pod kolečkovou židli: _x0009_Ano
Vhodnost pro podlahové vytápění: _x0009_Ano </t>
  </si>
  <si>
    <t>192</t>
  </si>
  <si>
    <t>776421200R00</t>
  </si>
  <si>
    <t>Lepení podlahových soklíků k PVC podlahám,na lišty</t>
  </si>
  <si>
    <t>14,83+10,28+36,34+21,5</t>
  </si>
  <si>
    <t>-(0,8*4+0,9*1)</t>
  </si>
  <si>
    <t>Montáž soklové lišty pro PVC (vinylové) podlahy, připevnění podlahoviny na stěnu lepením. Položka neobsahuje dodávku podlahoviny a soklové lišty, oceňuje se ve specifikaci</t>
  </si>
  <si>
    <t>193</t>
  </si>
  <si>
    <t>28342402VD1</t>
  </si>
  <si>
    <t>Lišta soklová PVC 45x25 mm</t>
  </si>
  <si>
    <t>78,85</t>
  </si>
  <si>
    <t>;ztratné 5%; 3,9425</t>
  </si>
  <si>
    <t>podlahové lišty, určené k zakončení podlahové plochy u stěn, nebo sloup</t>
  </si>
  <si>
    <t>194</t>
  </si>
  <si>
    <t>776996110R00</t>
  </si>
  <si>
    <t>Napuštění povlakových podlah pastou</t>
  </si>
  <si>
    <t>195</t>
  </si>
  <si>
    <t>998776103R00</t>
  </si>
  <si>
    <t>Přesun hmot pro podlahy povlakové, výšky do 24 m</t>
  </si>
  <si>
    <t>781</t>
  </si>
  <si>
    <t>Obklady (keramické)</t>
  </si>
  <si>
    <t>196</t>
  </si>
  <si>
    <t>781475114VD1</t>
  </si>
  <si>
    <t>Obklad vnitřní stěn keramický, do tmele, 20x20 cm</t>
  </si>
  <si>
    <t>781_</t>
  </si>
  <si>
    <t>D.1.1._78_</t>
  </si>
  <si>
    <t>Adesilex P9 (lepidlo),Ultracolor plus (spár.hmota)</t>
  </si>
  <si>
    <t>za umyvadlem</t>
  </si>
  <si>
    <t>Výrobky firmy Mapei. Spotřeba lepidla pro zubovou stěrku č. 5 mm, spotřeba spárovací hmoty pro spáru šířky 5, výšky 8 mm</t>
  </si>
  <si>
    <t>197</t>
  </si>
  <si>
    <t>597813603</t>
  </si>
  <si>
    <t>Obkládačka 20x20 světle šedá lesk</t>
  </si>
  <si>
    <t>1,8</t>
  </si>
  <si>
    <t>;ztratné 10%; 0,18</t>
  </si>
  <si>
    <t>glazované keramické obkladové prvk</t>
  </si>
  <si>
    <t>198</t>
  </si>
  <si>
    <t>781419705R00</t>
  </si>
  <si>
    <t>Příplatek za spárovací hmotu-plošně,pórovin.obklad</t>
  </si>
  <si>
    <t>1,5*1,5</t>
  </si>
  <si>
    <t>199</t>
  </si>
  <si>
    <t>781497111RS3</t>
  </si>
  <si>
    <t>Lišta hliníková ukončovacích k obkladům</t>
  </si>
  <si>
    <t>profil RB, pro tloušťku obkladu 10 mm</t>
  </si>
  <si>
    <t>1,2+1,5*2</t>
  </si>
  <si>
    <t xml:space="preserve">Pokládání do tmele.  </t>
  </si>
  <si>
    <t>200</t>
  </si>
  <si>
    <t>781111115R00</t>
  </si>
  <si>
    <t>Otvor v obkladačce diamant.korunkou prům.do 30 mm</t>
  </si>
  <si>
    <t>201</t>
  </si>
  <si>
    <t>781111116R00</t>
  </si>
  <si>
    <t>Otvor v obkladačce diamant.korunkou prům.do 90 mm</t>
  </si>
  <si>
    <t>202</t>
  </si>
  <si>
    <t>781101141R00</t>
  </si>
  <si>
    <t>Hydroizolační stěrka jednovrstvá pod obklady</t>
  </si>
  <si>
    <t>Položka obsahuje provedení penetračního nátěru. Položka neobsahuje žádný materiál.</t>
  </si>
  <si>
    <t>203</t>
  </si>
  <si>
    <t>23521590.A</t>
  </si>
  <si>
    <t>stěrka hydroizolační Mapei</t>
  </si>
  <si>
    <t>1,2*1,5*1,5</t>
  </si>
  <si>
    <t>;ztratné 10%; 0,27</t>
  </si>
  <si>
    <t>na bázi disperze použití: alternativní hydroizolace a hmota k překrytí trhlin pod obklady a dlažbu v interiéru, snadná aplikace pomocí válečku, natíráním nebo stěrkou  spotřeba: 1,5 kg/m2  balení: nádoba po 5 k</t>
  </si>
  <si>
    <t>204</t>
  </si>
  <si>
    <t>781101210R00</t>
  </si>
  <si>
    <t>Penetrace podkladu pod obklady</t>
  </si>
  <si>
    <t>1,2*1,5*2</t>
  </si>
  <si>
    <t>2 vrstvy</t>
  </si>
  <si>
    <t xml:space="preserve">Položka obsahuje provedení penetračního nátěru včetně dodávky materiálu. </t>
  </si>
  <si>
    <t>205</t>
  </si>
  <si>
    <t>24696906.A</t>
  </si>
  <si>
    <t>podkladní nátěr základ.synt. pro savý podklad</t>
  </si>
  <si>
    <t>1,2*1,5*0,2*2</t>
  </si>
  <si>
    <t>;ztratné 10%; 0,072</t>
  </si>
  <si>
    <t>použití: pro vnitřní použití k snížení savosti podkladu před nanesením tmelů pro lepení obkladů nebo stěrky, ředí se vodou v poměru 1:1 až 1:3 spotřeba: 0,1 - 0,2 kg/m2  balení: nádoba po 10 k</t>
  </si>
  <si>
    <t>206</t>
  </si>
  <si>
    <t>998781103R00</t>
  </si>
  <si>
    <t>Přesun hmot pro obklady keramické, výšky do 24 m</t>
  </si>
  <si>
    <t>783</t>
  </si>
  <si>
    <t>Nátěry</t>
  </si>
  <si>
    <t>207</t>
  </si>
  <si>
    <t>783225100R00</t>
  </si>
  <si>
    <t>Nátěr syntetický kovových konstrukcí 2x + 1x email</t>
  </si>
  <si>
    <t>783_</t>
  </si>
  <si>
    <t>0,3*(0,86+2,0*2)*3+0,3*(0,96+2,0*2)*1</t>
  </si>
  <si>
    <t>zárubně</t>
  </si>
  <si>
    <t>(0,14*2+0,18*2)+</t>
  </si>
  <si>
    <t>U09 - OK</t>
  </si>
  <si>
    <t>(0,1*4)*(4,36+3,43)+(0,175+4,13+2,50+4,13+0,175)*3+(0,34*2+0,15*2)*(0,175+4,13+1,09)*2</t>
  </si>
  <si>
    <t>208</t>
  </si>
  <si>
    <t>783226100R00</t>
  </si>
  <si>
    <t>Nátěr syntetický kovových konstrukcí základní</t>
  </si>
  <si>
    <t>1,5*(9,25*7)</t>
  </si>
  <si>
    <t>HEB 260</t>
  </si>
  <si>
    <t>0,844*(9,25*2+11,9*2)</t>
  </si>
  <si>
    <t>I240</t>
  </si>
  <si>
    <t>209</t>
  </si>
  <si>
    <t>783782205R00</t>
  </si>
  <si>
    <t>Nátěr tesařských konstrukcí  QB 2x</t>
  </si>
  <si>
    <t>(6,5*4+6,28+7,24+6,03+6,6*2)*(0,06+0,2)*2</t>
  </si>
  <si>
    <t>(2*6,5*(11+8)+2*(7,96+6,37+6,37+6,61))*(0,06+0,2)*2</t>
  </si>
  <si>
    <t>(6,5*10+4,49+2,72+0,24+0,94+1,81+2,67+4,48+4,48+2,67+1,81+0,94+1,47+2,35+3,25+3,71+3,20)*0,26*2</t>
  </si>
  <si>
    <t>(1,54+0,83+1,76+2,58+4,27+5,21+4,37+3,52+2,68+1,84+0,99+0,15)*(0,06+0,2)*2</t>
  </si>
  <si>
    <t>(2*(5,43+3,65+1,71+1,17+3,62+5,43+5,43+3,62+3,42+5,18))*(0,06+0,2)*2</t>
  </si>
  <si>
    <t>-(1,6*8+1,19*8+1,18*7+1,6*1)*(0,06+0,2)*2</t>
  </si>
  <si>
    <t>(1,21*3*8+1,21*7+1,21*2)*(0,06+0,2)*2</t>
  </si>
  <si>
    <t>(0,575*(32+7+7+6+28+8+28+48))*(0,06+0,2)*2</t>
  </si>
  <si>
    <t>(4,96+2,40)*(0,06+0,2)*2</t>
  </si>
  <si>
    <t>(8,85*2+11,32+8,8)*(0,06+0,06)*2</t>
  </si>
  <si>
    <t>93,67*(0,1+0,18)*2</t>
  </si>
  <si>
    <t>(17,87+8,97+13,1+2,49+5,01)*(0,12+0,16)*2</t>
  </si>
  <si>
    <t>4,45*3*(0,12+0,15)*2</t>
  </si>
  <si>
    <t>44,25*(0,1+0,24)*2</t>
  </si>
  <si>
    <t>27,965*(0,18+0,22)*2</t>
  </si>
  <si>
    <t>Koncentrovaný vodou ředitelný fungicidní a insekticidní přípravek na dřevo i zdivo. Přípravek poskytuje dlouhodobou ochranu proti dřevokaznému hmyzu, dřevokazným houbám a plísním. Aplikuje se natíráním. Spotřeba v exteriéru pro dvojitý nátěr 40 g/m2</t>
  </si>
  <si>
    <t>210</t>
  </si>
  <si>
    <t>783626211R00</t>
  </si>
  <si>
    <t>Nátěr truhlářských výrobků lazurovací  2x</t>
  </si>
  <si>
    <t>(0,02*2+0,14)*(0,9+0,8*3)</t>
  </si>
  <si>
    <t>Prahy dveří</t>
  </si>
  <si>
    <t>Ochranná exteriérová a interiérová lazurovací tenkovrstvá povrchová úprava. Chrání před atmosférickými vlivy, slunečními paprsky, vlhkostí, vodou, růstem plísní a hub a před napadením dřevokaznými houbami. Před nátěrem se dřevo opatří impregnačním nátěrem položka č. 78362-6001</t>
  </si>
  <si>
    <t>211</t>
  </si>
  <si>
    <t>783626001R00</t>
  </si>
  <si>
    <t>Nátěr truhlářských výrobků impregnační  1x</t>
  </si>
  <si>
    <t>Impregnační nátěr na dřevo proti plísním a houbám. Zvyšuje přilnavost vrchního nátěru. Neředí se</t>
  </si>
  <si>
    <t>784</t>
  </si>
  <si>
    <t>Malby</t>
  </si>
  <si>
    <t>212</t>
  </si>
  <si>
    <t>784191101R00</t>
  </si>
  <si>
    <t>Penetrace podkladu univerzální Primalex 1x</t>
  </si>
  <si>
    <t>784_</t>
  </si>
  <si>
    <t>27,771</t>
  </si>
  <si>
    <t>51,2666*2</t>
  </si>
  <si>
    <t>54,7668</t>
  </si>
  <si>
    <t>viz vnitřní omítky</t>
  </si>
  <si>
    <t>3,0*(4,66+8,27)+27,65+1,18*3*3,0</t>
  </si>
  <si>
    <t>dílčí část stávající chodby</t>
  </si>
  <si>
    <t>Penetrační přípravek k provádění základního napouštěcího nátěru pod interiérové a fasádní akrylátové barvy, zpevňuje podklad, sjednocuje savost, omezuje tvorbu vlasových trhlinek a zvyšuje přilnavost dalších vrstev nátěrů, lepidel či tmelů.</t>
  </si>
  <si>
    <t>213</t>
  </si>
  <si>
    <t>784195322R00</t>
  </si>
  <si>
    <t>Malba , barva, bez penetrace,2 x</t>
  </si>
  <si>
    <t>523,10965</t>
  </si>
  <si>
    <t>viz penetrace</t>
  </si>
  <si>
    <t>Otěruvzdorný tekutý malířský vnitřní nátěr s výbornou kryvostí a bělostí. Ředí se vodou 0,5 - 0,75 l čisté vody na 1 kg barvy. Bez vyspravení sádrou a bez penetrace.</t>
  </si>
  <si>
    <t>Lešení a stavební výtahy</t>
  </si>
  <si>
    <t>214</t>
  </si>
  <si>
    <t>941940032RAA</t>
  </si>
  <si>
    <t>Lešení lehké fasádní, š. 1 m, výška do 30 m</t>
  </si>
  <si>
    <t>94_</t>
  </si>
  <si>
    <t>montáž, demontáž, doprava, pronájem 1 měsíc</t>
  </si>
  <si>
    <t>12,5*(11,96+2,65+5,0+1,0*2)+13,6*20,7</t>
  </si>
  <si>
    <t>J, S</t>
  </si>
  <si>
    <t>(1,0+1,0*2+1,0+11,5+1,0*2)*5,2</t>
  </si>
  <si>
    <t>J,S,Z (nad střechou)</t>
  </si>
  <si>
    <t>215</t>
  </si>
  <si>
    <t>941955002T00</t>
  </si>
  <si>
    <t>Lešení lehké pomocné, výška podlahy do 1,9 m</t>
  </si>
  <si>
    <t>pro interiérové práce</t>
  </si>
  <si>
    <t>8,5*1*6+5,6+2,7*2+13,5</t>
  </si>
  <si>
    <t>Bourání konstrukcí</t>
  </si>
  <si>
    <t>216</t>
  </si>
  <si>
    <t>962032641R00</t>
  </si>
  <si>
    <t>Bourání zdiva komínového z cihel na MC</t>
  </si>
  <si>
    <t>96_</t>
  </si>
  <si>
    <t>1,1*0,5*4,0</t>
  </si>
  <si>
    <t>X01 - odbourání komína</t>
  </si>
  <si>
    <t>V položce není kalkulována manipulace se sutí, která se oceňuje samostatně položkami souboru 979</t>
  </si>
  <si>
    <t>217</t>
  </si>
  <si>
    <t>968072455R00</t>
  </si>
  <si>
    <t>Vybourání kovových dveřních zárubní pl. do 2 m2</t>
  </si>
  <si>
    <t>0,8*1,97</t>
  </si>
  <si>
    <t>X13</t>
  </si>
  <si>
    <t>V položce není kalkulována manipulace se sutí, která se oceňuje samostatně položkami souboru 979. V položce není zakalkulováno vyvěšení dveřních křídel. Tyto práce se oceňují samostatně položkami souboru 968 06-11.. nebo 07-11.. Vyvěšení křídel.</t>
  </si>
  <si>
    <t>218</t>
  </si>
  <si>
    <t>968061125R00</t>
  </si>
  <si>
    <t>Vyvěšení dřevěných dveřních křídel pl. do 2 m2</t>
  </si>
  <si>
    <t>Položka obsahuje náklady na vyvěšení křídel, jejich uložení a zpětné zavěšení po provedených stavebních úpravách. Položka se používá i pro vyvěšení křídel určených k likvidaci</t>
  </si>
  <si>
    <t>219</t>
  </si>
  <si>
    <t>962200011RAB</t>
  </si>
  <si>
    <t>Bourání příček z cihel pálených</t>
  </si>
  <si>
    <t>tloušťka 15 cm</t>
  </si>
  <si>
    <t>2,66*3,0</t>
  </si>
  <si>
    <t>X14</t>
  </si>
  <si>
    <t>V položce není kalkulován poplatek za skládku pro vybouranou suť. Tyto náklady se oceňují individuálně podle místních podmínek. Orientační hmotnost vybouraných konstrukcí je 0,261 t/m2 konstrukce.</t>
  </si>
  <si>
    <t>220</t>
  </si>
  <si>
    <t>965100032RAA</t>
  </si>
  <si>
    <t>Bourání dlažeb keramických</t>
  </si>
  <si>
    <t>bez podkladních vrstev, tloušťka do 10 mm</t>
  </si>
  <si>
    <t>0,5*1,98</t>
  </si>
  <si>
    <t>X15</t>
  </si>
  <si>
    <t>V položce není kalkulován poplatek za skládku pro vybouranou suť. Tyto náklady se oceňují individuálně podle místních podmínek. Orientační hmotnost vybouraných konstrukcí je 0,020 t/m2 konstrukce.</t>
  </si>
  <si>
    <t>221</t>
  </si>
  <si>
    <t>962032241R00</t>
  </si>
  <si>
    <t>Bourání zdiva z cihel pálených na MC</t>
  </si>
  <si>
    <t>Odbourání cihelné nadezdívky výšky 150 mm.</t>
  </si>
  <si>
    <t>(20,2+10,75+13,25+2,65+5,0)*0,45*0,15</t>
  </si>
  <si>
    <t>X08</t>
  </si>
  <si>
    <t>Prorážení otvorů a ostatní bourací práce</t>
  </si>
  <si>
    <t>222</t>
  </si>
  <si>
    <t>978042114R00</t>
  </si>
  <si>
    <t>Odstranění KZS minerál.izolace tl.140 mm s omítkou</t>
  </si>
  <si>
    <t>97_</t>
  </si>
  <si>
    <t>2,6*3,5+6,39*3,0+2,4*3,0+2,35*3,0*0,5+2,56*3,0*0,5</t>
  </si>
  <si>
    <t>X02 - odstranění kzs strojovny</t>
  </si>
  <si>
    <t>Položka obsahuje demontáž kontaktního zateplovacího systému  (omítka, stěrka, síťovina,kotvy, izolant) včetně systémových lišt. Obsah prací: - rozřezání povrchu na čtverce - odstranění omítky s tepelnou izolací - odstranění kotev izolantu - odstranění lepidla bez začištění nosné konstrukce (pro novou povrchovou úpravu)  V položce není kalkulována manipulace se sutí, která se oceňuje samostatně položkami souboru 979</t>
  </si>
  <si>
    <t>223</t>
  </si>
  <si>
    <t>974031287R00</t>
  </si>
  <si>
    <t>Vysekání rýh zeď cihelná u stropu 30 x 30 cm</t>
  </si>
  <si>
    <t>0,62*22</t>
  </si>
  <si>
    <t>X10 - pro uložení nosníků stropu</t>
  </si>
  <si>
    <t>Položka platí pro zdivo na jakoukoliv maltu vápennou nebo vápenocementovou, V položce není kalkulována manipulace se sutí, která se oceňuje samostatně položkami souboru 979</t>
  </si>
  <si>
    <t>224</t>
  </si>
  <si>
    <t>979097011RT02</t>
  </si>
  <si>
    <t>Pronájem autojeřábu - viz výkres situace</t>
  </si>
  <si>
    <t>hod</t>
  </si>
  <si>
    <t xml:space="preserve">Doprava materiálu na půdu, krov, stropní konstrukce, ocelové konstrukce
AUTOJEŘÁB S RADIUSEM 30 m  A NOSNOSTÍ MIN 1T (PRO TUTO VZÁLENOST)</t>
  </si>
  <si>
    <t>S</t>
  </si>
  <si>
    <t>Přesuny sutí</t>
  </si>
  <si>
    <t>225</t>
  </si>
  <si>
    <t>979011311RT1</t>
  </si>
  <si>
    <t>Svislá doprava suti a vybouraných hmot shozem</t>
  </si>
  <si>
    <t>S_</t>
  </si>
  <si>
    <t>s naložením do shozu</t>
  </si>
  <si>
    <t>40,11023</t>
  </si>
  <si>
    <t xml:space="preserve">Ruční přemístění suti z dopravního prostředku (kolečka) do násypky (násypka nad úrovní dopravního prostředku). </t>
  </si>
  <si>
    <t>226</t>
  </si>
  <si>
    <t>979081111RT3</t>
  </si>
  <si>
    <t>Odvoz suti a vybour. hmot na skládku do 1 km</t>
  </si>
  <si>
    <t>RTS I / 2021</t>
  </si>
  <si>
    <t>kontejnerem 7 t</t>
  </si>
  <si>
    <t>227</t>
  </si>
  <si>
    <t>979081121RT3</t>
  </si>
  <si>
    <t>Příplatek k odvozu za každý další 1 km</t>
  </si>
  <si>
    <t xml:space="preserve">kontejnerem 7 t
Ivančice</t>
  </si>
  <si>
    <t>40,11023*12</t>
  </si>
  <si>
    <t>228</t>
  </si>
  <si>
    <t>979990101R00</t>
  </si>
  <si>
    <t>Poplatek za suti a odpadu</t>
  </si>
  <si>
    <t>Zdravotně technické instalace</t>
  </si>
  <si>
    <t>D.1.4.a</t>
  </si>
  <si>
    <t>229</t>
  </si>
  <si>
    <t>611401111RT2</t>
  </si>
  <si>
    <t>Oprava omítky na stropech o ploše do 0,09 m2</t>
  </si>
  <si>
    <t>D.1.4.a_6_</t>
  </si>
  <si>
    <t>D.1.4.a_</t>
  </si>
  <si>
    <t>vápennou štukovou omítkou</t>
  </si>
  <si>
    <t>prostup vododovdu</t>
  </si>
  <si>
    <t xml:space="preserve"> V položce jsou zakalkulovány náklady na pomocné pracovní lešení o výšce podlahy do 1900 mm a pro zatížení do 1,5 kPa. Položka obsahuje cementový postřik, jádrovou omítku a štukovou omítku</t>
  </si>
  <si>
    <t>230</t>
  </si>
  <si>
    <t>713571116R00</t>
  </si>
  <si>
    <t>Požárně ochranná manžeta hl. 60mm, EI 90, D 125 mm</t>
  </si>
  <si>
    <t>D.1.4.a_71_</t>
  </si>
  <si>
    <t xml:space="preserve">Prostupy hodnocené jako EI budou označeny ve smyslu požadavků §9, odst.6), vyhl. č. 23/2008
Sb. zřetelně označeny štítkem obsahující následující informace :
o požární odolnost,
o druh nebo typ ucpávky,
o datum provedení,
o název firmy, adresa a jméno zhotovitele,
o označení výrobce systému.</t>
  </si>
  <si>
    <t>prostup kanalizací (strop, střecha)</t>
  </si>
  <si>
    <t>Požárně ochranná manžeta Promastop tvoří přepážku pro hořlavé potrubí, hodnota požární odolnosti EI 90. Ke stěně nebo stropu se připojuje pomocí rozpěrné hmoždinky se šroubem. D = vnější průměr trubky. Katalogový list 501.30</t>
  </si>
  <si>
    <t>231</t>
  </si>
  <si>
    <t>713571111R00</t>
  </si>
  <si>
    <t>Požárně ochranná manžeta hl. 60 mm, EI 90, D 50 mm</t>
  </si>
  <si>
    <t>prostup stropem</t>
  </si>
  <si>
    <t>Požárně ochranná manžeta Promastop tvoří přepážku pro hořlavé potrubí, hodnota požární odolnosti EI 90. Ke stěně nebo stropu se připojuje pomocí rozpěrné hmoždinky se šroubem. D = vnější průměr trubky. Katalogový list 501.30.</t>
  </si>
  <si>
    <t>721</t>
  </si>
  <si>
    <t>Vnitřní kanalizace</t>
  </si>
  <si>
    <t>232</t>
  </si>
  <si>
    <t>721210822P</t>
  </si>
  <si>
    <t>Demontáž přivzdušňovací hlavice DN 100</t>
  </si>
  <si>
    <t>721_</t>
  </si>
  <si>
    <t>D.1.4.a_72_</t>
  </si>
  <si>
    <t>233</t>
  </si>
  <si>
    <t>721170905R00</t>
  </si>
  <si>
    <t>Vsazení odbočky DN50 na PVC110</t>
  </si>
  <si>
    <t>234</t>
  </si>
  <si>
    <t>721170965R00</t>
  </si>
  <si>
    <t>Propojení na dosavadní potrubí PVC D 110</t>
  </si>
  <si>
    <t>235</t>
  </si>
  <si>
    <t>721300912R00</t>
  </si>
  <si>
    <t>Pročištění svisl.odpadů, 1 podlaží do DN 200</t>
  </si>
  <si>
    <t>236</t>
  </si>
  <si>
    <t>721176102R00</t>
  </si>
  <si>
    <t>Potrubí HT připojovací D 40 x 1,8 mm</t>
  </si>
  <si>
    <t>237</t>
  </si>
  <si>
    <t>721176103R00</t>
  </si>
  <si>
    <t>Potrubí HT připojovací D 50 x 1,8 mm</t>
  </si>
  <si>
    <t>238</t>
  </si>
  <si>
    <t>721176115R00</t>
  </si>
  <si>
    <t>Potrubí HT odpadní svislé D 110 x 2,7 mm</t>
  </si>
  <si>
    <t>239</t>
  </si>
  <si>
    <t>721176116R00</t>
  </si>
  <si>
    <t>Potrubí HT odpadní svislé D 125 x 3,1 mm</t>
  </si>
  <si>
    <t>240</t>
  </si>
  <si>
    <t>721194104R00</t>
  </si>
  <si>
    <t>Vyvedení odpadních výpustek D 40 x 1,8</t>
  </si>
  <si>
    <t>241</t>
  </si>
  <si>
    <t>721273146R00</t>
  </si>
  <si>
    <t>Nástavec větrací D125 mm, délka 990 mm</t>
  </si>
  <si>
    <t>242</t>
  </si>
  <si>
    <t>721273150R00</t>
  </si>
  <si>
    <t>Hlavice větrací HL900</t>
  </si>
  <si>
    <t>243</t>
  </si>
  <si>
    <t>721290123R00</t>
  </si>
  <si>
    <t>Zkouška těsnosti kanaliz.kouřem do DN 300</t>
  </si>
  <si>
    <t>722</t>
  </si>
  <si>
    <t>Vnitřní vodovod</t>
  </si>
  <si>
    <t>244</t>
  </si>
  <si>
    <t>722178112P</t>
  </si>
  <si>
    <t>Potrubí vícevrstvé PE-Xb/AL/PE-Xb, D18x2mm, (certifikované pro pitnou vodu)</t>
  </si>
  <si>
    <t>722_</t>
  </si>
  <si>
    <t>245</t>
  </si>
  <si>
    <t>722179191R00</t>
  </si>
  <si>
    <t>Příplatek za malý rozsah do 20 m rozvodu</t>
  </si>
  <si>
    <t>soubor</t>
  </si>
  <si>
    <t>246</t>
  </si>
  <si>
    <t>722179192R00</t>
  </si>
  <si>
    <t>Příplatek za malý rozsah do 15 svarů do DN 32</t>
  </si>
  <si>
    <t>247</t>
  </si>
  <si>
    <t>722181212RT6</t>
  </si>
  <si>
    <t>Izolace návlek.PE-trubice,tl.9mm/Di=18mm</t>
  </si>
  <si>
    <t>248</t>
  </si>
  <si>
    <t>722182011R00</t>
  </si>
  <si>
    <t>Montáž izolač.skruží na potrubí do DN 25</t>
  </si>
  <si>
    <t>249</t>
  </si>
  <si>
    <t>722190401R00</t>
  </si>
  <si>
    <t>Vyvedení a upevnění výpustek DN 15</t>
  </si>
  <si>
    <t>250</t>
  </si>
  <si>
    <t>722220111R00</t>
  </si>
  <si>
    <t>Nástěnka K 247, pro výtokový ventil G 1/2</t>
  </si>
  <si>
    <t>251</t>
  </si>
  <si>
    <t>722220121R00</t>
  </si>
  <si>
    <t>Nástěnka K 247 pro nást.baterii G 1/2</t>
  </si>
  <si>
    <t>pár</t>
  </si>
  <si>
    <t>252</t>
  </si>
  <si>
    <t>722239101R00</t>
  </si>
  <si>
    <t>Montáž vodovodních armatur 2 závity G 1/2</t>
  </si>
  <si>
    <t>253</t>
  </si>
  <si>
    <t>722290226R00</t>
  </si>
  <si>
    <t>Dílčí zkouška tlaku potr. do DN 50</t>
  </si>
  <si>
    <t>254</t>
  </si>
  <si>
    <t>722280106R00</t>
  </si>
  <si>
    <t>Tlaková zkouška vodovod.potr. do DN 32</t>
  </si>
  <si>
    <t>255</t>
  </si>
  <si>
    <t>722290234R00</t>
  </si>
  <si>
    <t>Proplach+dezinfekce vodovod.potr.do DN 80</t>
  </si>
  <si>
    <t>256</t>
  </si>
  <si>
    <t>722S1Mirel</t>
  </si>
  <si>
    <t>Lepící páska PE-izol.návl.potr.š.38mm x 50m</t>
  </si>
  <si>
    <t>bal.</t>
  </si>
  <si>
    <t>257</t>
  </si>
  <si>
    <t>722S2Mirel</t>
  </si>
  <si>
    <t>Sponky plast.PE-izol.návleků potrubí</t>
  </si>
  <si>
    <t>725</t>
  </si>
  <si>
    <t>Zařizovací předměty</t>
  </si>
  <si>
    <t>258</t>
  </si>
  <si>
    <t>725017123R00</t>
  </si>
  <si>
    <t>Umyvadlo na šrouby 60 x 45 cm, bílé</t>
  </si>
  <si>
    <t>725_</t>
  </si>
  <si>
    <t>259</t>
  </si>
  <si>
    <t>725017129R00</t>
  </si>
  <si>
    <t>Kryt sifonu umyvadel bílý</t>
  </si>
  <si>
    <t>260</t>
  </si>
  <si>
    <t>725219401R00</t>
  </si>
  <si>
    <t>Montáž umyvadel na šrouby do zdiva</t>
  </si>
  <si>
    <t>261</t>
  </si>
  <si>
    <t>725219503R00</t>
  </si>
  <si>
    <t>Montáž krytu sifonu umyvadel</t>
  </si>
  <si>
    <t>262</t>
  </si>
  <si>
    <t>725539102P</t>
  </si>
  <si>
    <t>Montáž elektr.ohřívačů vody-ostat.typy</t>
  </si>
  <si>
    <t>263</t>
  </si>
  <si>
    <t>725810402R00</t>
  </si>
  <si>
    <t>Ventil rohový bez přípoj. trubičky TE 66 G 1/2</t>
  </si>
  <si>
    <t>264</t>
  </si>
  <si>
    <t>725819402R00</t>
  </si>
  <si>
    <t>Montáž ventilu rohového bez trubičky G 1/2</t>
  </si>
  <si>
    <t>265</t>
  </si>
  <si>
    <t>725829202R00</t>
  </si>
  <si>
    <t>Montáž baterie umyvadlové nástěnné</t>
  </si>
  <si>
    <t>266</t>
  </si>
  <si>
    <t>725860109R00</t>
  </si>
  <si>
    <t>Uzávěrka zápachová umyvadlová DN 40</t>
  </si>
  <si>
    <t>267</t>
  </si>
  <si>
    <t>725869101R00</t>
  </si>
  <si>
    <t>Montáž uzávěrek zápach.umyvadl.DN 40</t>
  </si>
  <si>
    <t>268</t>
  </si>
  <si>
    <t>72586S1</t>
  </si>
  <si>
    <t>Baterie umyvadl.beztlaková BE1845.A1</t>
  </si>
  <si>
    <t>sb</t>
  </si>
  <si>
    <t>269</t>
  </si>
  <si>
    <t>72586S2</t>
  </si>
  <si>
    <t>Ohřívák vody elektr.průtok.DZD PTO 5 kW/230V</t>
  </si>
  <si>
    <t>270</t>
  </si>
  <si>
    <t>767995101R00</t>
  </si>
  <si>
    <t>Výroba a montáž kov. atypických konstr. do 5 kg</t>
  </si>
  <si>
    <t>D.1.4.a_76_</t>
  </si>
  <si>
    <t>271</t>
  </si>
  <si>
    <t>767995102R00</t>
  </si>
  <si>
    <t>Výroba a montáž kov. atypických konstr. do 10 kg</t>
  </si>
  <si>
    <t>272</t>
  </si>
  <si>
    <t>767S1</t>
  </si>
  <si>
    <t>Uložení a uchycení zaříz.+potrubí</t>
  </si>
  <si>
    <t>273</t>
  </si>
  <si>
    <t>, barva, bez penetrace,2 x</t>
  </si>
  <si>
    <t>D.1.4.a_78_</t>
  </si>
  <si>
    <t>(5,45*3,5-0,7*2)*2</t>
  </si>
  <si>
    <t>WC chlapci</t>
  </si>
  <si>
    <t>(7,3*3,5-0,7*2,0*2-0,8*2,0*1)</t>
  </si>
  <si>
    <t>(8,8*3,5-0,8*2,0*2-3,225*1,5)</t>
  </si>
  <si>
    <t>1,8*2+3,055+4,81</t>
  </si>
  <si>
    <t>274</t>
  </si>
  <si>
    <t>972085291R00</t>
  </si>
  <si>
    <t>Vybourání otvoru  podhledu rabic. pl. 0,09 m2</t>
  </si>
  <si>
    <t>D.1.4.a_9_</t>
  </si>
  <si>
    <t>prostup pro vodovod</t>
  </si>
  <si>
    <t>H721</t>
  </si>
  <si>
    <t>275</t>
  </si>
  <si>
    <t>998721103R00</t>
  </si>
  <si>
    <t>Přesun hmot pro vnitřní kanalizaci, výšky do 24 m</t>
  </si>
  <si>
    <t>H721_</t>
  </si>
  <si>
    <t>H722</t>
  </si>
  <si>
    <t>276</t>
  </si>
  <si>
    <t>998722103R00</t>
  </si>
  <si>
    <t>Přesun hmot pro vnitřní vodovod, výšky do 24 m</t>
  </si>
  <si>
    <t>H722_</t>
  </si>
  <si>
    <t>H725</t>
  </si>
  <si>
    <t>277</t>
  </si>
  <si>
    <t>998725103R00</t>
  </si>
  <si>
    <t>Přesun hmot pro zařizovací předměty, výšky do 24 m</t>
  </si>
  <si>
    <t>H725_</t>
  </si>
  <si>
    <t>H767</t>
  </si>
  <si>
    <t>278</t>
  </si>
  <si>
    <t>H767_</t>
  </si>
  <si>
    <t>Ostatní položky práce</t>
  </si>
  <si>
    <t>279</t>
  </si>
  <si>
    <t>HZS1</t>
  </si>
  <si>
    <t>Zednická přípomoc, zapravení konstrukcí</t>
  </si>
  <si>
    <t>Z88888_</t>
  </si>
  <si>
    <t>D.1.4.a_Z_</t>
  </si>
  <si>
    <t>280</t>
  </si>
  <si>
    <t>HZS2</t>
  </si>
  <si>
    <t>Elektro-uzemnění zaříz+vodovodu-Revizní zpráva el.</t>
  </si>
  <si>
    <t>281</t>
  </si>
  <si>
    <t>HZS3</t>
  </si>
  <si>
    <t>Dokumentace skuteč.provedení vodov.+kanalizace</t>
  </si>
  <si>
    <t>282</t>
  </si>
  <si>
    <t>HZS4</t>
  </si>
  <si>
    <t>Práce nepředvídatelné-rozpočt.rezerva</t>
  </si>
  <si>
    <t>Vytápění</t>
  </si>
  <si>
    <t>D.1.4.b</t>
  </si>
  <si>
    <t>283</t>
  </si>
  <si>
    <t>D.1.4.b_6_</t>
  </si>
  <si>
    <t>D.1.4.b_</t>
  </si>
  <si>
    <t>prostup UT</t>
  </si>
  <si>
    <t>284</t>
  </si>
  <si>
    <t>713181212P</t>
  </si>
  <si>
    <t>Izolace návlek.Mirel.PRO tl.9mm, vnitř.pr.18mm</t>
  </si>
  <si>
    <t>D.1.4.b_71_</t>
  </si>
  <si>
    <t>285</t>
  </si>
  <si>
    <t>713182011P</t>
  </si>
  <si>
    <t>Montáž izol.PE- skruží na potr.do DN 25, páska</t>
  </si>
  <si>
    <t>286</t>
  </si>
  <si>
    <t>713S1mirel</t>
  </si>
  <si>
    <t>Lepící páska šedá Mirel š.38mm x 50m</t>
  </si>
  <si>
    <t>bal</t>
  </si>
  <si>
    <t>287</t>
  </si>
  <si>
    <t>713S2mirel</t>
  </si>
  <si>
    <t>Sponky plast.Mirel 100ks/bal</t>
  </si>
  <si>
    <t>733</t>
  </si>
  <si>
    <t>Rozvod potrubí</t>
  </si>
  <si>
    <t>288</t>
  </si>
  <si>
    <t>733163102R00</t>
  </si>
  <si>
    <t>Potrubí z měděných trubek vytápění D 15 x 1,0 mm</t>
  </si>
  <si>
    <t>733_</t>
  </si>
  <si>
    <t>D.1.4.b_73_</t>
  </si>
  <si>
    <t>289</t>
  </si>
  <si>
    <t>733163103R00</t>
  </si>
  <si>
    <t>Potrubí z měděných trubek vytápění D 18 x 1,0 mm</t>
  </si>
  <si>
    <t>290</t>
  </si>
  <si>
    <t>733164102R00</t>
  </si>
  <si>
    <t>Montáž potrubí z měděných trubek vytápění D 15 mm</t>
  </si>
  <si>
    <t>291</t>
  </si>
  <si>
    <t>733164103R00</t>
  </si>
  <si>
    <t>Montáž potrubí z měděných trubek vytápění D 18 mm</t>
  </si>
  <si>
    <t>292</t>
  </si>
  <si>
    <t>733190306R00</t>
  </si>
  <si>
    <t>Tlaková zkouška Cu potrubí do D 35</t>
  </si>
  <si>
    <t>734</t>
  </si>
  <si>
    <t>Armatury</t>
  </si>
  <si>
    <t>293</t>
  </si>
  <si>
    <t>734209101R00</t>
  </si>
  <si>
    <t>Montáž armatur závitových,s 1závitem, G 1/4</t>
  </si>
  <si>
    <t>734_</t>
  </si>
  <si>
    <t>294</t>
  </si>
  <si>
    <t>734209113R00</t>
  </si>
  <si>
    <t>Montáž armatur závitových,se 2závity, G 1/2</t>
  </si>
  <si>
    <t>295</t>
  </si>
  <si>
    <t>734226222R00</t>
  </si>
  <si>
    <t>Ventil term.rohový,vnitř.z. Heimeier V-exakt DN 15</t>
  </si>
  <si>
    <t>296</t>
  </si>
  <si>
    <t>734266212R00</t>
  </si>
  <si>
    <t>Šroubení reg.rohové,vnitř.z.Heimeier Regulux DN 15</t>
  </si>
  <si>
    <t>297</t>
  </si>
  <si>
    <t>73424S3</t>
  </si>
  <si>
    <t>Hlavice termostat.radiátor.Heim-DX</t>
  </si>
  <si>
    <t>kpl</t>
  </si>
  <si>
    <t>298</t>
  </si>
  <si>
    <t>734211112R00</t>
  </si>
  <si>
    <t>Ventily odvzdušňovací ot.těles V 4320, G 1/4"</t>
  </si>
  <si>
    <t>735</t>
  </si>
  <si>
    <t>Otopná tělesa</t>
  </si>
  <si>
    <t>299</t>
  </si>
  <si>
    <t>735117110R00</t>
  </si>
  <si>
    <t>Odpojení a připojení těles 4.NP po nátěru</t>
  </si>
  <si>
    <t>735_</t>
  </si>
  <si>
    <t>300</t>
  </si>
  <si>
    <t>735494811R00</t>
  </si>
  <si>
    <t>Vypuštění+napušť.vody otop.těles 1.-4.NP</t>
  </si>
  <si>
    <t>301</t>
  </si>
  <si>
    <t>735118110R00</t>
  </si>
  <si>
    <t>Tlaková zkouška otop.těles litin.4.NP-vodou</t>
  </si>
  <si>
    <t>302</t>
  </si>
  <si>
    <t>735119140R00</t>
  </si>
  <si>
    <t>Montáž těles otopných litinových článkových</t>
  </si>
  <si>
    <t>303</t>
  </si>
  <si>
    <t>735 S1</t>
  </si>
  <si>
    <t>Tělesa otop.litin.Kalor3+zákl.nátěr, 500/70</t>
  </si>
  <si>
    <t>304</t>
  </si>
  <si>
    <t>D.1.4.b_76_</t>
  </si>
  <si>
    <t>305</t>
  </si>
  <si>
    <t>76799S1</t>
  </si>
  <si>
    <t>Uložení+uchycení potr.+zaříz.ÚT</t>
  </si>
  <si>
    <t>306</t>
  </si>
  <si>
    <t>D.1.4.b_78_</t>
  </si>
  <si>
    <t>307</t>
  </si>
  <si>
    <t>783324340R00</t>
  </si>
  <si>
    <t>Nátěr syntetický litin. radiátorů Z +2x + 2x email</t>
  </si>
  <si>
    <t>308</t>
  </si>
  <si>
    <t>783424340R00</t>
  </si>
  <si>
    <t>Nátěr syntet. potrubí do DN 50 mm  Z+2x +1x email</t>
  </si>
  <si>
    <t>309</t>
  </si>
  <si>
    <t>Malba Primalex Fortisimo, barva, bez penetrace,2 x</t>
  </si>
  <si>
    <t>11,87*(4,0+1,0)-2,0*2,55*5</t>
  </si>
  <si>
    <t>pohledová část stěny + 1,0 pruh stropu</t>
  </si>
  <si>
    <t>310</t>
  </si>
  <si>
    <t>D.1.4.b_9_</t>
  </si>
  <si>
    <t>prostup pro UT trámovým stropem</t>
  </si>
  <si>
    <t>311</t>
  </si>
  <si>
    <t>972054241R00</t>
  </si>
  <si>
    <t>Vybourání otv. stropy ŽB pl. 0,09 m2, tl. 15 cm</t>
  </si>
  <si>
    <t>pro UT</t>
  </si>
  <si>
    <t>H713</t>
  </si>
  <si>
    <t>312</t>
  </si>
  <si>
    <t>H713_</t>
  </si>
  <si>
    <t>H733</t>
  </si>
  <si>
    <t>313</t>
  </si>
  <si>
    <t>998733103R00</t>
  </si>
  <si>
    <t>Přesun hmot pro rozvody potrubí, výšky do 24 m</t>
  </si>
  <si>
    <t>H733_</t>
  </si>
  <si>
    <t>H734</t>
  </si>
  <si>
    <t>314</t>
  </si>
  <si>
    <t>998734103R00</t>
  </si>
  <si>
    <t>Přesun hmot pro armatury, výšky do 24 m</t>
  </si>
  <si>
    <t>H734_</t>
  </si>
  <si>
    <t>H735</t>
  </si>
  <si>
    <t>315</t>
  </si>
  <si>
    <t>998735103R00</t>
  </si>
  <si>
    <t>Přesun hmot pro otopná tělesa, výšky do 24 m</t>
  </si>
  <si>
    <t>H735_</t>
  </si>
  <si>
    <t>316</t>
  </si>
  <si>
    <t>317</t>
  </si>
  <si>
    <t>Proplach zaříz.+Zkoušky-těsnosti, topná+dilatační, zprovoz.+potvrz.záruky, zaškolení obsluhy, předání</t>
  </si>
  <si>
    <t>D.1.4.b_Z_</t>
  </si>
  <si>
    <t>318</t>
  </si>
  <si>
    <t>Zednická výpomoc-bourání+zapravení</t>
  </si>
  <si>
    <t>319</t>
  </si>
  <si>
    <t>Elektro-uzemnění zaříz.vytápění-Reviz.zpráva</t>
  </si>
  <si>
    <t>320</t>
  </si>
  <si>
    <t>Práce nepředvídatelné-rekonstr.-rezerva</t>
  </si>
  <si>
    <t>321</t>
  </si>
  <si>
    <t>HZS5</t>
  </si>
  <si>
    <t>Silnoproudá a slaboproudá elektrotechnika</t>
  </si>
  <si>
    <t>M21</t>
  </si>
  <si>
    <t>Elektromontáže</t>
  </si>
  <si>
    <t>D.1.4.d</t>
  </si>
  <si>
    <t>322</t>
  </si>
  <si>
    <t>210VD01</t>
  </si>
  <si>
    <t>BLESKOSVOD A UZEMNĚNÍ VČETNĚ MONTÁŽE A ZAPOJENÍ</t>
  </si>
  <si>
    <t>M21_</t>
  </si>
  <si>
    <t>D.1.4.d_9_</t>
  </si>
  <si>
    <t>D.1.4.d_</t>
  </si>
  <si>
    <t>"SK" - svorka křížová Fe/Zn</t>
  </si>
  <si>
    <t>323</t>
  </si>
  <si>
    <t>210VD02</t>
  </si>
  <si>
    <t>"SS" - svorka spojovací Fe/Zn</t>
  </si>
  <si>
    <t>324</t>
  </si>
  <si>
    <t>210VD03</t>
  </si>
  <si>
    <t>"SO" - svorka okapová Fe/Zn</t>
  </si>
  <si>
    <t>325</t>
  </si>
  <si>
    <t>210VD04</t>
  </si>
  <si>
    <t>"SP1" - svorka pro připojení kovových částí Fe/Zn</t>
  </si>
  <si>
    <t>326</t>
  </si>
  <si>
    <t>210VD05</t>
  </si>
  <si>
    <t>"SU" svorka univerzální na oplechování střechy Fe/Zn</t>
  </si>
  <si>
    <t>327</t>
  </si>
  <si>
    <t>210VD06</t>
  </si>
  <si>
    <t>"JT 1,0" -  jímací tyč, l = 1000 mm Fe/Zn</t>
  </si>
  <si>
    <t>328</t>
  </si>
  <si>
    <t>210VD07</t>
  </si>
  <si>
    <t>"SJ" - svorka jímačová se spodní a horní stříškou</t>
  </si>
  <si>
    <t>329</t>
  </si>
  <si>
    <t>210VD08</t>
  </si>
  <si>
    <t>drát AlMgSi o 8mm</t>
  </si>
  <si>
    <t>330</t>
  </si>
  <si>
    <t>210VD09</t>
  </si>
  <si>
    <t>demontáž bleskosvodu (jímacího vedení včetně podpěr, jímací tyče)</t>
  </si>
  <si>
    <t>331</t>
  </si>
  <si>
    <t>210VD10</t>
  </si>
  <si>
    <t>napojení nového bleskosvodu na stávající bleskové svody</t>
  </si>
  <si>
    <t>332</t>
  </si>
  <si>
    <t>210VD11</t>
  </si>
  <si>
    <t>revize bleskosvodu</t>
  </si>
  <si>
    <t>M22</t>
  </si>
  <si>
    <t>Montáže sdělovací a zabezpečovací techniky</t>
  </si>
  <si>
    <t>333</t>
  </si>
  <si>
    <t>222VD001</t>
  </si>
  <si>
    <t>SK (STRUKTUROVANÁ KABELÁŽ) VČETNĚ MONTÁŽE A ZAPOJENÍ</t>
  </si>
  <si>
    <t>M22_</t>
  </si>
  <si>
    <t>DATOVÝ ROZVADĚČ - 19" 15U datový rozvaděč 1100/600/400 (v/š/h), skleněné dveře, FAB</t>
  </si>
  <si>
    <t>334</t>
  </si>
  <si>
    <t>222VD002</t>
  </si>
  <si>
    <t>DATOVÝ ROZVADĚČ - 19" ventilátorová jednotka, 1x ventilátor, termostat</t>
  </si>
  <si>
    <t>335</t>
  </si>
  <si>
    <t>222VD003</t>
  </si>
  <si>
    <t>DATOVÝ ROZVADĚČ - 19" patch panel 24 port osazený 1U, cat.6</t>
  </si>
  <si>
    <t>336</t>
  </si>
  <si>
    <t>222VD004</t>
  </si>
  <si>
    <t>DATOVÝ ROZVADĚČ - 19" rozvodný panel 5x 230V s předpěťovou ochranou</t>
  </si>
  <si>
    <t>337</t>
  </si>
  <si>
    <t>222VD005</t>
  </si>
  <si>
    <t>DATOVÝ ROZVADĚČ - 19" optická vana 24LC včetně příslušenství, adaptérů LC, držák svárů</t>
  </si>
  <si>
    <t>338</t>
  </si>
  <si>
    <t>222VD006</t>
  </si>
  <si>
    <t>DATOVÝ ROZVADĚČ - zakončení optického vlákna svařování, včetne pigtailů 1,5m</t>
  </si>
  <si>
    <t>339</t>
  </si>
  <si>
    <t>222VD007</t>
  </si>
  <si>
    <t>DATOVÝ ROZVADĚČ - 19" vyvazovací panel 1U</t>
  </si>
  <si>
    <t>340</t>
  </si>
  <si>
    <t>222VD008</t>
  </si>
  <si>
    <t>DATOVÝ ROZVADĚČ - switch 24x 10/100/1000 BASE TX L2</t>
  </si>
  <si>
    <t>341</t>
  </si>
  <si>
    <t>222VD009</t>
  </si>
  <si>
    <t>DATOVÝ ROZVADĚČ - UPS, 10-15 minut záloha 1500 VA</t>
  </si>
  <si>
    <t>342</t>
  </si>
  <si>
    <t>222VD010</t>
  </si>
  <si>
    <t>ZÁSUVKY - zásuvka datová, dvouportová, 2x RJ45, zapuštěná, bílá, kompletní (přístroj, kryt, rámeček)</t>
  </si>
  <si>
    <t>343</t>
  </si>
  <si>
    <t>222VD011</t>
  </si>
  <si>
    <t>ZÁSUVKY - zásuvka datová, dvouportová, 2x RJ45, zapuštěná, bílá, kompletní (přístroj, kryt) do podlahové krabice</t>
  </si>
  <si>
    <t>344</t>
  </si>
  <si>
    <t>222VD012</t>
  </si>
  <si>
    <t>ZÁSUVKY - zásuvka datová, jednoportová, 1x RJ45, zapuštěná, bílá, kompletní (přístroj, kryt, rámeček)</t>
  </si>
  <si>
    <t>345</t>
  </si>
  <si>
    <t>222VD013</t>
  </si>
  <si>
    <t>OSTATNÍ - konektor RJ45 Cat.6</t>
  </si>
  <si>
    <t>346</t>
  </si>
  <si>
    <t>222VD014</t>
  </si>
  <si>
    <t>OSTATNÍ - měření optické části reflektometrem</t>
  </si>
  <si>
    <t>347</t>
  </si>
  <si>
    <t>222VD015</t>
  </si>
  <si>
    <t>OSTATNÍ - měření kabeláže včetně protokolu Cat.6</t>
  </si>
  <si>
    <t>348</t>
  </si>
  <si>
    <t>222VD016</t>
  </si>
  <si>
    <t>INSTALAČNÍ MATERIÁL, PŘÍSTROJE, ZAŘÍZENÍ, VČETNĚ MONTÁŽE, ZAPOJENÍ A ULOŽENÍ</t>
  </si>
  <si>
    <t>KRABICE DO HOŘLAVÉHO MATERIÁLU (DO DUTÝCH STĚN) - krabice univerzální s víčkem, protahovací, zapuštěná, o 68mm</t>
  </si>
  <si>
    <t>349</t>
  </si>
  <si>
    <t>222VD017</t>
  </si>
  <si>
    <t>KRABICE DO HOŘLAVÉHO MATERIÁLU (DO DUTÝCH STĚN) - krabice protahovací s víkem, zapuštěná, 125x125mm</t>
  </si>
  <si>
    <t>350</t>
  </si>
  <si>
    <t>222VD018</t>
  </si>
  <si>
    <t>KRABICE DO HOŘLAVÉHO MATERIÁLU (DO DUTÝCH STĚN) - krabice protahovací s víkem, zapuštěná, 233x175mm</t>
  </si>
  <si>
    <t>351</t>
  </si>
  <si>
    <t>222VD019</t>
  </si>
  <si>
    <t>KRABICE DO HOŘLAVÉHO MATERIÁLU (DO DUTÝCH STĚN) - krabice přístrojová zapuštěná, o 68mm</t>
  </si>
  <si>
    <t>352</t>
  </si>
  <si>
    <t>222VD020</t>
  </si>
  <si>
    <t>KRABICE LIŠTOVÉ - krabice přístrojová, nástěnná, 80x80x28mm, pro jednonásobnou zásuvku</t>
  </si>
  <si>
    <t>353</t>
  </si>
  <si>
    <t>222VD021</t>
  </si>
  <si>
    <t>KABELOVÉ PŘÍCHYTKY A LIŠTY - lišta 24x22mm, včetně víka</t>
  </si>
  <si>
    <t>354</t>
  </si>
  <si>
    <t>222VD022</t>
  </si>
  <si>
    <t>TRUBKY A CHRÁNIČKY - trubka ohebná PVC o 25/18,3mm (dn/di), vč. uchycení</t>
  </si>
  <si>
    <t>355</t>
  </si>
  <si>
    <t>222VD023</t>
  </si>
  <si>
    <t>TRUBKY A CHRÁNIČKY - trubka ohebná PVC o 32/24,3mm (dn/di), vč. uchycení</t>
  </si>
  <si>
    <t>356</t>
  </si>
  <si>
    <t>222VD024</t>
  </si>
  <si>
    <t>TRUBKY A CHRÁNIČKY - trubka ohebná PVC o 40/31,2mm (dn/di), vč. uchycení</t>
  </si>
  <si>
    <t>357</t>
  </si>
  <si>
    <t>222VD025</t>
  </si>
  <si>
    <t>TRUBKY A CHRÁNIČKY - trubka ohebná PVC o 50/39,6mm (dn/di), vč. uchycení</t>
  </si>
  <si>
    <t>358</t>
  </si>
  <si>
    <t>222VD026</t>
  </si>
  <si>
    <t>TRUBKY A CHRÁNIČKY - zatahovací vodič</t>
  </si>
  <si>
    <t>615</t>
  </si>
  <si>
    <t>359</t>
  </si>
  <si>
    <t>222VD027</t>
  </si>
  <si>
    <t>OSTATNÍ MATERIÁL - nosný materiál do 5kg</t>
  </si>
  <si>
    <t>360</t>
  </si>
  <si>
    <t>222VD028</t>
  </si>
  <si>
    <t>KABELY VČETNĚ MONTÁŽE, ULOŽENÍ A ZAPOJENÍ</t>
  </si>
  <si>
    <t>optický kabel 8 vláken, multimode 50/125um, OM3</t>
  </si>
  <si>
    <t>361</t>
  </si>
  <si>
    <t>222VD029</t>
  </si>
  <si>
    <t>kabel UTP Cat.6</t>
  </si>
  <si>
    <t>715</t>
  </si>
  <si>
    <t>362</t>
  </si>
  <si>
    <t>222VD030</t>
  </si>
  <si>
    <t>patch kabel Cat.6 1,5m</t>
  </si>
  <si>
    <t>363</t>
  </si>
  <si>
    <t>222VD031</t>
  </si>
  <si>
    <t>optický patch cord 50/125 MM LC/LC 2m</t>
  </si>
  <si>
    <t>364</t>
  </si>
  <si>
    <t>222VD032</t>
  </si>
  <si>
    <t>OSTATNÍ - vrtání otvorů do o 10cm</t>
  </si>
  <si>
    <t>365</t>
  </si>
  <si>
    <t>222VD033</t>
  </si>
  <si>
    <t>OSTATNÍ - zhotovení drážky v cihle</t>
  </si>
  <si>
    <t>366</t>
  </si>
  <si>
    <t>222VD034</t>
  </si>
  <si>
    <t>OSTATNÍ - hrubá výplň drážky</t>
  </si>
  <si>
    <t>367</t>
  </si>
  <si>
    <t>222VD035</t>
  </si>
  <si>
    <t>OSTATNÍ - začištění drážky, konečná úprava</t>
  </si>
  <si>
    <t>368</t>
  </si>
  <si>
    <t>222VD036</t>
  </si>
  <si>
    <t>OSTATNÍ - opláštění vodorovných konstrukcí sádrokartonovými deskami dvoustranné do 200x200mm, 1x opláštění, desky protipožární RF (DF) tl. 12,5mm.</t>
  </si>
  <si>
    <t>369</t>
  </si>
  <si>
    <t>222VD037</t>
  </si>
  <si>
    <t>požární prostupy dle počtu kabelů</t>
  </si>
  <si>
    <t>370</t>
  </si>
  <si>
    <t>222VD038</t>
  </si>
  <si>
    <t>štítky na krabice, zásuvky</t>
  </si>
  <si>
    <t>M65</t>
  </si>
  <si>
    <t>Elektroinstalace</t>
  </si>
  <si>
    <t>371</t>
  </si>
  <si>
    <t>650811126VD1</t>
  </si>
  <si>
    <t>Demontáž vodičů jímací soustavy hromosvodu</t>
  </si>
  <si>
    <t>M65_</t>
  </si>
  <si>
    <t>20,2+10,75+13,25+2,65+5,0+13,3+2,5+5,0+8,85*2+11,32+7,0*2</t>
  </si>
  <si>
    <t>jímací soustava včetně tyčí</t>
  </si>
  <si>
    <t>372</t>
  </si>
  <si>
    <t>650VD001</t>
  </si>
  <si>
    <t xml:space="preserve">ROZVADĚČE S PŘEPĚŤOVÝMI OCHRANAMI VČETNĚ MONTÁŽE A ZAPOJENÍ_x0009__x0009__x0009__x0009_</t>
  </si>
  <si>
    <t>RS4.2 - STÁVAJÍCÍ ROZVADĚČ OBJEKTU - DOPLNĚNÍ</t>
  </si>
  <si>
    <t>373</t>
  </si>
  <si>
    <t>650VD002</t>
  </si>
  <si>
    <t>RS4.2.1 - ROZVADĚČ PRO JAZYKOVOU UČEBNU A KABINETY</t>
  </si>
  <si>
    <t>374</t>
  </si>
  <si>
    <t>650VD003</t>
  </si>
  <si>
    <t xml:space="preserve">SPÍNAČE VČETNĚ MONTÁŽE A ZAPOJENÍ - SPÍNAČE PRO ZAPUŠTĚNOU MONTÁŽ V KRYTÍ IP20_x0009__x0009__x0009__x0009__x0009__x0009_</t>
  </si>
  <si>
    <t>spínač, řaz.1, 250V, 10A, IP20, bílý, zapuštěný, kompletní</t>
  </si>
  <si>
    <t>375</t>
  </si>
  <si>
    <t>650VD004</t>
  </si>
  <si>
    <t>spínač, řaz.5, 250V, 10A, IP20, bílý, zapuštěný, kompletní</t>
  </si>
  <si>
    <t>376</t>
  </si>
  <si>
    <t>650VD005</t>
  </si>
  <si>
    <t>spínač, řaz.6, 250V, 10A, IP20, bílý, zapuštěný, kompletní</t>
  </si>
  <si>
    <t>377</t>
  </si>
  <si>
    <t>650VD006</t>
  </si>
  <si>
    <t>spínač, řaz.6+6, 250V, 10A, IP20, bílý, zapuštěný, kompletní</t>
  </si>
  <si>
    <t>378</t>
  </si>
  <si>
    <t>650VD007</t>
  </si>
  <si>
    <t>spínač, řaz.7, 250V, 10A, IP20, bílý, zapuštěný, kompletní</t>
  </si>
  <si>
    <t>379</t>
  </si>
  <si>
    <t>650VD008</t>
  </si>
  <si>
    <t>spínač, řaz.6, 250V, 10A, IP20, bílý, zapuštěný, kompletní - demontáž bez zachování funkčnosti</t>
  </si>
  <si>
    <t>380</t>
  </si>
  <si>
    <t>650VD009</t>
  </si>
  <si>
    <t xml:space="preserve">SPÍNAČE VČETNĚ MONTÁŽE A ZAPOJENÍ - SPÍNAČE PRO NÁSTĚNNOU MONTÁŽ VE ZVÝŠENÉM KRYTÍ IP20 - IP65_x0009__x0009__x0009__x0009__x0009_</t>
  </si>
  <si>
    <t>spínač, řaz.5, 250V, 10A, IP44, bílý, nástěnný, kompletní</t>
  </si>
  <si>
    <t>381</t>
  </si>
  <si>
    <t>650VD010</t>
  </si>
  <si>
    <t xml:space="preserve">ZÁSUVKY VČETNĚ MONTÁŽE A ZAPOJENÍ - ZÁSUVKY PRO ZAPUŠTĚNOU MONTÁŽ V KRYTÍ IP20_x0009__x0009__x0009_</t>
  </si>
  <si>
    <t>1x zásuvka jednonásobná 250V, 16A, IP40, bílá, zapuštěná, kompletní (přístroj, kryt, jednonásobný rámeček)</t>
  </si>
  <si>
    <t>382</t>
  </si>
  <si>
    <t>650VD011</t>
  </si>
  <si>
    <t>1x zásuvka jednonásobná 250V, 16A, IP40, bílá, zapuštěná, kompletní (přístroj, kryt) do podlahové krabice</t>
  </si>
  <si>
    <t>383</t>
  </si>
  <si>
    <t>650VD012</t>
  </si>
  <si>
    <t>2x zásuvka jednonásobná 250V, 16A, IP40, bílá, zapuštěná, kompletní (přístroj, kryt, dvojnásobný vodor. rámeček)</t>
  </si>
  <si>
    <t>384</t>
  </si>
  <si>
    <t>650VD013</t>
  </si>
  <si>
    <t>1x zásuvka jednonásobná 250V, 16A, IP40, bílá, s přepěťovou ochranou stupně T3, zapuštěná, kompletní  (přístroj, kryt) do podlahové krabice</t>
  </si>
  <si>
    <t>385</t>
  </si>
  <si>
    <t>650VD014</t>
  </si>
  <si>
    <t>zásuvka dvojnásobná 250V, 16A, IP40, s natočenou dutinkou, bílá, zapuštěná, kompletní přístroj</t>
  </si>
  <si>
    <t>386</t>
  </si>
  <si>
    <t>650VD015</t>
  </si>
  <si>
    <t>zásuvka dvojnásobná 250V, 16A, IP40, s natočenou dutinkou, s přepěťovou ochranou stupně T3, bílá, zapuštěná, kompletní přístroj</t>
  </si>
  <si>
    <t>387</t>
  </si>
  <si>
    <t>650VD016</t>
  </si>
  <si>
    <t>podlahová krabice, 330x260x57,5mm, včetně rámu, a 2x přístrojové krabice a 2x přístrojové podložky náplň: 5 pozic pro 230V, 1 pozice pro LAN = 2x dato</t>
  </si>
  <si>
    <t>388</t>
  </si>
  <si>
    <t>650VD017</t>
  </si>
  <si>
    <t xml:space="preserve">SVÍTIDLA VČETNĚ ZDROJŮ, MONTÁŽE A ZAPOJENÍ A RECYKLACE SVÍTIDEL A ZDROJŮ_x0009__x0009__x0009_</t>
  </si>
  <si>
    <t>A - LED svítidlo lineární přisazené, 42 W, 4700 lm, 3000 K, IP20, ocelové, bílé</t>
  </si>
  <si>
    <t>389</t>
  </si>
  <si>
    <t>650VD018</t>
  </si>
  <si>
    <t>B - LED svítidlo přisazené s asymetrickým reflektorem, 47 W, 6200 lm, 3000 K, IP20</t>
  </si>
  <si>
    <t>390</t>
  </si>
  <si>
    <t>650VD019</t>
  </si>
  <si>
    <t>C - LED svítidlopřisazené 12 W, 960 lm, 4000 K, IP65</t>
  </si>
  <si>
    <t>391</t>
  </si>
  <si>
    <t>650VD020</t>
  </si>
  <si>
    <t>N - LED svítidlo nouzové přisazené 0,7 W, IP65</t>
  </si>
  <si>
    <t>392</t>
  </si>
  <si>
    <t>650VD021</t>
  </si>
  <si>
    <t>recyklace svítidel</t>
  </si>
  <si>
    <t>393</t>
  </si>
  <si>
    <t>650VD022</t>
  </si>
  <si>
    <t>hliníkový profil pro uchycení svítidel v učebně, včetně montáže</t>
  </si>
  <si>
    <t>394</t>
  </si>
  <si>
    <t>650VD023</t>
  </si>
  <si>
    <t xml:space="preserve">INSTALAČNÍ MATERIÁL, PŘÍSTROJE, ZAŘÍZENÍ, VČETNĚ MONTÁŽE, ZAPOJENÍ A ULOŽENÍ - KRABICE DO HOŘLAVÉHO MATERIÁLU (DO DUTÝCH STĚN)_x0009_</t>
  </si>
  <si>
    <t>krabice univerzální s víčkem s bezšroubovými svorkami, zapuštěná, o 68mm</t>
  </si>
  <si>
    <t>395</t>
  </si>
  <si>
    <t>650VD024</t>
  </si>
  <si>
    <t>krabice přístrojová zapuštěná, o 68mm</t>
  </si>
  <si>
    <t>396</t>
  </si>
  <si>
    <t>650VD025</t>
  </si>
  <si>
    <t>INSTALAČNÍ MATERIÁL, PŘÍSTROJE, ZAŘÍZENÍ, VČETNĚ MONTÁŽE, ZAPOJENÍ A ULOŽENÍ - KRABICE LIŠTOVÉ</t>
  </si>
  <si>
    <t>krabice přístrojová, nástěnná, 80x80x28mm, pro jednonásobnou zásuvku</t>
  </si>
  <si>
    <t>397</t>
  </si>
  <si>
    <t>650VD026</t>
  </si>
  <si>
    <t>krabice přístrojová, nástěnná, 105x81x28mm, pro dvojnásobnou zásuvku</t>
  </si>
  <si>
    <t>398</t>
  </si>
  <si>
    <t>650VD028</t>
  </si>
  <si>
    <t>INSTALAČNÍ MATERIÁL, PŘÍSTROJE, ZAŘÍZENÍ, VČETNĚ MONTÁŽE, ZAPOJENÍ A ULOŽENÍ - KABELOVÉ PŘÍCHYTKY A LIŠTY</t>
  </si>
  <si>
    <t>stropní kabelová příchytka, včetně materiálu pro ukotvení, Kopos</t>
  </si>
  <si>
    <t>399</t>
  </si>
  <si>
    <t>650VD029</t>
  </si>
  <si>
    <t>lišta 24x20mm, včetně víka, včetně ukotvení</t>
  </si>
  <si>
    <t>400</t>
  </si>
  <si>
    <t>650VD030</t>
  </si>
  <si>
    <t xml:space="preserve">lišta 40x40mm, včetně víka, včetně ukotvení
</t>
  </si>
  <si>
    <t>401</t>
  </si>
  <si>
    <t>650VD031</t>
  </si>
  <si>
    <t xml:space="preserve">lišta 60x40mm, včetně víka, včetně ukotvení
</t>
  </si>
  <si>
    <t>402</t>
  </si>
  <si>
    <t>650VD032</t>
  </si>
  <si>
    <t>INSTALAČNÍ MATERIÁL, PŘÍSTROJE, ZAŘÍZENÍ, VČETNĚ MONTÁŽE, ZAPOJENÍ A ULOŽENÍ - TRUBKY A CHRÁNIČKY</t>
  </si>
  <si>
    <t xml:space="preserve">trubka ohebná PVC o 40/31,2mm (dn/di), vč. uchycení
</t>
  </si>
  <si>
    <t>403</t>
  </si>
  <si>
    <t>650VD033</t>
  </si>
  <si>
    <t xml:space="preserve">zatahovací vodič
</t>
  </si>
  <si>
    <t>404</t>
  </si>
  <si>
    <t>650VD034</t>
  </si>
  <si>
    <t>INSTALAČNÍ MATERIÁL, PŘÍSTROJE, ZAŘÍZENÍ, VČETNĚ MONTÁŽE, ZAPOJENÍ A ULOŽENÍ - OSTATNÍ MATERIÁL</t>
  </si>
  <si>
    <t>nosný materiál do 5kg</t>
  </si>
  <si>
    <t>405</t>
  </si>
  <si>
    <t>650VD035</t>
  </si>
  <si>
    <t>nosný materiál do 10kg</t>
  </si>
  <si>
    <t>406</t>
  </si>
  <si>
    <t>650VD036</t>
  </si>
  <si>
    <t>KABELY VČETNĚ MONTÁŽE, ULOŽENÍ A ZAPOJENÍ - KABELY CYKY</t>
  </si>
  <si>
    <t>kabel CYKY-J 5x10mm</t>
  </si>
  <si>
    <t>407</t>
  </si>
  <si>
    <t>650VD037</t>
  </si>
  <si>
    <t>kabel CYKY-J 3x6mm</t>
  </si>
  <si>
    <t>408</t>
  </si>
  <si>
    <t>650VD038</t>
  </si>
  <si>
    <t xml:space="preserve">kabel CYKY-J 3x2,5mm
</t>
  </si>
  <si>
    <t>495</t>
  </si>
  <si>
    <t>409</t>
  </si>
  <si>
    <t>650VD039</t>
  </si>
  <si>
    <t xml:space="preserve">kabel CYKY-O 5x1,5mm
</t>
  </si>
  <si>
    <t>410</t>
  </si>
  <si>
    <t>650VD040</t>
  </si>
  <si>
    <t xml:space="preserve">kabel CYKY-J 3x1,5mm
</t>
  </si>
  <si>
    <t>445</t>
  </si>
  <si>
    <t>411</t>
  </si>
  <si>
    <t>650VD041</t>
  </si>
  <si>
    <t xml:space="preserve">kabel CYKY-O 3x1,5mm
</t>
  </si>
  <si>
    <t>412</t>
  </si>
  <si>
    <t>650VD042</t>
  </si>
  <si>
    <t>KABELY VČETNĚ MONTÁŽE, ULOŽENÍ A ZAPOJENÍ - KABELY CXKH-V S FUNKČNÍ SCHOPNOSTÍ PŘI POŽÁRU 30 MIN.</t>
  </si>
  <si>
    <t xml:space="preserve">kabel CXKE-R-O 3x1,5mm B2 s1 d1
</t>
  </si>
  <si>
    <t>413</t>
  </si>
  <si>
    <t>650VD043</t>
  </si>
  <si>
    <t>KABELY VČETNĚ MONTÁŽE, ULOŽENÍ A ZAPOJENÍ - VODIČE CY PRO POSPOJOVÁNÍ</t>
  </si>
  <si>
    <t xml:space="preserve">vodič pro pospojování CY 16mm
</t>
  </si>
  <si>
    <t>414</t>
  </si>
  <si>
    <t>650VD044</t>
  </si>
  <si>
    <t xml:space="preserve">vodič pro pospojování CY 6mm
</t>
  </si>
  <si>
    <t>415</t>
  </si>
  <si>
    <t>650VD045</t>
  </si>
  <si>
    <t>kabelový vývod pro technologie a svítidla, ukončení a zapojení</t>
  </si>
  <si>
    <t>416</t>
  </si>
  <si>
    <t>650VD046</t>
  </si>
  <si>
    <t>zemnící svorka pro pospojování kovových trubek umyvadel a kabelových žlabů</t>
  </si>
  <si>
    <t>417</t>
  </si>
  <si>
    <t>650VD047</t>
  </si>
  <si>
    <t>štítky na krabice, zásuvky a spínače</t>
  </si>
  <si>
    <t>418</t>
  </si>
  <si>
    <t>650VD048</t>
  </si>
  <si>
    <t>vrtání otvorů do o 10cm</t>
  </si>
  <si>
    <t>419</t>
  </si>
  <si>
    <t>650VD049</t>
  </si>
  <si>
    <t>zhotovení drážky v cihle</t>
  </si>
  <si>
    <t>420</t>
  </si>
  <si>
    <t>650VD050</t>
  </si>
  <si>
    <t>hrubá výplň drážky</t>
  </si>
  <si>
    <t>421</t>
  </si>
  <si>
    <t>650VD051</t>
  </si>
  <si>
    <t>začištění drážky, konečná úprava</t>
  </si>
  <si>
    <t>422</t>
  </si>
  <si>
    <t>650VD052</t>
  </si>
  <si>
    <t>přepojení ovládání osvětlení ve stávající ČCHÚC</t>
  </si>
  <si>
    <t>423</t>
  </si>
  <si>
    <t>650VD053</t>
  </si>
  <si>
    <t>napojení nového osvětlení ve stávající ČCHÚC na stávající jistič světelného obvodu, včetně dohledání jističe</t>
  </si>
  <si>
    <t>424</t>
  </si>
  <si>
    <t>650VD054</t>
  </si>
  <si>
    <t>opláštění vodorovných konstrukcí sádrokartonovými deskami dvoustranné do 200x200mm, 1x opláštění, desky protipožární RF (DF) tl. 12,5mm.</t>
  </si>
  <si>
    <t>425</t>
  </si>
  <si>
    <t>650VD055</t>
  </si>
  <si>
    <t>komunikační řídicí jednotka pro dálkové ovládání el. motorů pro střešní okna, vnitřní stínění, venkovní stínění. Součástí je senzor vnitřního prostřed</t>
  </si>
  <si>
    <t>426</t>
  </si>
  <si>
    <t>650VD056</t>
  </si>
  <si>
    <t>427</t>
  </si>
  <si>
    <t>650VD057</t>
  </si>
  <si>
    <t>pomocný instalační materiál</t>
  </si>
  <si>
    <t>428</t>
  </si>
  <si>
    <t>650VD058</t>
  </si>
  <si>
    <t>koordinace ostatních profesí během stavby</t>
  </si>
  <si>
    <t>429</t>
  </si>
  <si>
    <t>650VD059</t>
  </si>
  <si>
    <t>revize elektroinstalace</t>
  </si>
  <si>
    <t>Celkem:</t>
  </si>
  <si>
    <t>Slepý stavební rozpočet - rekapitulace</t>
  </si>
  <si>
    <t>Objekt</t>
  </si>
  <si>
    <t>Náklady (Kč) - dodávka</t>
  </si>
  <si>
    <t>Náklady (Kč) - Montáž</t>
  </si>
  <si>
    <t>Náklady (Kč) - celkem</t>
  </si>
  <si>
    <t>F</t>
  </si>
  <si>
    <t>T</t>
  </si>
  <si>
    <t>Krycí list slepého rozpočtu</t>
  </si>
  <si>
    <t>IČO/DIČ:</t>
  </si>
  <si>
    <t>Položek:</t>
  </si>
  <si>
    <t>Datum:</t>
  </si>
  <si>
    <t>Rozpočtové náklady v Kč</t>
  </si>
  <si>
    <t>A</t>
  </si>
  <si>
    <t>Základní rozpočtové náklady</t>
  </si>
  <si>
    <t>B</t>
  </si>
  <si>
    <t>Doplňkové náklady</t>
  </si>
  <si>
    <t>C</t>
  </si>
  <si>
    <t>Náklady na umístění stavby (NUS)</t>
  </si>
  <si>
    <t>HSV</t>
  </si>
  <si>
    <t>Dodávky</t>
  </si>
  <si>
    <t>Práce přesčas</t>
  </si>
  <si>
    <t>Zařízení staveniště</t>
  </si>
  <si>
    <t>Bez pevné podl.</t>
  </si>
  <si>
    <t>Mimostav. doprava</t>
  </si>
  <si>
    <t>PSV</t>
  </si>
  <si>
    <t>Kulturní památka</t>
  </si>
  <si>
    <t>Územní vlivy</t>
  </si>
  <si>
    <t>Provozní vlivy</t>
  </si>
  <si>
    <t>"M"</t>
  </si>
  <si>
    <t>Ostatní</t>
  </si>
  <si>
    <t>NUS z rozpočtu</t>
  </si>
  <si>
    <t>Ostatní materiál</t>
  </si>
  <si>
    <t>Přesun hmot a sutí</t>
  </si>
  <si>
    <t>ZRN celkem</t>
  </si>
  <si>
    <t>DN celkem</t>
  </si>
  <si>
    <t>NUS celkem</t>
  </si>
  <si>
    <t>DN celkem z obj.</t>
  </si>
  <si>
    <t>NUS celkem z obj.</t>
  </si>
  <si>
    <t>VORN celkem</t>
  </si>
  <si>
    <t>VORN celkem z obj.</t>
  </si>
  <si>
    <t>Základ 0%</t>
  </si>
  <si>
    <t>Základ 12%</t>
  </si>
  <si>
    <t>DPH 12%</t>
  </si>
  <si>
    <t>Celkem bez DPH</t>
  </si>
  <si>
    <t>Základ 21%</t>
  </si>
  <si>
    <t>DPH 21%</t>
  </si>
  <si>
    <t>Celkem včetně DPH</t>
  </si>
  <si>
    <t>Projektant</t>
  </si>
  <si>
    <t>Objednatel</t>
  </si>
  <si>
    <t>Zhotovitel</t>
  </si>
  <si>
    <t>Datum, razítko a podpis</t>
  </si>
  <si>
    <t>Vedlejší a ostatní rozpočtové náklady</t>
  </si>
  <si>
    <t>Vedlejší rozpočtové náklady VRN</t>
  </si>
  <si>
    <t>Doplňkové náklady DN</t>
  </si>
  <si>
    <t>Kč</t>
  </si>
  <si>
    <t>Základna</t>
  </si>
  <si>
    <t>Celkem DN</t>
  </si>
  <si>
    <t>Celkem NUS</t>
  </si>
  <si>
    <t>Celkem VRN</t>
  </si>
  <si>
    <t>Ostatní rozpočtové náklady ORN</t>
  </si>
  <si>
    <t>Ostatní rozpočtové náklady (ORN)</t>
  </si>
  <si>
    <t>Celkem ORN</t>
  </si>
  <si>
    <t>Krycí list slepého rozpočtu (D.1.1. - Stavební část)</t>
  </si>
  <si>
    <t>Vedlejší a ostatní rozpočtové náklady (D.1.1. - Stavební část)</t>
  </si>
  <si>
    <t>Krycí list slepého rozpočtu (D.1.4.a - Zdravotně technické instalace)</t>
  </si>
  <si>
    <t>Vedlejší a ostatní rozpočtové náklady (D.1.4.a - Zdravotně technické instalace)</t>
  </si>
  <si>
    <t>Krycí list slepého rozpočtu (D.1.4.b - Vytápění)</t>
  </si>
  <si>
    <t>Vedlejší a ostatní rozpočtové náklady (D.1.4.b - Vytápění)</t>
  </si>
  <si>
    <t>Krycí list slepého rozpočtu (D.1.4.d - Silnoproudá a slaboproudá elektrotechnika)</t>
  </si>
  <si>
    <t>Vedlejší a ostatní rozpočtové náklady (D.1.4.d - Silnoproudá a slaboproudá elektrotechnika)</t>
  </si>
</sst>
</file>

<file path=xl/styles.xml><?xml version="1.0" encoding="utf-8"?>
<styleSheet xmlns="http://schemas.openxmlformats.org/spreadsheetml/2006/main">
  <numFmts count="0"/>
  <fonts count="15">
    <font>
      <sz val="11"/>
      <name val="Calibri"/>
      <charset val="1"/>
    </font>
    <font>
      <color rgb="FF000000"/>
      <sz val="18"/>
      <name val="Arial"/>
      <charset val="238"/>
    </font>
    <font>
      <color rgb="FF000000"/>
      <sz val="10"/>
      <name val="Arial"/>
      <charset val="238"/>
      <b/>
    </font>
    <font>
      <color rgb="FF000000"/>
      <sz val="10"/>
      <name val="Arial"/>
      <charset val="238"/>
    </font>
    <font>
      <color rgb="FF000000"/>
      <sz val="10"/>
      <name val="Arial"/>
      <charset val="238"/>
      <i/>
    </font>
    <font>
      <sz val="11"/>
      <name val="Arial"/>
      <charset val="1"/>
    </font>
    <font>
      <color rgb="FF008000"/>
      <sz val="10"/>
      <name val="Arial"/>
      <charset val="238"/>
      <i/>
    </font>
    <font>
      <color rgb="FF0080C0"/>
      <sz val="10"/>
      <name val="Arial"/>
      <charset val="238"/>
    </font>
    <font>
      <color rgb="FF0080C0"/>
      <sz val="10"/>
      <name val="Arial"/>
      <charset val="238"/>
      <i/>
    </font>
    <font>
      <color rgb="FF000000"/>
      <sz val="8"/>
      <name val="Arial"/>
      <charset val="238"/>
      <i/>
    </font>
    <font>
      <color rgb="FF000000"/>
      <sz val="18"/>
      <name val="Arial"/>
      <charset val="238"/>
      <b/>
    </font>
    <font>
      <color rgb="FF000000"/>
      <sz val="20"/>
      <name val="Arial"/>
      <charset val="238"/>
      <b/>
    </font>
    <font>
      <color rgb="FF000000"/>
      <sz val="11"/>
      <name val="Arial"/>
      <charset val="238"/>
      <b/>
    </font>
    <font>
      <color rgb="FF000000"/>
      <sz val="12"/>
      <name val="Arial"/>
      <charset val="238"/>
      <b/>
    </font>
    <font>
      <color rgb="FF000000"/>
      <sz val="12"/>
      <name val="Arial"/>
      <charset val="238"/>
    </font>
  </fonts>
  <fills count="5">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FFFFFF"/>
        <bgColor rgb="FFFFFFFF"/>
      </patternFill>
    </fill>
  </fills>
  <borders count="96">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right/>
      <top style="medium">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style="thin">
        <color rgb="FF000000"/>
      </right>
      <top/>
      <bottom/>
      <diagonal/>
    </border>
    <border>
      <left/>
      <right style="thin">
        <color rgb="FF000000"/>
      </right>
      <top/>
      <bottom/>
      <diagonal/>
    </border>
    <border>
      <left/>
      <right/>
      <top/>
      <bottom/>
      <diagonal/>
    </border>
    <border>
      <left/>
      <right style="thin">
        <color rgb="FF000000"/>
      </right>
      <top/>
      <bottom/>
      <diagonal/>
    </border>
    <border>
      <left/>
      <right/>
      <top/>
      <bottom/>
      <diagonal/>
    </border>
    <border>
      <left style="medium">
        <color rgb="FF000000"/>
      </left>
      <right style="thin">
        <color rgb="FF000000"/>
      </right>
      <top/>
      <bottom/>
      <diagonal/>
    </border>
    <border>
      <left/>
      <right style="thin">
        <color rgb="FF000000"/>
      </right>
      <top/>
      <bottom/>
      <diagonal/>
    </border>
    <border>
      <left/>
      <right style="medium">
        <color rgb="FF000000"/>
      </right>
      <top/>
      <bottom/>
      <diagonal/>
    </border>
    <border>
      <left/>
      <right style="thin">
        <color rgb="FF000000"/>
      </right>
      <top/>
      <bottom/>
      <diagonal/>
    </border>
    <border>
      <left style="thin">
        <color rgb="FFC0C0C0"/>
      </left>
      <right>
        <color rgb="FFC0C0C0"/>
      </right>
      <top style="medium">
        <color rgb="FFC0C0C0"/>
      </top>
      <bottom>
        <color rgb="FFC0C0C0"/>
      </bottom>
      <diagonal/>
    </border>
    <border>
      <left/>
      <right>
        <color rgb="FFC0C0C0"/>
      </right>
      <top style="medium">
        <color rgb="FFC0C0C0"/>
      </top>
      <bottom>
        <color rgb="FFC0C0C0"/>
      </bottom>
      <diagonal/>
    </border>
    <border>
      <left/>
      <right style="thin">
        <color rgb="FFC0C0C0"/>
      </right>
      <top style="medium">
        <color rgb="FFC0C0C0"/>
      </top>
      <bottom>
        <color rgb="FFC0C0C0"/>
      </bottom>
      <diagonal/>
    </border>
    <border>
      <left style="thin">
        <color rgb="FFC0C0C0"/>
      </left>
      <right>
        <color rgb="FFC0C0C0"/>
      </right>
      <top/>
      <bottom>
        <color rgb="FFC0C0C0"/>
      </bottom>
      <diagonal/>
    </border>
    <border>
      <left/>
      <right>
        <color rgb="FFC0C0C0"/>
      </right>
      <top/>
      <bottom>
        <color rgb="FFC0C0C0"/>
      </bottom>
      <diagonal/>
    </border>
    <border>
      <left/>
      <right style="thin">
        <color rgb="FFC0C0C0"/>
      </right>
      <top/>
      <bottom>
        <color rgb="FFC0C0C0"/>
      </bottom>
      <diagonal/>
    </border>
    <border>
      <left style="thin">
        <color rgb="FF000000"/>
      </left>
      <right/>
      <top/>
      <bottom/>
      <diagonal/>
    </border>
    <border>
      <left/>
      <right/>
      <top/>
      <bottom/>
      <diagonal/>
    </border>
    <border>
      <left/>
      <right style="thin">
        <color rgb="FF000000"/>
      </right>
      <top/>
      <bottom/>
      <diagonal/>
    </border>
    <border>
      <left style="thin">
        <color rgb="FFC0C0C0"/>
      </left>
      <right>
        <color rgb="FFC0C0C0"/>
      </right>
      <top>
        <color rgb="FFC0C0C0"/>
      </top>
      <bottom>
        <color rgb="FFC0C0C0"/>
      </bottom>
      <diagonal/>
    </border>
    <border>
      <left/>
      <right>
        <color rgb="FFC0C0C0"/>
      </right>
      <top>
        <color rgb="FFC0C0C0"/>
      </top>
      <bottom>
        <color rgb="FFC0C0C0"/>
      </bottom>
      <diagonal/>
    </border>
    <border>
      <left/>
      <right style="thin">
        <color rgb="FFC0C0C0"/>
      </right>
      <top>
        <color rgb="FFC0C0C0"/>
      </top>
      <bottom>
        <color rgb="FFC0C0C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medium">
        <color rgb="FF000000"/>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right style="thin">
        <color rgb="FF000000"/>
      </right>
      <top style="medium">
        <color rgb="FF000000"/>
      </top>
      <bottom/>
      <diagonal/>
    </border>
    <border>
      <left style="thin">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right style="thin">
        <color rgb="FF000000"/>
      </right>
      <top/>
      <bottom/>
      <diagonal/>
    </border>
    <border>
      <left/>
      <right style="thin">
        <color rgb="FF000000"/>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style="medium">
        <color rgb="FF000000"/>
      </right>
      <top style="medium">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s>
  <cellStyleXfs count="1">
    <xf borderId="0" fillId="0" fontId="0" numFmtId="0"/>
  </cellStyleXfs>
  <cellXfs count="246">
    <xf applyAlignment="true" applyBorder="true" applyFill="true" applyNumberFormat="true" applyFont="true" applyProtection="true" borderId="0" fillId="0" fontId="0" numFmtId="0" xfId="0">
      <alignment horizontal="general" vertical="bottom" textRotation="0" shrinkToFit="false" wrapText="false"/>
      <protection hidden="false" locked="true"/>
    </xf>
    <xf applyAlignment="true" applyBorder="true" applyFill="true" applyNumberFormat="true" applyFont="true" applyProtection="true" borderId="1" fillId="0" fontId="1" numFmtId="0" xfId="0">
      <alignment horizontal="center" vertical="center" textRotation="0" shrinkToFit="false" wrapText="false"/>
      <protection hidden="false" locked="true"/>
    </xf>
    <xf applyAlignment="true" applyBorder="true" applyFill="true" applyNumberFormat="true" applyFont="true" applyProtection="true" borderId="0" fillId="2" fontId="2" numFmtId="4" xfId="0">
      <alignment horizontal="right" vertical="center" textRotation="0" shrinkToFit="false" wrapText="false"/>
      <protection hidden="false" locked="true"/>
    </xf>
    <xf applyAlignment="true" applyBorder="true" applyFill="true" applyNumberFormat="true" applyFont="true" applyProtection="true" borderId="2" fillId="0" fontId="3" numFmtId="0" xfId="0">
      <alignment horizontal="left" vertical="center" textRotation="0" shrinkToFit="false" wrapText="true"/>
      <protection hidden="false" locked="true"/>
    </xf>
    <xf applyAlignment="true" applyBorder="true" applyFill="true" applyNumberFormat="true" applyFont="true" applyProtection="true" borderId="3" fillId="0" fontId="3" numFmtId="0" xfId="0">
      <alignment horizontal="left" vertical="center" textRotation="0" shrinkToFit="false" wrapText="false"/>
      <protection hidden="false" locked="true"/>
    </xf>
    <xf applyAlignment="true" applyBorder="true" applyFill="true" applyNumberFormat="true" applyFont="true" applyProtection="true" borderId="3" fillId="0" fontId="2" numFmtId="0" xfId="0">
      <alignment horizontal="left" vertical="center" textRotation="0" shrinkToFit="false" wrapText="true"/>
      <protection hidden="false" locked="true"/>
    </xf>
    <xf applyAlignment="true" applyBorder="true" applyFill="true" applyNumberFormat="true" applyFont="true" applyProtection="true" borderId="3" fillId="0" fontId="2" numFmtId="0" xfId="0">
      <alignment horizontal="left" vertical="center" textRotation="0" shrinkToFit="false" wrapText="false"/>
      <protection hidden="false" locked="true"/>
    </xf>
    <xf applyAlignment="true" applyBorder="true" applyFill="true" applyNumberFormat="true" applyFont="true" applyProtection="true" borderId="3" fillId="0" fontId="3" numFmtId="0" xfId="0">
      <alignment horizontal="left" vertical="center" textRotation="0" shrinkToFit="false" wrapText="true"/>
      <protection hidden="false" locked="true"/>
    </xf>
    <xf applyAlignment="true" applyBorder="true" applyFill="true" applyNumberFormat="true" applyFont="true" applyProtection="true" borderId="4" fillId="0" fontId="3" numFmtId="0" xfId="0">
      <alignment horizontal="left" vertical="center" textRotation="0" shrinkToFit="false" wrapText="false"/>
      <protection hidden="false" locked="true"/>
    </xf>
    <xf applyAlignment="true" applyBorder="true" applyFill="true" applyNumberFormat="true" applyFont="true" applyProtection="true" borderId="5" fillId="0" fontId="3" numFmtId="0" xfId="0">
      <alignment horizontal="left" vertical="center" textRotation="0" shrinkToFit="false" wrapText="false"/>
      <protection hidden="false" locked="true"/>
    </xf>
    <xf applyAlignment="true" applyBorder="true" applyFill="true" applyNumberFormat="true" applyFont="true" applyProtection="true" borderId="0" fillId="0" fontId="3" numFmtId="0" xfId="0">
      <alignment horizontal="left" vertical="center" textRotation="0" shrinkToFit="false" wrapText="false"/>
      <protection hidden="false" locked="true"/>
    </xf>
    <xf applyAlignment="true" applyBorder="true" applyFill="true" applyNumberFormat="true" applyFont="true" applyProtection="true" borderId="0" fillId="0" fontId="2" numFmtId="0" xfId="0">
      <alignment horizontal="left" vertical="center" textRotation="0" shrinkToFit="false" wrapText="false"/>
      <protection hidden="false" locked="true"/>
    </xf>
    <xf applyAlignment="true" applyBorder="true" applyFill="true" applyNumberFormat="true" applyFont="true" applyProtection="true" borderId="6" fillId="0" fontId="3" numFmtId="0" xfId="0">
      <alignment horizontal="left" vertical="center" textRotation="0" shrinkToFit="false" wrapText="false"/>
      <protection hidden="false" locked="true"/>
    </xf>
    <xf applyAlignment="true" applyBorder="true" applyFill="true" applyNumberFormat="true" applyFont="true" applyProtection="true" borderId="5" fillId="0" fontId="3" numFmtId="0" xfId="0">
      <alignment horizontal="left" vertical="center" textRotation="0" shrinkToFit="false" wrapText="true"/>
      <protection hidden="false" locked="true"/>
    </xf>
    <xf applyAlignment="true" applyBorder="true" applyFill="true" applyNumberFormat="true" applyFont="true" applyProtection="true" borderId="0" fillId="0" fontId="3" numFmtId="0" xfId="0">
      <alignment horizontal="left" vertical="center" textRotation="0" shrinkToFit="false" wrapText="true"/>
      <protection hidden="false" locked="true"/>
    </xf>
    <xf applyAlignment="true" applyBorder="true" applyFill="true" applyNumberFormat="true" applyFont="true" applyProtection="true" borderId="7" fillId="0" fontId="3" numFmtId="0" xfId="0">
      <alignment horizontal="left" vertical="center" textRotation="0" shrinkToFit="false" wrapText="false"/>
      <protection hidden="false" locked="true"/>
    </xf>
    <xf applyAlignment="true" applyBorder="true" applyFill="true" applyNumberFormat="true" applyFont="true" applyProtection="true" borderId="8" fillId="0" fontId="3" numFmtId="0" xfId="0">
      <alignment horizontal="left" vertical="center" textRotation="0" shrinkToFit="false" wrapText="false"/>
      <protection hidden="false" locked="true"/>
    </xf>
    <xf applyAlignment="true" applyBorder="true" applyFill="true" applyNumberFormat="true" applyFont="true" applyProtection="true" borderId="9" fillId="0" fontId="3" numFmtId="0" xfId="0">
      <alignment horizontal="left" vertical="center" textRotation="0" shrinkToFit="false" wrapText="false"/>
      <protection hidden="false" locked="true"/>
    </xf>
    <xf applyAlignment="true" applyBorder="true" applyFill="true" applyNumberFormat="true" applyFont="true" applyProtection="true" borderId="10" fillId="0" fontId="2" numFmtId="0" xfId="0">
      <alignment horizontal="left" vertical="center" textRotation="0" shrinkToFit="false" wrapText="false"/>
      <protection hidden="false" locked="true"/>
    </xf>
    <xf applyAlignment="true" applyBorder="true" applyFill="true" applyNumberFormat="true" applyFont="true" applyProtection="true" borderId="11" fillId="0" fontId="2" numFmtId="0" xfId="0">
      <alignment horizontal="left" vertical="center" textRotation="0" shrinkToFit="false" wrapText="false"/>
      <protection hidden="false" locked="true"/>
    </xf>
    <xf applyAlignment="true" applyBorder="true" applyFill="true" applyNumberFormat="true" applyFont="true" applyProtection="true" borderId="12" fillId="0" fontId="2" numFmtId="0" xfId="0">
      <alignment horizontal="left" vertical="center" textRotation="0" shrinkToFit="false" wrapText="false"/>
      <protection hidden="false" locked="true"/>
    </xf>
    <xf applyAlignment="true" applyBorder="true" applyFill="true" applyNumberFormat="true" applyFont="true" applyProtection="true" borderId="13" fillId="0" fontId="2" numFmtId="0" xfId="0">
      <alignment horizontal="left" vertical="center" textRotation="0" shrinkToFit="false" wrapText="false"/>
      <protection hidden="false" locked="true"/>
    </xf>
    <xf applyAlignment="true" applyBorder="true" applyFill="true" applyNumberFormat="true" applyFont="true" applyProtection="true" borderId="11" fillId="0" fontId="2" numFmtId="0" xfId="0">
      <alignment horizontal="center" vertical="center" textRotation="0" shrinkToFit="false" wrapText="false"/>
      <protection hidden="false" locked="true"/>
    </xf>
    <xf applyAlignment="true" applyBorder="true" applyFill="true" applyNumberFormat="true" applyFont="true" applyProtection="true" borderId="14" fillId="0" fontId="2" numFmtId="0" xfId="0">
      <alignment horizontal="center" vertical="center" textRotation="0" shrinkToFit="false" wrapText="false"/>
      <protection hidden="false" locked="true"/>
    </xf>
    <xf applyAlignment="true" applyBorder="true" applyFill="true" applyNumberFormat="true" applyFont="true" applyProtection="true" borderId="15" fillId="0" fontId="2" numFmtId="0" xfId="0">
      <alignment horizontal="center" vertical="center" textRotation="0" shrinkToFit="false" wrapText="false"/>
      <protection hidden="false" locked="true"/>
    </xf>
    <xf applyAlignment="true" applyBorder="true" applyFill="true" applyNumberFormat="true" applyFont="true" applyProtection="true" borderId="16" fillId="0" fontId="2" numFmtId="0" xfId="0">
      <alignment horizontal="center" vertical="center" textRotation="0" shrinkToFit="false" wrapText="false"/>
      <protection hidden="false" locked="true"/>
    </xf>
    <xf applyAlignment="true" applyBorder="true" applyFill="true" applyNumberFormat="true" applyFont="true" applyProtection="true" borderId="17" fillId="0" fontId="2" numFmtId="0" xfId="0">
      <alignment horizontal="center" vertical="center" textRotation="0" shrinkToFit="false" wrapText="false"/>
      <protection hidden="false" locked="true"/>
    </xf>
    <xf applyAlignment="true" applyBorder="true" applyFill="true" applyNumberFormat="true" applyFont="true" applyProtection="true" borderId="18" fillId="0" fontId="2" numFmtId="0" xfId="0">
      <alignment horizontal="center" vertical="center" textRotation="0" shrinkToFit="false" wrapText="false"/>
      <protection hidden="false" locked="true"/>
    </xf>
    <xf applyAlignment="true" applyBorder="true" applyFill="true" applyNumberFormat="true" applyFont="true" applyProtection="true" borderId="0" fillId="2" fontId="2" numFmtId="0" xfId="0">
      <alignment horizontal="right" vertical="center" textRotation="0" shrinkToFit="false" wrapText="false"/>
      <protection hidden="false" locked="true"/>
    </xf>
    <xf applyAlignment="true" applyBorder="true" applyFill="true" applyNumberFormat="true" applyFont="true" applyProtection="true" borderId="0" fillId="0" fontId="2" numFmtId="0" xfId="0">
      <alignment horizontal="right" vertical="center" textRotation="0" shrinkToFit="false" wrapText="false"/>
      <protection hidden="false" locked="true"/>
    </xf>
    <xf applyAlignment="true" applyBorder="true" applyFill="true" applyNumberFormat="true" applyFont="true" applyProtection="true" borderId="19" fillId="0" fontId="3" numFmtId="0" xfId="0">
      <alignment horizontal="left" vertical="center" textRotation="0" shrinkToFit="false" wrapText="false"/>
      <protection hidden="false" locked="true"/>
    </xf>
    <xf applyAlignment="true" applyBorder="true" applyFill="true" applyNumberFormat="true" applyFont="true" applyProtection="true" borderId="20" fillId="0" fontId="3" numFmtId="0" xfId="0">
      <alignment horizontal="left" vertical="center" textRotation="0" shrinkToFit="false" wrapText="false"/>
      <protection hidden="false" locked="true"/>
    </xf>
    <xf applyAlignment="true" applyBorder="true" applyFill="true" applyNumberFormat="true" applyFont="true" applyProtection="true" borderId="21" fillId="0" fontId="2" numFmtId="0" xfId="0">
      <alignment horizontal="left" vertical="center" textRotation="0" shrinkToFit="false" wrapText="false"/>
      <protection hidden="false" locked="true"/>
    </xf>
    <xf applyAlignment="true" applyBorder="true" applyFill="true" applyNumberFormat="true" applyFont="true" applyProtection="true" borderId="22" fillId="0" fontId="2" numFmtId="0" xfId="0">
      <alignment horizontal="left" vertical="center" textRotation="0" shrinkToFit="false" wrapText="false"/>
      <protection hidden="false" locked="true"/>
    </xf>
    <xf applyAlignment="true" applyBorder="true" applyFill="true" applyNumberFormat="true" applyFont="true" applyProtection="true" borderId="23" fillId="0" fontId="2" numFmtId="0" xfId="0">
      <alignment horizontal="center" vertical="center" textRotation="0" shrinkToFit="false" wrapText="false"/>
      <protection hidden="false" locked="true"/>
    </xf>
    <xf applyAlignment="true" applyBorder="true" applyFill="true" applyNumberFormat="true" applyFont="true" applyProtection="true" borderId="24" fillId="0" fontId="2" numFmtId="0" xfId="0">
      <alignment horizontal="center" vertical="center" textRotation="0" shrinkToFit="false" wrapText="false"/>
      <protection hidden="false" locked="true"/>
    </xf>
    <xf applyAlignment="true" applyBorder="true" applyFill="true" applyNumberFormat="true" applyFont="true" applyProtection="true" borderId="25" fillId="0" fontId="2" numFmtId="0" xfId="0">
      <alignment horizontal="center" vertical="center" textRotation="0" shrinkToFit="false" wrapText="false"/>
      <protection hidden="false" locked="true"/>
    </xf>
    <xf applyAlignment="true" applyBorder="true" applyFill="true" applyNumberFormat="true" applyFont="true" applyProtection="true" borderId="26" fillId="0" fontId="2" numFmtId="0" xfId="0">
      <alignment horizontal="center" vertical="center" textRotation="0" shrinkToFit="false" wrapText="false"/>
      <protection hidden="false" locked="true"/>
    </xf>
    <xf applyAlignment="true" applyBorder="true" applyFill="true" applyNumberFormat="true" applyFont="true" applyProtection="true" borderId="27" fillId="0" fontId="2" numFmtId="0" xfId="0">
      <alignment horizontal="center" vertical="center" textRotation="0" shrinkToFit="false" wrapText="false"/>
      <protection hidden="false" locked="true"/>
    </xf>
    <xf applyAlignment="true" applyBorder="true" applyFill="true" applyNumberFormat="true" applyFont="true" applyProtection="true" borderId="28" fillId="3" fontId="3" numFmtId="0" xfId="0">
      <alignment horizontal="left" vertical="center" textRotation="0" shrinkToFit="false" wrapText="false"/>
      <protection hidden="false" locked="true"/>
    </xf>
    <xf applyAlignment="true" applyBorder="true" applyFill="true" applyNumberFormat="true" applyFont="true" applyProtection="true" borderId="29" fillId="3" fontId="2" numFmtId="0" xfId="0">
      <alignment horizontal="left" vertical="center" textRotation="0" shrinkToFit="false" wrapText="false"/>
      <protection hidden="false" locked="true"/>
    </xf>
    <xf applyAlignment="true" applyBorder="true" applyFill="true" applyNumberFormat="true" applyFont="true" applyProtection="true" borderId="29" fillId="3" fontId="2" numFmtId="0" xfId="0">
      <alignment horizontal="left" vertical="center" textRotation="0" shrinkToFit="false" wrapText="true"/>
      <protection hidden="false" locked="true"/>
    </xf>
    <xf applyAlignment="true" applyBorder="true" applyFill="true" applyNumberFormat="true" applyFont="true" applyProtection="true" borderId="29" fillId="3" fontId="3" numFmtId="0" xfId="0">
      <alignment horizontal="left" vertical="center" textRotation="0" shrinkToFit="false" wrapText="false"/>
      <protection hidden="false" locked="true"/>
    </xf>
    <xf applyAlignment="true" applyBorder="true" applyFill="true" applyNumberFormat="true" applyFont="true" applyProtection="true" borderId="29" fillId="3" fontId="2" numFmtId="4" xfId="0">
      <alignment horizontal="right" vertical="center" textRotation="0" shrinkToFit="false" wrapText="false"/>
      <protection hidden="false" locked="true"/>
    </xf>
    <xf applyAlignment="true" applyBorder="true" applyFill="true" applyNumberFormat="true" applyFont="true" applyProtection="true" borderId="30" fillId="3" fontId="2" numFmtId="0" xfId="0">
      <alignment horizontal="right" vertical="center" textRotation="0" shrinkToFit="false" wrapText="false"/>
      <protection hidden="false" locked="true"/>
    </xf>
    <xf applyAlignment="true" applyBorder="true" applyFill="true" applyNumberFormat="true" applyFont="true" applyProtection="true" borderId="31" fillId="3" fontId="3" numFmtId="0" xfId="0">
      <alignment horizontal="left" vertical="center" textRotation="0" shrinkToFit="false" wrapText="false"/>
      <protection hidden="false" locked="true"/>
    </xf>
    <xf applyAlignment="true" applyBorder="true" applyFill="true" applyNumberFormat="true" applyFont="true" applyProtection="true" borderId="32" fillId="3" fontId="2" numFmtId="0" xfId="0">
      <alignment horizontal="left" vertical="center" textRotation="0" shrinkToFit="false" wrapText="false"/>
      <protection hidden="false" locked="true"/>
    </xf>
    <xf applyAlignment="true" applyBorder="true" applyFill="true" applyNumberFormat="true" applyFont="true" applyProtection="true" borderId="32" fillId="3" fontId="2" numFmtId="0" xfId="0">
      <alignment horizontal="left" vertical="center" textRotation="0" shrinkToFit="false" wrapText="true"/>
      <protection hidden="false" locked="true"/>
    </xf>
    <xf applyAlignment="true" applyBorder="true" applyFill="true" applyNumberFormat="true" applyFont="true" applyProtection="true" borderId="32" fillId="3" fontId="3" numFmtId="0" xfId="0">
      <alignment horizontal="left" vertical="center" textRotation="0" shrinkToFit="false" wrapText="false"/>
      <protection hidden="false" locked="true"/>
    </xf>
    <xf applyAlignment="true" applyBorder="true" applyFill="true" applyNumberFormat="true" applyFont="true" applyProtection="true" borderId="32" fillId="3" fontId="2" numFmtId="4" xfId="0">
      <alignment horizontal="right" vertical="center" textRotation="0" shrinkToFit="false" wrapText="false"/>
      <protection hidden="false" locked="true"/>
    </xf>
    <xf applyAlignment="true" applyBorder="true" applyFill="true" applyNumberFormat="true" applyFont="true" applyProtection="true" borderId="33" fillId="3" fontId="2" numFmtId="0" xfId="0">
      <alignment horizontal="right" vertical="center" textRotation="0" shrinkToFit="false" wrapText="false"/>
      <protection hidden="false" locked="true"/>
    </xf>
    <xf applyAlignment="true" applyBorder="true" applyFill="true" applyNumberFormat="true" applyFont="true" applyProtection="true" borderId="31" fillId="4" fontId="3" numFmtId="0" xfId="0">
      <alignment horizontal="left" vertical="center" textRotation="0" shrinkToFit="false" wrapText="false"/>
      <protection hidden="false" locked="true"/>
    </xf>
    <xf applyAlignment="true" applyBorder="true" applyFill="true" applyNumberFormat="true" applyFont="true" applyProtection="true" borderId="32" fillId="4" fontId="3" numFmtId="0" xfId="0">
      <alignment horizontal="left" vertical="center" textRotation="0" shrinkToFit="false" wrapText="false"/>
      <protection hidden="false" locked="true"/>
    </xf>
    <xf applyAlignment="true" applyBorder="true" applyFill="true" applyNumberFormat="true" applyFont="true" applyProtection="true" borderId="32" fillId="4" fontId="3" numFmtId="0" xfId="0">
      <alignment horizontal="left" vertical="center" textRotation="0" shrinkToFit="false" wrapText="true"/>
      <protection hidden="false" locked="true"/>
    </xf>
    <xf applyAlignment="true" applyBorder="true" applyFill="true" applyNumberFormat="true" applyFont="true" applyProtection="true" borderId="32" fillId="4" fontId="3" numFmtId="4" xfId="0">
      <alignment horizontal="right" vertical="center" textRotation="0" shrinkToFit="false" wrapText="false"/>
      <protection hidden="false" locked="true"/>
    </xf>
    <xf applyAlignment="true" applyBorder="true" applyFill="true" applyNumberFormat="true" applyFont="true" applyProtection="true" borderId="33" fillId="4" fontId="3" numFmtId="0" xfId="0">
      <alignment horizontal="right" vertical="center" textRotation="0" shrinkToFit="false" wrapText="false"/>
      <protection hidden="false" locked="true"/>
    </xf>
    <xf applyAlignment="true" applyBorder="true" applyFill="true" applyNumberFormat="true" applyFont="true" applyProtection="true" borderId="0" fillId="0" fontId="3" numFmtId="4" xfId="0">
      <alignment horizontal="right" vertical="center" textRotation="0" shrinkToFit="false" wrapText="false"/>
      <protection hidden="false" locked="true"/>
    </xf>
    <xf applyAlignment="true" applyBorder="true" applyFill="true" applyNumberFormat="true" applyFont="true" applyProtection="true" borderId="0" fillId="0" fontId="3" numFmtId="0" xfId="0">
      <alignment horizontal="right" vertical="center" textRotation="0" shrinkToFit="false" wrapText="false"/>
      <protection hidden="false" locked="true"/>
    </xf>
    <xf applyAlignment="true" applyBorder="true" applyFill="true" applyNumberFormat="true" applyFont="true" applyProtection="true" borderId="34" fillId="0" fontId="0" numFmtId="0" xfId="0">
      <alignment horizontal="general" vertical="bottom" textRotation="0" shrinkToFit="false" wrapText="false"/>
      <protection hidden="false" locked="true"/>
    </xf>
    <xf applyAlignment="true" applyBorder="true" applyFill="true" applyNumberFormat="true" applyFont="true" applyProtection="true" borderId="35" fillId="0" fontId="4" numFmtId="0" xfId="0">
      <alignment horizontal="left" vertical="center" textRotation="0" shrinkToFit="false" wrapText="true"/>
      <protection hidden="false" locked="true"/>
    </xf>
    <xf applyAlignment="true" applyBorder="true" applyFill="true" applyNumberFormat="true" applyFont="true" applyProtection="true" borderId="35" fillId="0" fontId="4" numFmtId="0" xfId="0">
      <alignment horizontal="left" vertical="center" textRotation="0" shrinkToFit="false" wrapText="false"/>
      <protection hidden="false" locked="true"/>
    </xf>
    <xf applyAlignment="true" applyBorder="true" applyFill="true" applyNumberFormat="true" applyFont="true" applyProtection="true" borderId="36" fillId="0" fontId="4" numFmtId="0" xfId="0">
      <alignment horizontal="left" vertical="center" textRotation="0" shrinkToFit="false" wrapText="false"/>
      <protection hidden="false" locked="true"/>
    </xf>
    <xf applyAlignment="true" applyBorder="true" applyFill="true" applyNumberFormat="true" applyFont="true" applyProtection="true" borderId="37" fillId="3" fontId="3" numFmtId="0" xfId="0">
      <alignment horizontal="left" vertical="center" textRotation="0" shrinkToFit="false" wrapText="false"/>
      <protection hidden="false" locked="true"/>
    </xf>
    <xf applyAlignment="true" applyBorder="true" applyFill="true" applyNumberFormat="true" applyFont="true" applyProtection="true" borderId="38" fillId="3" fontId="2" numFmtId="0" xfId="0">
      <alignment horizontal="left" vertical="center" textRotation="0" shrinkToFit="false" wrapText="false"/>
      <protection hidden="false" locked="true"/>
    </xf>
    <xf applyAlignment="true" applyBorder="true" applyFill="true" applyNumberFormat="true" applyFont="true" applyProtection="true" borderId="38" fillId="3" fontId="2" numFmtId="0" xfId="0">
      <alignment horizontal="left" vertical="center" textRotation="0" shrinkToFit="false" wrapText="true"/>
      <protection hidden="false" locked="true"/>
    </xf>
    <xf applyAlignment="true" applyBorder="true" applyFill="true" applyNumberFormat="true" applyFont="true" applyProtection="true" borderId="38" fillId="3" fontId="3" numFmtId="0" xfId="0">
      <alignment horizontal="left" vertical="center" textRotation="0" shrinkToFit="false" wrapText="false"/>
      <protection hidden="false" locked="true"/>
    </xf>
    <xf applyAlignment="true" applyBorder="true" applyFill="true" applyNumberFormat="true" applyFont="true" applyProtection="true" borderId="38" fillId="3" fontId="2" numFmtId="4" xfId="0">
      <alignment horizontal="right" vertical="center" textRotation="0" shrinkToFit="false" wrapText="false"/>
      <protection hidden="false" locked="true"/>
    </xf>
    <xf applyAlignment="true" applyBorder="true" applyFill="true" applyNumberFormat="true" applyFont="true" applyProtection="true" borderId="39" fillId="3" fontId="2" numFmtId="0" xfId="0">
      <alignment horizontal="right" vertical="center" textRotation="0" shrinkToFit="false" wrapText="false"/>
      <protection hidden="false" locked="true"/>
    </xf>
    <xf applyAlignment="true" applyBorder="true" applyFill="true" applyNumberFormat="true" applyFont="true" applyProtection="true" borderId="37" fillId="4" fontId="5" numFmtId="0" xfId="0">
      <alignment horizontal="general" vertical="bottom" textRotation="0" shrinkToFit="false" wrapText="false"/>
      <protection hidden="false" locked="true"/>
    </xf>
    <xf applyAlignment="true" applyBorder="true" applyFill="true" applyNumberFormat="true" applyFont="true" applyProtection="true" borderId="38" fillId="4" fontId="5" numFmtId="0" xfId="0">
      <alignment horizontal="general" vertical="bottom" textRotation="0" shrinkToFit="false" wrapText="false"/>
      <protection hidden="false" locked="true"/>
    </xf>
    <xf applyAlignment="true" applyBorder="true" applyFill="true" applyNumberFormat="true" applyFont="true" applyProtection="true" borderId="38" fillId="4" fontId="6" numFmtId="0" xfId="0">
      <alignment horizontal="left" vertical="center" textRotation="0" shrinkToFit="false" wrapText="false"/>
      <protection hidden="false" locked="true"/>
    </xf>
    <xf applyAlignment="true" applyBorder="true" applyFill="true" applyNumberFormat="true" applyFont="true" applyProtection="true" borderId="38" fillId="4" fontId="4" numFmtId="0" xfId="0">
      <alignment horizontal="left" vertical="center" textRotation="0" shrinkToFit="false" wrapText="false"/>
      <protection hidden="false" locked="true"/>
    </xf>
    <xf applyAlignment="true" applyBorder="true" applyFill="true" applyNumberFormat="true" applyFont="true" applyProtection="true" borderId="38" fillId="4" fontId="6" numFmtId="4" xfId="0">
      <alignment horizontal="right" vertical="center" textRotation="0" shrinkToFit="false" wrapText="false"/>
      <protection hidden="false" locked="true"/>
    </xf>
    <xf applyAlignment="true" applyBorder="true" applyFill="true" applyNumberFormat="true" applyFont="true" applyProtection="true" borderId="39" fillId="4" fontId="5" numFmtId="0" xfId="0">
      <alignment horizontal="general" vertical="bottom" textRotation="0" shrinkToFit="false" wrapText="false"/>
      <protection hidden="false" locked="true"/>
    </xf>
    <xf applyAlignment="true" applyBorder="true" applyFill="true" applyNumberFormat="true" applyFont="true" applyProtection="true" borderId="31" fillId="4" fontId="5" numFmtId="0" xfId="0">
      <alignment horizontal="general" vertical="bottom" textRotation="0" shrinkToFit="false" wrapText="false"/>
      <protection hidden="false" locked="true"/>
    </xf>
    <xf applyAlignment="true" applyBorder="true" applyFill="true" applyNumberFormat="true" applyFont="true" applyProtection="true" borderId="32" fillId="4" fontId="5" numFmtId="0" xfId="0">
      <alignment horizontal="general" vertical="bottom" textRotation="0" shrinkToFit="false" wrapText="false"/>
      <protection hidden="false" locked="true"/>
    </xf>
    <xf applyAlignment="true" applyBorder="true" applyFill="true" applyNumberFormat="true" applyFont="true" applyProtection="true" borderId="32" fillId="4" fontId="6" numFmtId="0" xfId="0">
      <alignment horizontal="left" vertical="center" textRotation="0" shrinkToFit="false" wrapText="false"/>
      <protection hidden="false" locked="true"/>
    </xf>
    <xf applyAlignment="true" applyBorder="true" applyFill="true" applyNumberFormat="true" applyFont="true" applyProtection="true" borderId="32" fillId="4" fontId="4" numFmtId="0" xfId="0">
      <alignment horizontal="left" vertical="center" textRotation="0" shrinkToFit="false" wrapText="false"/>
      <protection hidden="false" locked="true"/>
    </xf>
    <xf applyAlignment="true" applyBorder="true" applyFill="true" applyNumberFormat="true" applyFont="true" applyProtection="true" borderId="32" fillId="4" fontId="6" numFmtId="4" xfId="0">
      <alignment horizontal="right" vertical="center" textRotation="0" shrinkToFit="false" wrapText="false"/>
      <protection hidden="false" locked="true"/>
    </xf>
    <xf applyAlignment="true" applyBorder="true" applyFill="true" applyNumberFormat="true" applyFont="true" applyProtection="true" borderId="33" fillId="4" fontId="5" numFmtId="0" xfId="0">
      <alignment horizontal="general" vertical="bottom" textRotation="0" shrinkToFit="false" wrapText="false"/>
      <protection hidden="false" locked="true"/>
    </xf>
    <xf applyAlignment="true" applyBorder="true" applyFill="true" applyNumberFormat="true" applyFont="true" applyProtection="true" borderId="35" fillId="0" fontId="4" numFmtId="0" xfId="0">
      <alignment horizontal="right" vertical="center" textRotation="0" shrinkToFit="false" wrapText="false"/>
      <protection hidden="false" locked="true"/>
    </xf>
    <xf applyAlignment="true" applyBorder="true" applyFill="true" applyNumberFormat="true" applyFont="true" applyProtection="true" borderId="0" fillId="0" fontId="4" numFmtId="0" xfId="0">
      <alignment horizontal="left" vertical="center" textRotation="0" shrinkToFit="false" wrapText="true"/>
      <protection hidden="false" locked="true"/>
    </xf>
    <xf applyAlignment="true" applyBorder="true" applyFill="true" applyNumberFormat="true" applyFont="true" applyProtection="true" borderId="37" fillId="4" fontId="3" numFmtId="0" xfId="0">
      <alignment horizontal="left" vertical="center" textRotation="0" shrinkToFit="false" wrapText="false"/>
      <protection hidden="false" locked="true"/>
    </xf>
    <xf applyAlignment="true" applyBorder="true" applyFill="true" applyNumberFormat="true" applyFont="true" applyProtection="true" borderId="38" fillId="4" fontId="3" numFmtId="0" xfId="0">
      <alignment horizontal="left" vertical="center" textRotation="0" shrinkToFit="false" wrapText="false"/>
      <protection hidden="false" locked="true"/>
    </xf>
    <xf applyAlignment="true" applyBorder="true" applyFill="true" applyNumberFormat="true" applyFont="true" applyProtection="true" borderId="38" fillId="4" fontId="3" numFmtId="0" xfId="0">
      <alignment horizontal="left" vertical="center" textRotation="0" shrinkToFit="false" wrapText="true"/>
      <protection hidden="false" locked="true"/>
    </xf>
    <xf applyAlignment="true" applyBorder="true" applyFill="true" applyNumberFormat="true" applyFont="true" applyProtection="true" borderId="38" fillId="4" fontId="3" numFmtId="4" xfId="0">
      <alignment horizontal="right" vertical="center" textRotation="0" shrinkToFit="false" wrapText="false"/>
      <protection hidden="false" locked="true"/>
    </xf>
    <xf applyAlignment="true" applyBorder="true" applyFill="true" applyNumberFormat="true" applyFont="true" applyProtection="true" borderId="39" fillId="4" fontId="3" numFmtId="0" xfId="0">
      <alignment horizontal="right" vertical="center" textRotation="0" shrinkToFit="false" wrapText="false"/>
      <protection hidden="false" locked="true"/>
    </xf>
    <xf applyAlignment="true" applyBorder="true" applyFill="true" applyNumberFormat="true" applyFont="true" applyProtection="true" borderId="37" fillId="4" fontId="7" numFmtId="0" xfId="0">
      <alignment horizontal="left" vertical="center" textRotation="0" shrinkToFit="false" wrapText="false"/>
      <protection hidden="false" locked="true"/>
    </xf>
    <xf applyAlignment="true" applyBorder="true" applyFill="true" applyNumberFormat="true" applyFont="true" applyProtection="true" borderId="38" fillId="4" fontId="7" numFmtId="0" xfId="0">
      <alignment horizontal="left" vertical="center" textRotation="0" shrinkToFit="false" wrapText="false"/>
      <protection hidden="false" locked="true"/>
    </xf>
    <xf applyAlignment="true" applyBorder="true" applyFill="true" applyNumberFormat="true" applyFont="true" applyProtection="true" borderId="38" fillId="4" fontId="7" numFmtId="0" xfId="0">
      <alignment horizontal="left" vertical="center" textRotation="0" shrinkToFit="false" wrapText="true"/>
      <protection hidden="false" locked="true"/>
    </xf>
    <xf applyAlignment="true" applyBorder="true" applyFill="true" applyNumberFormat="true" applyFont="true" applyProtection="true" borderId="38" fillId="4" fontId="7" numFmtId="4" xfId="0">
      <alignment horizontal="right" vertical="center" textRotation="0" shrinkToFit="false" wrapText="false"/>
      <protection hidden="false" locked="true"/>
    </xf>
    <xf applyAlignment="true" applyBorder="true" applyFill="true" applyNumberFormat="true" applyFont="true" applyProtection="true" borderId="39" fillId="4" fontId="7" numFmtId="0" xfId="0">
      <alignment horizontal="right" vertical="center" textRotation="0" shrinkToFit="false" wrapText="false"/>
      <protection hidden="false" locked="true"/>
    </xf>
    <xf applyAlignment="true" applyBorder="true" applyFill="true" applyNumberFormat="true" applyFont="true" applyProtection="true" borderId="0" fillId="0" fontId="7" numFmtId="4" xfId="0">
      <alignment horizontal="right" vertical="center" textRotation="0" shrinkToFit="false" wrapText="false"/>
      <protection hidden="false" locked="true"/>
    </xf>
    <xf applyAlignment="true" applyBorder="true" applyFill="true" applyNumberFormat="true" applyFont="true" applyProtection="true" borderId="0" fillId="0" fontId="7" numFmtId="0" xfId="0">
      <alignment horizontal="right" vertical="center" textRotation="0" shrinkToFit="false" wrapText="false"/>
      <protection hidden="false" locked="true"/>
    </xf>
    <xf applyAlignment="true" applyBorder="true" applyFill="true" applyNumberFormat="true" applyFont="true" applyProtection="true" borderId="0" fillId="0" fontId="7" numFmtId="0" xfId="0">
      <alignment horizontal="left" vertical="center" textRotation="0" shrinkToFit="false" wrapText="true"/>
      <protection hidden="false" locked="true"/>
    </xf>
    <xf applyAlignment="true" applyBorder="true" applyFill="true" applyNumberFormat="true" applyFont="true" applyProtection="true" borderId="0" fillId="0" fontId="8" numFmtId="0" xfId="0">
      <alignment horizontal="left" vertical="center" textRotation="0" shrinkToFit="false" wrapText="true"/>
      <protection hidden="false" locked="true"/>
    </xf>
    <xf applyAlignment="true" applyBorder="true" applyFill="true" applyNumberFormat="true" applyFont="true" applyProtection="true" borderId="31" fillId="4" fontId="7" numFmtId="0" xfId="0">
      <alignment horizontal="left" vertical="center" textRotation="0" shrinkToFit="false" wrapText="false"/>
      <protection hidden="false" locked="true"/>
    </xf>
    <xf applyAlignment="true" applyBorder="true" applyFill="true" applyNumberFormat="true" applyFont="true" applyProtection="true" borderId="32" fillId="4" fontId="7" numFmtId="0" xfId="0">
      <alignment horizontal="left" vertical="center" textRotation="0" shrinkToFit="false" wrapText="false"/>
      <protection hidden="false" locked="true"/>
    </xf>
    <xf applyAlignment="true" applyBorder="true" applyFill="true" applyNumberFormat="true" applyFont="true" applyProtection="true" borderId="32" fillId="4" fontId="7" numFmtId="0" xfId="0">
      <alignment horizontal="left" vertical="center" textRotation="0" shrinkToFit="false" wrapText="true"/>
      <protection hidden="false" locked="true"/>
    </xf>
    <xf applyAlignment="true" applyBorder="true" applyFill="true" applyNumberFormat="true" applyFont="true" applyProtection="true" borderId="32" fillId="4" fontId="7" numFmtId="4" xfId="0">
      <alignment horizontal="right" vertical="center" textRotation="0" shrinkToFit="false" wrapText="false"/>
      <protection hidden="false" locked="true"/>
    </xf>
    <xf applyAlignment="true" applyBorder="true" applyFill="true" applyNumberFormat="true" applyFont="true" applyProtection="true" borderId="33" fillId="4" fontId="7" numFmtId="0" xfId="0">
      <alignment horizontal="right" vertical="center" textRotation="0" shrinkToFit="false" wrapText="false"/>
      <protection hidden="false" locked="true"/>
    </xf>
    <xf applyAlignment="true" applyBorder="true" applyFill="true" applyNumberFormat="true" applyFont="true" applyProtection="true" borderId="40" fillId="0" fontId="0" numFmtId="0" xfId="0">
      <alignment horizontal="general" vertical="bottom" textRotation="0" shrinkToFit="false" wrapText="false"/>
      <protection hidden="false" locked="true"/>
    </xf>
    <xf applyAlignment="true" applyBorder="true" applyFill="true" applyNumberFormat="true" applyFont="true" applyProtection="true" borderId="41" fillId="0" fontId="4" numFmtId="0" xfId="0">
      <alignment horizontal="right" vertical="center" textRotation="0" shrinkToFit="false" wrapText="false"/>
      <protection hidden="false" locked="true"/>
    </xf>
    <xf applyAlignment="true" applyBorder="true" applyFill="true" applyNumberFormat="true" applyFont="true" applyProtection="true" borderId="41" fillId="0" fontId="4" numFmtId="0" xfId="0">
      <alignment horizontal="left" vertical="center" textRotation="0" shrinkToFit="false" wrapText="true"/>
      <protection hidden="false" locked="true"/>
    </xf>
    <xf applyAlignment="true" applyBorder="true" applyFill="true" applyNumberFormat="true" applyFont="true" applyProtection="true" borderId="41" fillId="0" fontId="4" numFmtId="0" xfId="0">
      <alignment horizontal="left" vertical="center" textRotation="0" shrinkToFit="false" wrapText="false"/>
      <protection hidden="false" locked="true"/>
    </xf>
    <xf applyAlignment="true" applyBorder="true" applyFill="true" applyNumberFormat="true" applyFont="true" applyProtection="true" borderId="42" fillId="0" fontId="4" numFmtId="0" xfId="0">
      <alignment horizontal="left" vertical="center" textRotation="0" shrinkToFit="false" wrapText="false"/>
      <protection hidden="false" locked="true"/>
    </xf>
    <xf applyAlignment="true" applyBorder="true" applyFill="true" applyNumberFormat="true" applyFont="true" applyProtection="true" borderId="43" fillId="0" fontId="0" numFmtId="0" xfId="0">
      <alignment horizontal="general" vertical="bottom" textRotation="0" shrinkToFit="false" wrapText="false"/>
      <protection hidden="false" locked="true"/>
    </xf>
    <xf applyAlignment="true" applyBorder="true" applyFill="true" applyNumberFormat="true" applyFont="true" applyProtection="true" borderId="44" fillId="0" fontId="4" numFmtId="0" xfId="0">
      <alignment horizontal="right" vertical="center" textRotation="0" shrinkToFit="false" wrapText="false"/>
      <protection hidden="false" locked="true"/>
    </xf>
    <xf applyAlignment="true" applyBorder="true" applyFill="true" applyNumberFormat="true" applyFont="true" applyProtection="true" borderId="44" fillId="0" fontId="4" numFmtId="0" xfId="0">
      <alignment horizontal="left" vertical="center" textRotation="0" shrinkToFit="false" wrapText="true"/>
      <protection hidden="false" locked="true"/>
    </xf>
    <xf applyAlignment="true" applyBorder="true" applyFill="true" applyNumberFormat="true" applyFont="true" applyProtection="true" borderId="44" fillId="0" fontId="4" numFmtId="0" xfId="0">
      <alignment horizontal="left" vertical="center" textRotation="0" shrinkToFit="false" wrapText="false"/>
      <protection hidden="false" locked="true"/>
    </xf>
    <xf applyAlignment="true" applyBorder="true" applyFill="true" applyNumberFormat="true" applyFont="true" applyProtection="true" borderId="45" fillId="0" fontId="4" numFmtId="0" xfId="0">
      <alignment horizontal="left" vertical="center" textRotation="0" shrinkToFit="false" wrapText="false"/>
      <protection hidden="false" locked="true"/>
    </xf>
    <xf applyAlignment="true" applyBorder="true" applyFill="true" applyNumberFormat="true" applyFont="true" applyProtection="true" borderId="6" fillId="0" fontId="3" numFmtId="0" xfId="0">
      <alignment horizontal="right" vertical="center" textRotation="0" shrinkToFit="false" wrapText="false"/>
      <protection hidden="false" locked="true"/>
    </xf>
    <xf applyAlignment="true" applyBorder="true" applyFill="true" applyNumberFormat="true" applyFont="true" applyProtection="true" borderId="5" fillId="0" fontId="0" numFmtId="0" xfId="0">
      <alignment horizontal="general" vertical="bottom" textRotation="0" shrinkToFit="false" wrapText="false"/>
      <protection hidden="false" locked="true"/>
    </xf>
    <xf applyAlignment="true" applyBorder="true" applyFill="true" applyNumberFormat="true" applyFont="true" applyProtection="true" borderId="0" fillId="0" fontId="4" numFmtId="0" xfId="0">
      <alignment horizontal="left" vertical="center" textRotation="0" shrinkToFit="false" wrapText="false"/>
      <protection hidden="false" locked="true"/>
    </xf>
    <xf applyAlignment="true" applyBorder="true" applyFill="true" applyNumberFormat="true" applyFont="true" applyProtection="true" borderId="6" fillId="0" fontId="4" numFmtId="0" xfId="0">
      <alignment horizontal="left" vertical="center" textRotation="0" shrinkToFit="false" wrapText="false"/>
      <protection hidden="false" locked="true"/>
    </xf>
    <xf applyAlignment="true" applyBorder="true" applyFill="true" applyNumberFormat="true" applyFont="true" applyProtection="true" borderId="44" fillId="0" fontId="6" numFmtId="0" xfId="0">
      <alignment horizontal="left" vertical="center" textRotation="0" shrinkToFit="false" wrapText="false"/>
      <protection hidden="false" locked="true"/>
    </xf>
    <xf applyAlignment="true" applyBorder="true" applyFill="true" applyNumberFormat="true" applyFont="true" applyProtection="true" borderId="44" fillId="0" fontId="6" numFmtId="4" xfId="0">
      <alignment horizontal="right" vertical="center" textRotation="0" shrinkToFit="false" wrapText="false"/>
      <protection hidden="false" locked="true"/>
    </xf>
    <xf applyAlignment="true" applyBorder="true" applyFill="true" applyNumberFormat="true" applyFont="true" applyProtection="true" borderId="45" fillId="0" fontId="0" numFmtId="0" xfId="0">
      <alignment horizontal="general" vertical="bottom" textRotation="0" shrinkToFit="false" wrapText="false"/>
      <protection hidden="false" locked="true"/>
    </xf>
    <xf applyAlignment="true" applyBorder="true" applyFill="true" applyNumberFormat="true" applyFont="true" applyProtection="true" borderId="34" fillId="2" fontId="3" numFmtId="0" xfId="0">
      <alignment horizontal="left" vertical="center" textRotation="0" shrinkToFit="false" wrapText="false"/>
      <protection hidden="false" locked="true"/>
    </xf>
    <xf applyAlignment="true" applyBorder="true" applyFill="true" applyNumberFormat="true" applyFont="true" applyProtection="true" borderId="35" fillId="2" fontId="2" numFmtId="0" xfId="0">
      <alignment horizontal="left" vertical="center" textRotation="0" shrinkToFit="false" wrapText="false"/>
      <protection hidden="false" locked="true"/>
    </xf>
    <xf applyAlignment="true" applyBorder="true" applyFill="true" applyNumberFormat="true" applyFont="true" applyProtection="true" borderId="35" fillId="2" fontId="2" numFmtId="0" xfId="0">
      <alignment horizontal="left" vertical="center" textRotation="0" shrinkToFit="false" wrapText="true"/>
      <protection hidden="false" locked="true"/>
    </xf>
    <xf applyAlignment="true" applyBorder="true" applyFill="true" applyNumberFormat="true" applyFont="true" applyProtection="true" borderId="35" fillId="2" fontId="3" numFmtId="0" xfId="0">
      <alignment horizontal="left" vertical="center" textRotation="0" shrinkToFit="false" wrapText="false"/>
      <protection hidden="false" locked="true"/>
    </xf>
    <xf applyAlignment="true" applyBorder="true" applyFill="true" applyNumberFormat="true" applyFont="true" applyProtection="true" borderId="35" fillId="2" fontId="2" numFmtId="4" xfId="0">
      <alignment horizontal="right" vertical="center" textRotation="0" shrinkToFit="false" wrapText="false"/>
      <protection hidden="false" locked="true"/>
    </xf>
    <xf applyAlignment="true" applyBorder="true" applyFill="true" applyNumberFormat="true" applyFont="true" applyProtection="true" borderId="36" fillId="2" fontId="2" numFmtId="0" xfId="0">
      <alignment horizontal="right" vertical="center" textRotation="0" shrinkToFit="false" wrapText="false"/>
      <protection hidden="false" locked="true"/>
    </xf>
    <xf applyAlignment="true" applyBorder="true" applyFill="true" applyNumberFormat="true" applyFont="true" applyProtection="true" borderId="5" fillId="2" fontId="3" numFmtId="0" xfId="0">
      <alignment horizontal="left" vertical="center" textRotation="0" shrinkToFit="false" wrapText="false"/>
      <protection hidden="false" locked="true"/>
    </xf>
    <xf applyAlignment="true" applyBorder="true" applyFill="true" applyNumberFormat="true" applyFont="true" applyProtection="true" borderId="0" fillId="2" fontId="2" numFmtId="0" xfId="0">
      <alignment horizontal="left" vertical="center" textRotation="0" shrinkToFit="false" wrapText="false"/>
      <protection hidden="false" locked="true"/>
    </xf>
    <xf applyAlignment="true" applyBorder="true" applyFill="true" applyNumberFormat="true" applyFont="true" applyProtection="true" borderId="0" fillId="2" fontId="2" numFmtId="0" xfId="0">
      <alignment horizontal="left" vertical="center" textRotation="0" shrinkToFit="false" wrapText="true"/>
      <protection hidden="false" locked="true"/>
    </xf>
    <xf applyAlignment="true" applyBorder="true" applyFill="true" applyNumberFormat="true" applyFont="true" applyProtection="true" borderId="0" fillId="2" fontId="3" numFmtId="0" xfId="0">
      <alignment horizontal="left" vertical="center" textRotation="0" shrinkToFit="false" wrapText="false"/>
      <protection hidden="false" locked="true"/>
    </xf>
    <xf applyAlignment="true" applyBorder="true" applyFill="true" applyNumberFormat="true" applyFont="true" applyProtection="true" borderId="6" fillId="2" fontId="2" numFmtId="0" xfId="0">
      <alignment horizontal="right" vertical="center" textRotation="0" shrinkToFit="false" wrapText="false"/>
      <protection hidden="false" locked="true"/>
    </xf>
    <xf applyAlignment="true" applyBorder="true" applyFill="true" applyNumberFormat="true" applyFont="true" applyProtection="true" borderId="43" fillId="0" fontId="3" numFmtId="0" xfId="0">
      <alignment horizontal="left" vertical="center" textRotation="0" shrinkToFit="false" wrapText="false"/>
      <protection hidden="false" locked="true"/>
    </xf>
    <xf applyAlignment="true" applyBorder="true" applyFill="true" applyNumberFormat="true" applyFont="true" applyProtection="true" borderId="44" fillId="0" fontId="3" numFmtId="0" xfId="0">
      <alignment horizontal="left" vertical="center" textRotation="0" shrinkToFit="false" wrapText="false"/>
      <protection hidden="false" locked="true"/>
    </xf>
    <xf applyAlignment="true" applyBorder="true" applyFill="true" applyNumberFormat="true" applyFont="true" applyProtection="true" borderId="44" fillId="0" fontId="3" numFmtId="0" xfId="0">
      <alignment horizontal="left" vertical="center" textRotation="0" shrinkToFit="false" wrapText="true"/>
      <protection hidden="false" locked="true"/>
    </xf>
    <xf applyAlignment="true" applyBorder="true" applyFill="true" applyNumberFormat="true" applyFont="true" applyProtection="true" borderId="44" fillId="0" fontId="3" numFmtId="4" xfId="0">
      <alignment horizontal="right" vertical="center" textRotation="0" shrinkToFit="false" wrapText="false"/>
      <protection hidden="false" locked="true"/>
    </xf>
    <xf applyAlignment="true" applyBorder="true" applyFill="true" applyNumberFormat="true" applyFont="true" applyProtection="true" borderId="45" fillId="0" fontId="3" numFmtId="0" xfId="0">
      <alignment horizontal="right" vertical="center" textRotation="0" shrinkToFit="false" wrapText="false"/>
      <protection hidden="false" locked="true"/>
    </xf>
    <xf applyAlignment="true" applyBorder="true" applyFill="true" applyNumberFormat="true" applyFont="true" applyProtection="true" borderId="43" fillId="2" fontId="3" numFmtId="0" xfId="0">
      <alignment horizontal="left" vertical="center" textRotation="0" shrinkToFit="false" wrapText="false"/>
      <protection hidden="false" locked="true"/>
    </xf>
    <xf applyAlignment="true" applyBorder="true" applyFill="true" applyNumberFormat="true" applyFont="true" applyProtection="true" borderId="44" fillId="2" fontId="2" numFmtId="0" xfId="0">
      <alignment horizontal="left" vertical="center" textRotation="0" shrinkToFit="false" wrapText="false"/>
      <protection hidden="false" locked="true"/>
    </xf>
    <xf applyAlignment="true" applyBorder="true" applyFill="true" applyNumberFormat="true" applyFont="true" applyProtection="true" borderId="44" fillId="2" fontId="2" numFmtId="0" xfId="0">
      <alignment horizontal="left" vertical="center" textRotation="0" shrinkToFit="false" wrapText="true"/>
      <protection hidden="false" locked="true"/>
    </xf>
    <xf applyAlignment="true" applyBorder="true" applyFill="true" applyNumberFormat="true" applyFont="true" applyProtection="true" borderId="44" fillId="2" fontId="3" numFmtId="0" xfId="0">
      <alignment horizontal="left" vertical="center" textRotation="0" shrinkToFit="false" wrapText="false"/>
      <protection hidden="false" locked="true"/>
    </xf>
    <xf applyAlignment="true" applyBorder="true" applyFill="true" applyNumberFormat="true" applyFont="true" applyProtection="true" borderId="44" fillId="2" fontId="2" numFmtId="4" xfId="0">
      <alignment horizontal="right" vertical="center" textRotation="0" shrinkToFit="false" wrapText="false"/>
      <protection hidden="false" locked="true"/>
    </xf>
    <xf applyAlignment="true" applyBorder="true" applyFill="true" applyNumberFormat="true" applyFont="true" applyProtection="true" borderId="45" fillId="2" fontId="2" numFmtId="0" xfId="0">
      <alignment horizontal="right" vertical="center" textRotation="0" shrinkToFit="false" wrapText="false"/>
      <protection hidden="false" locked="true"/>
    </xf>
    <xf applyAlignment="true" applyBorder="true" applyFill="true" applyNumberFormat="true" applyFont="true" applyProtection="true" borderId="0" fillId="0" fontId="6" numFmtId="0" xfId="0">
      <alignment horizontal="left" vertical="center" textRotation="0" shrinkToFit="false" wrapText="false"/>
      <protection hidden="false" locked="true"/>
    </xf>
    <xf applyAlignment="true" applyBorder="true" applyFill="true" applyNumberFormat="true" applyFont="true" applyProtection="true" borderId="0" fillId="0" fontId="6" numFmtId="4" xfId="0">
      <alignment horizontal="right" vertical="center" textRotation="0" shrinkToFit="false" wrapText="false"/>
      <protection hidden="false" locked="true"/>
    </xf>
    <xf applyAlignment="true" applyBorder="true" applyFill="true" applyNumberFormat="true" applyFont="true" applyProtection="true" borderId="6" fillId="0" fontId="0" numFmtId="0" xfId="0">
      <alignment horizontal="general" vertical="bottom" textRotation="0" shrinkToFit="false" wrapText="false"/>
      <protection hidden="false" locked="true"/>
    </xf>
    <xf applyAlignment="true" applyBorder="true" applyFill="true" applyNumberFormat="true" applyFont="true" applyProtection="true" borderId="40" fillId="0" fontId="3" numFmtId="0" xfId="0">
      <alignment horizontal="left" vertical="center" textRotation="0" shrinkToFit="false" wrapText="false"/>
      <protection hidden="false" locked="true"/>
    </xf>
    <xf applyAlignment="true" applyBorder="true" applyFill="true" applyNumberFormat="true" applyFont="true" applyProtection="true" borderId="41" fillId="0" fontId="3" numFmtId="0" xfId="0">
      <alignment horizontal="left" vertical="center" textRotation="0" shrinkToFit="false" wrapText="false"/>
      <protection hidden="false" locked="true"/>
    </xf>
    <xf applyAlignment="true" applyBorder="true" applyFill="true" applyNumberFormat="true" applyFont="true" applyProtection="true" borderId="41" fillId="0" fontId="3" numFmtId="0" xfId="0">
      <alignment horizontal="left" vertical="center" textRotation="0" shrinkToFit="false" wrapText="true"/>
      <protection hidden="false" locked="true"/>
    </xf>
    <xf applyAlignment="true" applyBorder="true" applyFill="true" applyNumberFormat="true" applyFont="true" applyProtection="true" borderId="41" fillId="0" fontId="3" numFmtId="4" xfId="0">
      <alignment horizontal="right" vertical="center" textRotation="0" shrinkToFit="false" wrapText="false"/>
      <protection hidden="false" locked="true"/>
    </xf>
    <xf applyAlignment="true" applyBorder="true" applyFill="true" applyNumberFormat="true" applyFont="true" applyProtection="true" borderId="42" fillId="0" fontId="3" numFmtId="0" xfId="0">
      <alignment horizontal="right" vertical="center" textRotation="0" shrinkToFit="false" wrapText="false"/>
      <protection hidden="false" locked="true"/>
    </xf>
    <xf applyAlignment="true" applyBorder="true" applyFill="true" applyNumberFormat="true" applyFont="true" applyProtection="true" borderId="46" fillId="0" fontId="0" numFmtId="0" xfId="0">
      <alignment horizontal="general" vertical="bottom" textRotation="0" shrinkToFit="false" wrapText="false"/>
      <protection hidden="false" locked="true"/>
    </xf>
    <xf applyAlignment="true" applyBorder="true" applyFill="true" applyNumberFormat="true" applyFont="true" applyProtection="true" borderId="47" fillId="0" fontId="0" numFmtId="0" xfId="0">
      <alignment horizontal="general" vertical="bottom" textRotation="0" shrinkToFit="false" wrapText="false"/>
      <protection hidden="false" locked="true"/>
    </xf>
    <xf applyAlignment="true" applyBorder="true" applyFill="true" applyNumberFormat="true" applyFont="true" applyProtection="true" borderId="47" fillId="0" fontId="6" numFmtId="0" xfId="0">
      <alignment horizontal="left" vertical="center" textRotation="0" shrinkToFit="false" wrapText="false"/>
      <protection hidden="false" locked="true"/>
    </xf>
    <xf applyAlignment="true" applyBorder="true" applyFill="true" applyNumberFormat="true" applyFont="true" applyProtection="true" borderId="47" fillId="0" fontId="4" numFmtId="0" xfId="0">
      <alignment horizontal="left" vertical="center" textRotation="0" shrinkToFit="false" wrapText="false"/>
      <protection hidden="false" locked="true"/>
    </xf>
    <xf applyAlignment="true" applyBorder="true" applyFill="true" applyNumberFormat="true" applyFont="true" applyProtection="true" borderId="47" fillId="0" fontId="6" numFmtId="4" xfId="0">
      <alignment horizontal="right" vertical="center" textRotation="0" shrinkToFit="false" wrapText="false"/>
      <protection hidden="false" locked="true"/>
    </xf>
    <xf applyAlignment="true" applyBorder="true" applyFill="true" applyNumberFormat="true" applyFont="true" applyProtection="true" borderId="48" fillId="0" fontId="0" numFmtId="0" xfId="0">
      <alignment horizontal="general" vertical="bottom" textRotation="0" shrinkToFit="false" wrapText="false"/>
      <protection hidden="false" locked="true"/>
    </xf>
    <xf applyAlignment="true" applyBorder="true" applyFill="true" applyNumberFormat="true" applyFont="true" applyProtection="true" borderId="49" fillId="0" fontId="2" numFmtId="0" xfId="0">
      <alignment horizontal="left" vertical="center" textRotation="0" shrinkToFit="false" wrapText="false"/>
      <protection hidden="false" locked="true"/>
    </xf>
    <xf applyAlignment="true" applyBorder="true" applyFill="true" applyNumberFormat="true" applyFont="true" applyProtection="true" borderId="49" fillId="0" fontId="2" numFmtId="4" xfId="0">
      <alignment horizontal="right" vertical="center" textRotation="0" shrinkToFit="false" wrapText="false"/>
      <protection hidden="false" locked="true"/>
    </xf>
    <xf applyAlignment="true" applyBorder="true" applyFill="true" applyNumberFormat="true" applyFont="true" applyProtection="true" borderId="0" fillId="0" fontId="9" numFmtId="0" xfId="0">
      <alignment horizontal="left" vertical="center" textRotation="0" shrinkToFit="false" wrapText="false"/>
      <protection hidden="false" locked="true"/>
    </xf>
    <xf applyAlignment="true" applyBorder="true" applyFill="true" applyNumberFormat="true" applyFont="true" applyProtection="true" borderId="4" fillId="0" fontId="3" numFmtId="0" xfId="0">
      <alignment horizontal="left" vertical="center" textRotation="0" shrinkToFit="false" wrapText="true"/>
      <protection hidden="false" locked="true"/>
    </xf>
    <xf applyAlignment="true" applyBorder="true" applyFill="true" applyNumberFormat="true" applyFont="true" applyProtection="true" borderId="6" fillId="0" fontId="3" numFmtId="0" xfId="0">
      <alignment horizontal="left" vertical="center" textRotation="0" shrinkToFit="false" wrapText="true"/>
      <protection hidden="false" locked="true"/>
    </xf>
    <xf applyAlignment="true" applyBorder="true" applyFill="true" applyNumberFormat="true" applyFont="true" applyProtection="true" borderId="47" fillId="0" fontId="3" numFmtId="0" xfId="0">
      <alignment horizontal="left" vertical="center" textRotation="0" shrinkToFit="false" wrapText="false"/>
      <protection hidden="false" locked="true"/>
    </xf>
    <xf applyAlignment="true" applyBorder="true" applyFill="true" applyNumberFormat="true" applyFont="true" applyProtection="true" borderId="50" fillId="0" fontId="2" numFmtId="0" xfId="0">
      <alignment horizontal="left" vertical="center" textRotation="0" shrinkToFit="false" wrapText="false"/>
      <protection hidden="false" locked="true"/>
    </xf>
    <xf applyAlignment="true" applyBorder="true" applyFill="true" applyNumberFormat="true" applyFont="true" applyProtection="true" borderId="51" fillId="0" fontId="2" numFmtId="0" xfId="0">
      <alignment horizontal="left" vertical="center" textRotation="0" shrinkToFit="false" wrapText="false"/>
      <protection hidden="false" locked="true"/>
    </xf>
    <xf applyAlignment="true" applyBorder="true" applyFill="true" applyNumberFormat="true" applyFont="true" applyProtection="true" borderId="52" fillId="0" fontId="2" numFmtId="0" xfId="0">
      <alignment horizontal="left" vertical="center" textRotation="0" shrinkToFit="false" wrapText="false"/>
      <protection hidden="false" locked="true"/>
    </xf>
    <xf applyAlignment="true" applyBorder="true" applyFill="true" applyNumberFormat="true" applyFont="true" applyProtection="true" borderId="53" fillId="0" fontId="2" numFmtId="0" xfId="0">
      <alignment horizontal="center" vertical="center" textRotation="0" shrinkToFit="false" wrapText="false"/>
      <protection hidden="false" locked="true"/>
    </xf>
    <xf applyAlignment="true" applyBorder="true" applyFill="true" applyNumberFormat="true" applyFont="true" applyProtection="true" borderId="54" fillId="0" fontId="2" numFmtId="0" xfId="0">
      <alignment horizontal="center" vertical="center" textRotation="0" shrinkToFit="false" wrapText="false"/>
      <protection hidden="false" locked="true"/>
    </xf>
    <xf applyAlignment="true" applyBorder="true" applyFill="true" applyNumberFormat="true" applyFont="true" applyProtection="true" borderId="55" fillId="0" fontId="3" numFmtId="0" xfId="0">
      <alignment horizontal="left" vertical="center" textRotation="0" shrinkToFit="false" wrapText="false"/>
      <protection hidden="false" locked="true"/>
    </xf>
    <xf applyAlignment="true" applyBorder="true" applyFill="true" applyNumberFormat="true" applyFont="true" applyProtection="true" borderId="56" fillId="0" fontId="3" numFmtId="0" xfId="0">
      <alignment horizontal="left" vertical="center" textRotation="0" shrinkToFit="false" wrapText="false"/>
      <protection hidden="false" locked="true"/>
    </xf>
    <xf applyAlignment="true" applyBorder="true" applyFill="true" applyNumberFormat="true" applyFont="true" applyProtection="true" borderId="56" fillId="0" fontId="3" numFmtId="4" xfId="0">
      <alignment horizontal="right" vertical="center" textRotation="0" shrinkToFit="false" wrapText="false"/>
      <protection hidden="false" locked="true"/>
    </xf>
    <xf applyAlignment="true" applyBorder="true" applyFill="true" applyNumberFormat="true" applyFont="true" applyProtection="true" borderId="0" fillId="0" fontId="2" numFmtId="4" xfId="0">
      <alignment horizontal="right" vertical="center" textRotation="0" shrinkToFit="false" wrapText="false"/>
      <protection hidden="false" locked="true"/>
    </xf>
    <xf applyAlignment="true" applyBorder="true" applyFill="true" applyNumberFormat="true" applyFont="true" applyProtection="true" borderId="1" fillId="0" fontId="1" numFmtId="0" xfId="0">
      <alignment horizontal="center" vertical="center" textRotation="0" shrinkToFit="false" wrapText="true"/>
      <protection hidden="false" locked="true"/>
    </xf>
    <xf applyAlignment="true" applyBorder="true" applyFill="true" applyNumberFormat="true" applyFont="true" applyProtection="true" borderId="6" fillId="0" fontId="3" numFmtId="1" xfId="0">
      <alignment horizontal="left" vertical="center" textRotation="0" shrinkToFit="false" wrapText="false"/>
      <protection hidden="false" locked="true"/>
    </xf>
    <xf applyAlignment="true" applyBorder="true" applyFill="true" applyNumberFormat="true" applyFont="true" applyProtection="true" borderId="46" fillId="0" fontId="3" numFmtId="0" xfId="0">
      <alignment horizontal="left" vertical="center" textRotation="0" shrinkToFit="false" wrapText="false"/>
      <protection hidden="false" locked="true"/>
    </xf>
    <xf applyAlignment="true" applyBorder="true" applyFill="true" applyNumberFormat="true" applyFont="true" applyProtection="true" borderId="48" fillId="0" fontId="3" numFmtId="0" xfId="0">
      <alignment horizontal="left" vertical="center" textRotation="0" shrinkToFit="false" wrapText="false"/>
      <protection hidden="false" locked="true"/>
    </xf>
    <xf applyAlignment="true" applyBorder="true" applyFill="true" applyNumberFormat="true" applyFont="true" applyProtection="true" borderId="57" fillId="0" fontId="10" numFmtId="0" xfId="0">
      <alignment horizontal="center" vertical="center" textRotation="0" shrinkToFit="false" wrapText="false"/>
      <protection hidden="false" locked="true"/>
    </xf>
    <xf applyAlignment="true" applyBorder="true" applyFill="true" applyNumberFormat="true" applyFont="true" applyProtection="true" borderId="58" fillId="2" fontId="11" numFmtId="0" xfId="0">
      <alignment horizontal="center" vertical="center" textRotation="0" shrinkToFit="false" wrapText="false"/>
      <protection hidden="false" locked="true"/>
    </xf>
    <xf applyAlignment="true" applyBorder="true" applyFill="true" applyNumberFormat="true" applyFont="true" applyProtection="true" borderId="59" fillId="0" fontId="12" numFmtId="0" xfId="0">
      <alignment horizontal="left" vertical="center" textRotation="0" shrinkToFit="false" wrapText="false"/>
      <protection hidden="false" locked="true"/>
    </xf>
    <xf applyAlignment="true" applyBorder="true" applyFill="true" applyNumberFormat="true" applyFont="true" applyProtection="true" borderId="60" fillId="0" fontId="12" numFmtId="0" xfId="0">
      <alignment horizontal="left" vertical="center" textRotation="0" shrinkToFit="false" wrapText="false"/>
      <protection hidden="false" locked="true"/>
    </xf>
    <xf applyAlignment="true" applyBorder="true" applyFill="true" applyNumberFormat="true" applyFont="true" applyProtection="true" borderId="61" fillId="2" fontId="11" numFmtId="0" xfId="0">
      <alignment horizontal="center" vertical="center" textRotation="0" shrinkToFit="false" wrapText="false"/>
      <protection hidden="false" locked="true"/>
    </xf>
    <xf applyAlignment="true" applyBorder="true" applyFill="true" applyNumberFormat="true" applyFont="true" applyProtection="true" borderId="62" fillId="0" fontId="13" numFmtId="0" xfId="0">
      <alignment horizontal="left" vertical="center" textRotation="0" shrinkToFit="false" wrapText="false"/>
      <protection hidden="false" locked="true"/>
    </xf>
    <xf applyAlignment="true" applyBorder="true" applyFill="true" applyNumberFormat="true" applyFont="true" applyProtection="true" borderId="63" fillId="0" fontId="14" numFmtId="0" xfId="0">
      <alignment horizontal="left" vertical="center" textRotation="0" shrinkToFit="false" wrapText="false"/>
      <protection hidden="false" locked="true"/>
    </xf>
    <xf applyAlignment="true" applyBorder="true" applyFill="true" applyNumberFormat="true" applyFont="true" applyProtection="true" borderId="63" fillId="0" fontId="14" numFmtId="4" xfId="0">
      <alignment horizontal="right" vertical="center" textRotation="0" shrinkToFit="false" wrapText="false"/>
      <protection hidden="false" locked="true"/>
    </xf>
    <xf applyAlignment="true" applyBorder="true" applyFill="true" applyNumberFormat="true" applyFont="true" applyProtection="true" borderId="64" fillId="0" fontId="14" numFmtId="0" xfId="0">
      <alignment horizontal="left" vertical="center" textRotation="0" shrinkToFit="false" wrapText="false"/>
      <protection hidden="false" locked="true"/>
    </xf>
    <xf applyAlignment="true" applyBorder="true" applyFill="true" applyNumberFormat="true" applyFont="true" applyProtection="true" borderId="65" fillId="0" fontId="14" numFmtId="0" xfId="0">
      <alignment horizontal="left" vertical="center" textRotation="0" shrinkToFit="false" wrapText="false"/>
      <protection hidden="false" locked="true"/>
    </xf>
    <xf applyAlignment="true" applyBorder="true" applyFill="true" applyNumberFormat="true" applyFont="true" applyProtection="true" borderId="63" fillId="0" fontId="14" numFmtId="0" xfId="0">
      <alignment horizontal="right" vertical="center" textRotation="0" shrinkToFit="false" wrapText="false"/>
      <protection hidden="false" locked="true"/>
    </xf>
    <xf applyAlignment="true" applyBorder="true" applyFill="true" applyNumberFormat="true" applyFont="true" applyProtection="true" borderId="66" fillId="0" fontId="13" numFmtId="0" xfId="0">
      <alignment horizontal="left" vertical="center" textRotation="0" shrinkToFit="false" wrapText="false"/>
      <protection hidden="false" locked="true"/>
    </xf>
    <xf applyAlignment="true" applyBorder="true" applyFill="true" applyNumberFormat="true" applyFont="true" applyProtection="true" borderId="67" fillId="0" fontId="13" numFmtId="0" xfId="0">
      <alignment horizontal="left" vertical="center" textRotation="0" shrinkToFit="false" wrapText="false"/>
      <protection hidden="false" locked="true"/>
    </xf>
    <xf applyAlignment="true" applyBorder="true" applyFill="true" applyNumberFormat="true" applyFont="true" applyProtection="true" borderId="65" fillId="0" fontId="13" numFmtId="0" xfId="0">
      <alignment horizontal="left" vertical="center" textRotation="0" shrinkToFit="false" wrapText="false"/>
      <protection hidden="false" locked="true"/>
    </xf>
    <xf applyAlignment="true" applyBorder="true" applyFill="true" applyNumberFormat="true" applyFont="true" applyProtection="true" borderId="68" fillId="0" fontId="13" numFmtId="0" xfId="0">
      <alignment horizontal="left" vertical="center" textRotation="0" shrinkToFit="false" wrapText="false"/>
      <protection hidden="false" locked="true"/>
    </xf>
    <xf applyAlignment="true" applyBorder="true" applyFill="true" applyNumberFormat="true" applyFont="true" applyProtection="true" borderId="69" fillId="0" fontId="13" numFmtId="0" xfId="0">
      <alignment horizontal="left" vertical="center" textRotation="0" shrinkToFit="false" wrapText="false"/>
      <protection hidden="false" locked="true"/>
    </xf>
    <xf applyAlignment="true" applyBorder="true" applyFill="true" applyNumberFormat="true" applyFont="true" applyProtection="true" borderId="70" fillId="0" fontId="14" numFmtId="4" xfId="0">
      <alignment horizontal="right" vertical="center" textRotation="0" shrinkToFit="false" wrapText="false"/>
      <protection hidden="false" locked="true"/>
    </xf>
    <xf applyAlignment="true" applyBorder="true" applyFill="true" applyNumberFormat="true" applyFont="true" applyProtection="true" borderId="71" fillId="0" fontId="14" numFmtId="0" xfId="0">
      <alignment horizontal="left" vertical="center" textRotation="0" shrinkToFit="false" wrapText="false"/>
      <protection hidden="false" locked="true"/>
    </xf>
    <xf applyAlignment="true" applyBorder="true" applyFill="true" applyNumberFormat="true" applyFont="true" applyProtection="true" borderId="69" fillId="0" fontId="14" numFmtId="0" xfId="0">
      <alignment horizontal="left" vertical="center" textRotation="0" shrinkToFit="false" wrapText="false"/>
      <protection hidden="false" locked="true"/>
    </xf>
    <xf applyAlignment="true" applyBorder="true" applyFill="true" applyNumberFormat="true" applyFont="true" applyProtection="true" borderId="70" fillId="0" fontId="14" numFmtId="0" xfId="0">
      <alignment horizontal="right" vertical="center" textRotation="0" shrinkToFit="false" wrapText="false"/>
      <protection hidden="false" locked="true"/>
    </xf>
    <xf applyAlignment="true" applyBorder="true" applyFill="true" applyNumberFormat="true" applyFont="true" applyProtection="true" borderId="72" fillId="0" fontId="13" numFmtId="0" xfId="0">
      <alignment horizontal="left" vertical="center" textRotation="0" shrinkToFit="false" wrapText="false"/>
      <protection hidden="false" locked="true"/>
    </xf>
    <xf applyAlignment="true" applyBorder="true" applyFill="true" applyNumberFormat="true" applyFont="true" applyProtection="true" borderId="60" fillId="0" fontId="13" numFmtId="0" xfId="0">
      <alignment horizontal="left" vertical="center" textRotation="0" shrinkToFit="false" wrapText="false"/>
      <protection hidden="false" locked="true"/>
    </xf>
    <xf applyAlignment="true" applyBorder="true" applyFill="true" applyNumberFormat="true" applyFont="true" applyProtection="true" borderId="61" fillId="0" fontId="14" numFmtId="4" xfId="0">
      <alignment horizontal="right" vertical="center" textRotation="0" shrinkToFit="false" wrapText="false"/>
      <protection hidden="false" locked="true"/>
    </xf>
    <xf applyAlignment="true" applyBorder="true" applyFill="true" applyNumberFormat="true" applyFont="true" applyProtection="true" borderId="59" fillId="0" fontId="13" numFmtId="0" xfId="0">
      <alignment horizontal="left" vertical="center" textRotation="0" shrinkToFit="false" wrapText="false"/>
      <protection hidden="false" locked="true"/>
    </xf>
    <xf applyAlignment="true" applyBorder="true" applyFill="true" applyNumberFormat="true" applyFont="true" applyProtection="true" borderId="64" fillId="0" fontId="13" numFmtId="0" xfId="0">
      <alignment horizontal="left" vertical="center" textRotation="0" shrinkToFit="false" wrapText="false"/>
      <protection hidden="false" locked="true"/>
    </xf>
    <xf applyAlignment="true" applyBorder="true" applyFill="true" applyNumberFormat="true" applyFont="true" applyProtection="true" borderId="72" fillId="2" fontId="13" numFmtId="0" xfId="0">
      <alignment horizontal="left" vertical="center" textRotation="0" shrinkToFit="false" wrapText="false"/>
      <protection hidden="false" locked="true"/>
    </xf>
    <xf applyAlignment="true" applyBorder="true" applyFill="true" applyNumberFormat="true" applyFont="true" applyProtection="true" borderId="73" fillId="2" fontId="13" numFmtId="0" xfId="0">
      <alignment horizontal="left" vertical="center" textRotation="0" shrinkToFit="false" wrapText="false"/>
      <protection hidden="false" locked="true"/>
    </xf>
    <xf applyAlignment="true" applyBorder="true" applyFill="true" applyNumberFormat="true" applyFont="true" applyProtection="true" borderId="60" fillId="2" fontId="13" numFmtId="4" xfId="0">
      <alignment horizontal="right" vertical="center" textRotation="0" shrinkToFit="false" wrapText="false"/>
      <protection hidden="false" locked="true"/>
    </xf>
    <xf applyAlignment="true" applyBorder="true" applyFill="true" applyNumberFormat="true" applyFont="true" applyProtection="true" borderId="67" fillId="2" fontId="13" numFmtId="0" xfId="0">
      <alignment horizontal="left" vertical="center" textRotation="0" shrinkToFit="false" wrapText="false"/>
      <protection hidden="false" locked="true"/>
    </xf>
    <xf applyAlignment="true" applyBorder="true" applyFill="true" applyNumberFormat="true" applyFont="true" applyProtection="true" borderId="74" fillId="2" fontId="13" numFmtId="0" xfId="0">
      <alignment horizontal="left" vertical="center" textRotation="0" shrinkToFit="false" wrapText="false"/>
      <protection hidden="false" locked="true"/>
    </xf>
    <xf applyAlignment="true" applyBorder="true" applyFill="true" applyNumberFormat="true" applyFont="true" applyProtection="true" borderId="65" fillId="2" fontId="13" numFmtId="4" xfId="0">
      <alignment horizontal="right" vertical="center" textRotation="0" shrinkToFit="false" wrapText="false"/>
      <protection hidden="false" locked="true"/>
    </xf>
    <xf applyAlignment="true" applyBorder="true" applyFill="true" applyNumberFormat="true" applyFont="true" applyProtection="true" borderId="59" fillId="2" fontId="13" numFmtId="0" xfId="0">
      <alignment horizontal="left" vertical="center" textRotation="0" shrinkToFit="false" wrapText="false"/>
      <protection hidden="false" locked="true"/>
    </xf>
    <xf applyAlignment="true" applyBorder="true" applyFill="true" applyNumberFormat="true" applyFont="true" applyProtection="true" borderId="64" fillId="2" fontId="13" numFmtId="0" xfId="0">
      <alignment horizontal="left" vertical="center" textRotation="0" shrinkToFit="false" wrapText="false"/>
      <protection hidden="false" locked="true"/>
    </xf>
    <xf applyAlignment="true" applyBorder="true" applyFill="true" applyNumberFormat="true" applyFont="true" applyProtection="true" borderId="75" fillId="0" fontId="14" numFmtId="0" xfId="0">
      <alignment horizontal="left" vertical="center" textRotation="0" shrinkToFit="false" wrapText="false"/>
      <protection hidden="false" locked="true"/>
    </xf>
    <xf applyAlignment="true" applyBorder="true" applyFill="true" applyNumberFormat="true" applyFont="true" applyProtection="true" borderId="76" fillId="0" fontId="14" numFmtId="0" xfId="0">
      <alignment horizontal="left" vertical="center" textRotation="0" shrinkToFit="false" wrapText="false"/>
      <protection hidden="false" locked="true"/>
    </xf>
    <xf applyAlignment="true" applyBorder="true" applyFill="true" applyNumberFormat="true" applyFont="true" applyProtection="true" borderId="77" fillId="0" fontId="14" numFmtId="0" xfId="0">
      <alignment horizontal="left" vertical="center" textRotation="0" shrinkToFit="false" wrapText="false"/>
      <protection hidden="false" locked="true"/>
    </xf>
    <xf applyAlignment="true" applyBorder="true" applyFill="true" applyNumberFormat="true" applyFont="true" applyProtection="true" borderId="78" fillId="0" fontId="14" numFmtId="0" xfId="0">
      <alignment horizontal="left" vertical="center" textRotation="0" shrinkToFit="false" wrapText="false"/>
      <protection hidden="false" locked="true"/>
    </xf>
    <xf applyAlignment="true" applyBorder="true" applyFill="true" applyNumberFormat="true" applyFont="true" applyProtection="true" borderId="79" fillId="0" fontId="14" numFmtId="0" xfId="0">
      <alignment horizontal="left" vertical="center" textRotation="0" shrinkToFit="false" wrapText="false"/>
      <protection hidden="false" locked="true"/>
    </xf>
    <xf applyAlignment="true" applyBorder="true" applyFill="true" applyNumberFormat="true" applyFont="true" applyProtection="true" borderId="0" fillId="0" fontId="14" numFmtId="0" xfId="0">
      <alignment horizontal="left" vertical="center" textRotation="0" shrinkToFit="false" wrapText="false"/>
      <protection hidden="false" locked="true"/>
    </xf>
    <xf applyAlignment="true" applyBorder="true" applyFill="true" applyNumberFormat="true" applyFont="true" applyProtection="true" borderId="80" fillId="0" fontId="14" numFmtId="0" xfId="0">
      <alignment horizontal="left" vertical="center" textRotation="0" shrinkToFit="false" wrapText="false"/>
      <protection hidden="false" locked="true"/>
    </xf>
    <xf applyAlignment="true" applyBorder="true" applyFill="true" applyNumberFormat="true" applyFont="true" applyProtection="true" borderId="81" fillId="0" fontId="14" numFmtId="0" xfId="0">
      <alignment horizontal="left" vertical="center" textRotation="0" shrinkToFit="false" wrapText="false"/>
      <protection hidden="false" locked="true"/>
    </xf>
    <xf applyAlignment="true" applyBorder="true" applyFill="true" applyNumberFormat="true" applyFont="true" applyProtection="true" borderId="82" fillId="0" fontId="14" numFmtId="0" xfId="0">
      <alignment horizontal="left" vertical="center" textRotation="0" shrinkToFit="false" wrapText="false"/>
      <protection hidden="false" locked="true"/>
    </xf>
    <xf applyAlignment="true" applyBorder="true" applyFill="true" applyNumberFormat="true" applyFont="true" applyProtection="true" borderId="83" fillId="0" fontId="14" numFmtId="0" xfId="0">
      <alignment horizontal="left" vertical="center" textRotation="0" shrinkToFit="false" wrapText="false"/>
      <protection hidden="false" locked="true"/>
    </xf>
    <xf applyAlignment="true" applyBorder="true" applyFill="true" applyNumberFormat="true" applyFont="true" applyProtection="true" borderId="84" fillId="0" fontId="14" numFmtId="0" xfId="0">
      <alignment horizontal="left" vertical="center" textRotation="0" shrinkToFit="false" wrapText="false"/>
      <protection hidden="false" locked="true"/>
    </xf>
    <xf applyAlignment="true" applyBorder="true" applyFill="true" applyNumberFormat="true" applyFont="true" applyProtection="true" borderId="85" fillId="0" fontId="14" numFmtId="0" xfId="0">
      <alignment horizontal="left" vertical="center" textRotation="0" shrinkToFit="false" wrapText="false"/>
      <protection hidden="false" locked="true"/>
    </xf>
    <xf applyAlignment="true" applyBorder="true" applyFill="true" applyNumberFormat="true" applyFont="true" applyProtection="true" borderId="56" fillId="0" fontId="9" numFmtId="0" xfId="0">
      <alignment horizontal="left" vertical="center" textRotation="0" shrinkToFit="false" wrapText="false"/>
      <protection hidden="false" locked="true"/>
    </xf>
    <xf applyAlignment="true" applyBorder="true" applyFill="true" applyNumberFormat="true" applyFont="true" applyProtection="true" borderId="8" fillId="0" fontId="13" numFmtId="0" xfId="0">
      <alignment horizontal="left" vertical="center" textRotation="0" shrinkToFit="false" wrapText="false"/>
      <protection hidden="false" locked="true"/>
    </xf>
    <xf applyAlignment="true" applyBorder="true" applyFill="true" applyNumberFormat="true" applyFont="true" applyProtection="true" borderId="15" fillId="0" fontId="2" numFmtId="0" xfId="0">
      <alignment horizontal="left" vertical="center" textRotation="0" shrinkToFit="false" wrapText="false"/>
      <protection hidden="false" locked="true"/>
    </xf>
    <xf applyAlignment="true" applyBorder="true" applyFill="true" applyNumberFormat="true" applyFont="true" applyProtection="true" borderId="16" fillId="0" fontId="2" numFmtId="0" xfId="0">
      <alignment horizontal="left" vertical="center" textRotation="0" shrinkToFit="false" wrapText="false"/>
      <protection hidden="false" locked="true"/>
    </xf>
    <xf applyAlignment="true" applyBorder="true" applyFill="true" applyNumberFormat="true" applyFont="true" applyProtection="true" borderId="17" fillId="0" fontId="2" numFmtId="0" xfId="0">
      <alignment horizontal="left" vertical="center" textRotation="0" shrinkToFit="false" wrapText="false"/>
      <protection hidden="false" locked="true"/>
    </xf>
    <xf applyAlignment="true" applyBorder="true" applyFill="true" applyNumberFormat="true" applyFont="true" applyProtection="true" borderId="86" fillId="0" fontId="2" numFmtId="0" xfId="0">
      <alignment horizontal="right" vertical="center" textRotation="0" shrinkToFit="false" wrapText="false"/>
      <protection hidden="false" locked="true"/>
    </xf>
    <xf applyAlignment="true" applyBorder="true" applyFill="true" applyNumberFormat="true" applyFont="true" applyProtection="true" borderId="67" fillId="0" fontId="3" numFmtId="0" xfId="0">
      <alignment horizontal="left" vertical="center" textRotation="0" shrinkToFit="false" wrapText="false"/>
      <protection hidden="false" locked="true"/>
    </xf>
    <xf applyAlignment="true" applyBorder="true" applyFill="true" applyNumberFormat="true" applyFont="true" applyProtection="true" borderId="74" fillId="0" fontId="3" numFmtId="0" xfId="0">
      <alignment horizontal="left" vertical="center" textRotation="0" shrinkToFit="false" wrapText="false"/>
      <protection hidden="false" locked="true"/>
    </xf>
    <xf applyAlignment="true" applyBorder="true" applyFill="true" applyNumberFormat="true" applyFont="true" applyProtection="true" borderId="65" fillId="0" fontId="3" numFmtId="0" xfId="0">
      <alignment horizontal="left" vertical="center" textRotation="0" shrinkToFit="false" wrapText="false"/>
      <protection hidden="false" locked="true"/>
    </xf>
    <xf applyAlignment="true" applyBorder="true" applyFill="true" applyNumberFormat="true" applyFont="true" applyProtection="true" borderId="63" fillId="0" fontId="3" numFmtId="4" xfId="0">
      <alignment horizontal="right" vertical="center" textRotation="0" shrinkToFit="false" wrapText="false"/>
      <protection hidden="false" locked="true"/>
    </xf>
    <xf applyAlignment="true" applyBorder="true" applyFill="true" applyNumberFormat="true" applyFont="true" applyProtection="true" borderId="63" fillId="0" fontId="3" numFmtId="0" xfId="0">
      <alignment horizontal="left" vertical="center" textRotation="0" shrinkToFit="false" wrapText="false"/>
      <protection hidden="false" locked="true"/>
    </xf>
    <xf applyAlignment="true" applyBorder="true" applyFill="true" applyNumberFormat="true" applyFont="true" applyProtection="true" borderId="87" fillId="0" fontId="3" numFmtId="0" xfId="0">
      <alignment horizontal="left" vertical="center" textRotation="0" shrinkToFit="false" wrapText="false"/>
      <protection hidden="false" locked="true"/>
    </xf>
    <xf applyAlignment="true" applyBorder="true" applyFill="true" applyNumberFormat="true" applyFont="true" applyProtection="true" borderId="88" fillId="0" fontId="3" numFmtId="0" xfId="0">
      <alignment horizontal="left" vertical="center" textRotation="0" shrinkToFit="false" wrapText="false"/>
      <protection hidden="false" locked="true"/>
    </xf>
    <xf applyAlignment="true" applyBorder="true" applyFill="true" applyNumberFormat="true" applyFont="true" applyProtection="true" borderId="89" fillId="0" fontId="3" numFmtId="0" xfId="0">
      <alignment horizontal="left" vertical="center" textRotation="0" shrinkToFit="false" wrapText="false"/>
      <protection hidden="false" locked="true"/>
    </xf>
    <xf applyAlignment="true" applyBorder="true" applyFill="true" applyNumberFormat="true" applyFont="true" applyProtection="true" borderId="90" fillId="0" fontId="3" numFmtId="4" xfId="0">
      <alignment horizontal="right" vertical="center" textRotation="0" shrinkToFit="false" wrapText="false"/>
      <protection hidden="false" locked="true"/>
    </xf>
    <xf applyAlignment="true" applyBorder="true" applyFill="true" applyNumberFormat="true" applyFont="true" applyProtection="true" borderId="90" fillId="0" fontId="3" numFmtId="0" xfId="0">
      <alignment horizontal="left" vertical="center" textRotation="0" shrinkToFit="false" wrapText="false"/>
      <protection hidden="false" locked="true"/>
    </xf>
    <xf applyAlignment="true" applyBorder="true" applyFill="true" applyNumberFormat="true" applyFont="true" applyProtection="true" borderId="91" fillId="0" fontId="2" numFmtId="0" xfId="0">
      <alignment horizontal="left" vertical="center" textRotation="0" shrinkToFit="false" wrapText="false"/>
      <protection hidden="false" locked="true"/>
    </xf>
    <xf applyAlignment="true" applyBorder="true" applyFill="true" applyNumberFormat="true" applyFont="true" applyProtection="true" borderId="92" fillId="0" fontId="2" numFmtId="0" xfId="0">
      <alignment horizontal="left" vertical="center" textRotation="0" shrinkToFit="false" wrapText="false"/>
      <protection hidden="false" locked="true"/>
    </xf>
    <xf applyAlignment="true" applyBorder="true" applyFill="true" applyNumberFormat="true" applyFont="true" applyProtection="true" borderId="93" fillId="0" fontId="2" numFmtId="0" xfId="0">
      <alignment horizontal="left" vertical="center" textRotation="0" shrinkToFit="false" wrapText="false"/>
      <protection hidden="false" locked="true"/>
    </xf>
    <xf applyAlignment="true" applyBorder="true" applyFill="true" applyNumberFormat="true" applyFont="true" applyProtection="true" borderId="94" fillId="0" fontId="2" numFmtId="0" xfId="0">
      <alignment horizontal="left" vertical="center" textRotation="0" shrinkToFit="false" wrapText="false"/>
      <protection hidden="false" locked="true"/>
    </xf>
    <xf applyAlignment="true" applyBorder="true" applyFill="true" applyNumberFormat="true" applyFont="true" applyProtection="true" borderId="94" fillId="0" fontId="2" numFmtId="0" xfId="0">
      <alignment horizontal="right" vertical="center" textRotation="0" shrinkToFit="false" wrapText="false"/>
      <protection hidden="false" locked="true"/>
    </xf>
    <xf applyAlignment="true" applyBorder="true" applyFill="true" applyNumberFormat="true" applyFont="true" applyProtection="true" borderId="94" fillId="0" fontId="2" numFmtId="4" xfId="0">
      <alignment horizontal="right" vertical="center" textRotation="0" shrinkToFit="false" wrapText="false"/>
      <protection hidden="false" locked="true"/>
    </xf>
    <xf applyAlignment="true" applyBorder="true" applyFill="true" applyNumberFormat="true" applyFont="true" applyProtection="true" borderId="91" fillId="0" fontId="13" numFmtId="0" xfId="0">
      <alignment horizontal="left" vertical="center" textRotation="0" shrinkToFit="false" wrapText="false"/>
      <protection hidden="false" locked="true"/>
    </xf>
    <xf applyAlignment="true" applyBorder="true" applyFill="true" applyNumberFormat="true" applyFont="true" applyProtection="true" borderId="92" fillId="0" fontId="13" numFmtId="0" xfId="0">
      <alignment horizontal="left" vertical="center" textRotation="0" shrinkToFit="false" wrapText="false"/>
      <protection hidden="false" locked="true"/>
    </xf>
    <xf applyAlignment="true" applyBorder="true" applyFill="true" applyNumberFormat="true" applyFont="true" applyProtection="true" borderId="93" fillId="0" fontId="13" numFmtId="0" xfId="0">
      <alignment horizontal="left" vertical="center" textRotation="0" shrinkToFit="false" wrapText="false"/>
      <protection hidden="false" locked="true"/>
    </xf>
    <xf applyAlignment="true" applyBorder="true" applyFill="true" applyNumberFormat="true" applyFont="true" applyProtection="true" borderId="95" fillId="0" fontId="13" numFmtId="4" xfId="0">
      <alignment horizontal="right" vertical="center" textRotation="0" shrinkToFit="false" wrapText="false"/>
      <protection hidden="false" locked="true"/>
    </xf>
    <xf applyAlignment="true" applyBorder="true" applyFill="true" applyNumberFormat="true" applyFont="true" applyProtection="true" borderId="92" fillId="0" fontId="13" numFmtId="0" xfId="0">
      <alignment horizontal="right" vertical="center" textRotation="0" shrinkToFit="false" wrapText="false"/>
      <protection hidden="false" locked="true"/>
    </xf>
    <xf applyAlignment="true" applyBorder="true" applyFill="true" applyNumberFormat="true" applyFont="true" applyProtection="true" borderId="93" fillId="0" fontId="13" numFmtId="0" xfId="0">
      <alignment horizontal="right" vertical="center" textRotation="0" shrinkToFit="false" wrapText="false"/>
      <protection hidden="false" locked="true"/>
    </xf>
  </cellXfs>
  <dxfs count="0"/>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haredStrings" Target="sharedStrings.xml" /><Relationship Id="rId14" Type="http://schemas.openxmlformats.org/officeDocument/2006/relationships/styles" Target="styles.xml" /></Relationships>
</file>

<file path=xl/drawings/_rels/drawing1.xml.rels><?xml version="1.0" encoding="utf-8"?><Relationships xmlns="http://schemas.openxmlformats.org/package/2006/relationships"><Relationship Id="rId1" Type="http://schemas.openxmlformats.org/officeDocument/2006/relationships/image" Target="/xl/media/image1.jpeg" /></Relationships>
</file>

<file path=xl/drawings/_rels/drawing10.xml.rels><?xml version="1.0" encoding="utf-8"?><Relationships xmlns="http://schemas.openxmlformats.org/package/2006/relationships"><Relationship Id="rId1" Type="http://schemas.openxmlformats.org/officeDocument/2006/relationships/image" Target="/xl/media/image1.jpeg" /></Relationships>
</file>

<file path=xl/drawings/_rels/drawing11.xml.rels><?xml version="1.0" encoding="utf-8"?><Relationships xmlns="http://schemas.openxmlformats.org/package/2006/relationships"><Relationship Id="rId1" Type="http://schemas.openxmlformats.org/officeDocument/2006/relationships/image" Target="/xl/media/image1.jpeg" /></Relationships>
</file>

<file path=xl/drawings/_rels/drawing12.xml.rels><?xml version="1.0" encoding="utf-8"?><Relationships xmlns="http://schemas.openxmlformats.org/package/2006/relationships"><Relationship Id="rId1" Type="http://schemas.openxmlformats.org/officeDocument/2006/relationships/image" Target="/xl/media/image1.jpeg" /></Relationships>
</file>

<file path=xl/drawings/_rels/drawing2.xml.rels><?xml version="1.0" encoding="utf-8"?><Relationships xmlns="http://schemas.openxmlformats.org/package/2006/relationships"><Relationship Id="rId1" Type="http://schemas.openxmlformats.org/officeDocument/2006/relationships/image" Target="/xl/media/image1.jpeg" /></Relationships>
</file>

<file path=xl/drawings/_rels/drawing3.xml.rels><?xml version="1.0" encoding="utf-8"?><Relationships xmlns="http://schemas.openxmlformats.org/package/2006/relationships"><Relationship Id="rId1" Type="http://schemas.openxmlformats.org/officeDocument/2006/relationships/image" Target="/xl/media/image1.jpeg" /></Relationships>
</file>

<file path=xl/drawings/_rels/drawing4.xml.rels><?xml version="1.0" encoding="utf-8"?><Relationships xmlns="http://schemas.openxmlformats.org/package/2006/relationships"><Relationship Id="rId1" Type="http://schemas.openxmlformats.org/officeDocument/2006/relationships/image" Target="/xl/media/image1.jpeg" /></Relationships>
</file>

<file path=xl/drawings/_rels/drawing5.xml.rels><?xml version="1.0" encoding="utf-8"?><Relationships xmlns="http://schemas.openxmlformats.org/package/2006/relationships"><Relationship Id="rId1" Type="http://schemas.openxmlformats.org/officeDocument/2006/relationships/image" Target="/xl/media/image1.jpeg" /></Relationships>
</file>

<file path=xl/drawings/_rels/drawing6.xml.rels><?xml version="1.0" encoding="utf-8"?><Relationships xmlns="http://schemas.openxmlformats.org/package/2006/relationships"><Relationship Id="rId1" Type="http://schemas.openxmlformats.org/officeDocument/2006/relationships/image" Target="/xl/media/image1.jpeg" /></Relationships>
</file>

<file path=xl/drawings/_rels/drawing7.xml.rels><?xml version="1.0" encoding="utf-8"?><Relationships xmlns="http://schemas.openxmlformats.org/package/2006/relationships"><Relationship Id="rId1" Type="http://schemas.openxmlformats.org/officeDocument/2006/relationships/image" Target="/xl/media/image1.jpeg" /></Relationships>
</file>

<file path=xl/drawings/_rels/drawing8.xml.rels><?xml version="1.0" encoding="utf-8"?><Relationships xmlns="http://schemas.openxmlformats.org/package/2006/relationships"><Relationship Id="rId1" Type="http://schemas.openxmlformats.org/officeDocument/2006/relationships/image" Target="/xl/media/image1.jpeg" /></Relationships>
</file>

<file path=xl/drawings/_rels/drawing9.xml.rels><?xml version="1.0" encoding="utf-8"?><Relationships xmlns="http://schemas.openxmlformats.org/package/2006/relationships"><Relationship Id="rId1" Type="http://schemas.openxmlformats.org/officeDocument/2006/relationships/image" Target="/xl/media/image1.jpeg" /></Relationships>
</file>

<file path=xl/drawings/drawing1.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0.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1.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2.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2.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3.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4.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5.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6.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7.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8.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9.xml><?xml version="1.0" encoding="utf-8"?>
<xdr:wsDr xmlns:a="http://schemas.openxmlformats.org/drawingml/2006/main" xmlns:xdr="http://schemas.openxmlformats.org/drawingml/2006/spreadsheetDrawing">
  <xdr:absoluteAnchor>
    <xdr:pos x="0" y="0"/>
    <xdr:ext cx="666750" cy="666750"/>
    <xdr:pic>
      <xdr:nvPicPr>
        <xdr:cNvPr id="1" name=""/>
        <xdr:cNvPicPr>
          <a:picLocks noChangeAspect="true"/>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worksheets/_rels/sheet1.xml.rels><?xml version="1.0" encoding="utf-8"?><Relationships xmlns="http://schemas.openxmlformats.org/package/2006/relationships"><Relationship Id="rId1" Type="http://schemas.openxmlformats.org/officeDocument/2006/relationships/drawing" Target="../drawings/drawing1.xml" /></Relationships>
</file>

<file path=xl/worksheets/_rels/sheet10.xml.rels><?xml version="1.0" encoding="utf-8"?><Relationships xmlns="http://schemas.openxmlformats.org/package/2006/relationships"><Relationship Id="rId1" Type="http://schemas.openxmlformats.org/officeDocument/2006/relationships/drawing" Target="../drawings/drawing10.xml" /></Relationships>
</file>

<file path=xl/worksheets/_rels/sheet11.xml.rels><?xml version="1.0" encoding="utf-8"?><Relationships xmlns="http://schemas.openxmlformats.org/package/2006/relationships"><Relationship Id="rId1" Type="http://schemas.openxmlformats.org/officeDocument/2006/relationships/drawing" Target="../drawings/drawing11.xml" /></Relationships>
</file>

<file path=xl/worksheets/_rels/sheet12.xml.rels><?xml version="1.0" encoding="utf-8"?><Relationships xmlns="http://schemas.openxmlformats.org/package/2006/relationships"><Relationship Id="rId1" Type="http://schemas.openxmlformats.org/officeDocument/2006/relationships/drawing" Target="../drawings/drawing12.xml" /></Relationships>
</file>

<file path=xl/worksheets/_rels/sheet2.xml.rels><?xml version="1.0" encoding="utf-8"?><Relationships xmlns="http://schemas.openxmlformats.org/package/2006/relationships"><Relationship Id="rId1"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drawing" Target="../drawings/drawing4.xml" /></Relationships>
</file>

<file path=xl/worksheets/_rels/sheet5.xml.rels><?xml version="1.0" encoding="utf-8"?><Relationships xmlns="http://schemas.openxmlformats.org/package/2006/relationships"><Relationship Id="rId1" Type="http://schemas.openxmlformats.org/officeDocument/2006/relationships/drawing" Target="../drawings/drawing5.xml" /></Relationships>
</file>

<file path=xl/worksheets/_rels/sheet6.xml.rels><?xml version="1.0" encoding="utf-8"?><Relationships xmlns="http://schemas.openxmlformats.org/package/2006/relationships"><Relationship Id="rId1" Type="http://schemas.openxmlformats.org/officeDocument/2006/relationships/drawing" Target="../drawings/drawing6.xml" /></Relationships>
</file>

<file path=xl/worksheets/_rels/sheet7.xml.rels><?xml version="1.0" encoding="utf-8"?><Relationships xmlns="http://schemas.openxmlformats.org/package/2006/relationships"><Relationship Id="rId1" Type="http://schemas.openxmlformats.org/officeDocument/2006/relationships/drawing" Target="../drawings/drawing7.xml" /></Relationships>
</file>

<file path=xl/worksheets/_rels/sheet8.xml.rels><?xml version="1.0" encoding="utf-8"?><Relationships xmlns="http://schemas.openxmlformats.org/package/2006/relationships"><Relationship Id="rId1" Type="http://schemas.openxmlformats.org/officeDocument/2006/relationships/drawing" Target="../drawings/drawing8.xml" /></Relationships>
</file>

<file path=xl/worksheets/_rels/sheet9.xml.rels><?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outlinePr summaryBelow="true" summaryRight="true"/>
    <pageSetUpPr fitToPage="true"/>
  </sheetPr>
  <dimension ref="A1:BX1350"/>
  <sheetViews>
    <sheetView workbookViewId="0" tabSelected="true" showZeros="true" showFormulas="false" showGridLines="true" showRowColHeaders="true">
      <pane topLeftCell="A12" state="frozen" activePane="bottomLeft" ySplit="11"/>
      <selection pane="bottomLeft" sqref="A1350:K1350" activeCell="A1350"/>
    </sheetView>
  </sheetViews>
  <sheetFormatPr defaultColWidth="12.140625" customHeight="true" defaultRowHeight="15"/>
  <cols>
    <col max="1" min="1" style="0" width="3.99609375" customWidth="true"/>
    <col max="2" min="2" style="0" width="17.85546875" customWidth="true"/>
    <col max="3" min="3" style="0" width="42.85546875" customWidth="true"/>
    <col max="4" min="4" style="0" width="35.7109375" customWidth="true"/>
    <col max="5" min="5" style="0" width="6.7109375" customWidth="true"/>
    <col max="6" min="6" style="0" width="12.85546875" customWidth="true"/>
    <col max="7" min="7" style="0" width="12" customWidth="true"/>
    <col max="10" min="8" style="0" width="15.7109375" customWidth="true"/>
    <col max="11" min="11" style="0" width="13.42578125" customWidth="true"/>
    <col max="75" min="25" style="0" width="12.140625" hidden="true"/>
    <col max="76" min="76" style="0" width="78.5703125" customWidth="true" hidden="true"/>
    <col max="78" min="77" style="0" width="12.140625" hidden="true"/>
  </cols>
  <sheetData>
    <row r="1" customHeight="true" ht="54.75">
      <c r="A1" s="1" t="s">
        <v>0</v>
      </c>
      <c r="B1" s="1"/>
      <c r="C1" s="1"/>
      <c r="D1" s="1"/>
      <c r="E1" s="1"/>
      <c r="F1" s="1"/>
      <c r="G1" s="1"/>
      <c r="H1" s="1"/>
      <c r="I1" s="1"/>
      <c r="J1" s="1"/>
      <c r="K1" s="1"/>
      <c r="AS1" s="2">
        <f>SUM(AJ1:AJ2)</f>
      </c>
      <c r="AT1" s="2">
        <f>SUM(AK1:AK2)</f>
      </c>
      <c r="AU1" s="2">
        <f>SUM(AL1:AL2)</f>
      </c>
    </row>
    <row r="2">
      <c r="A2" s="3" t="s">
        <v>1</v>
      </c>
      <c r="B2" s="4"/>
      <c r="C2" s="5" t="s">
        <v>2</v>
      </c>
      <c r="D2" s="6"/>
      <c r="E2" s="4" t="s">
        <v>3</v>
      </c>
      <c r="F2" s="4"/>
      <c r="G2" s="4" t="s">
        <v>4</v>
      </c>
      <c r="H2" s="7" t="s">
        <v>5</v>
      </c>
      <c r="I2" s="4" t="s">
        <v>6</v>
      </c>
      <c r="J2" s="4"/>
      <c r="K2" s="8"/>
    </row>
    <row r="3">
      <c r="A3" s="9"/>
      <c r="B3" s="10"/>
      <c r="C3" s="11"/>
      <c r="D3" s="11"/>
      <c r="E3" s="10"/>
      <c r="F3" s="10"/>
      <c r="G3" s="10"/>
      <c r="H3" s="10"/>
      <c r="I3" s="10"/>
      <c r="J3" s="10"/>
      <c r="K3" s="12"/>
    </row>
    <row r="4">
      <c r="A4" s="13" t="s">
        <v>7</v>
      </c>
      <c r="B4" s="10"/>
      <c r="C4" s="14" t="s">
        <v>8</v>
      </c>
      <c r="D4" s="10"/>
      <c r="E4" s="10" t="s">
        <v>9</v>
      </c>
      <c r="F4" s="10"/>
      <c r="G4" s="10" t="s">
        <v>10</v>
      </c>
      <c r="H4" s="14" t="s">
        <v>11</v>
      </c>
      <c r="I4" s="10" t="s">
        <v>6</v>
      </c>
      <c r="J4" s="10"/>
      <c r="K4" s="12"/>
    </row>
    <row r="5">
      <c r="A5" s="9"/>
      <c r="B5" s="10"/>
      <c r="C5" s="10"/>
      <c r="D5" s="10"/>
      <c r="E5" s="10"/>
      <c r="F5" s="10"/>
      <c r="G5" s="10"/>
      <c r="H5" s="10"/>
      <c r="I5" s="10"/>
      <c r="J5" s="10"/>
      <c r="K5" s="12"/>
    </row>
    <row r="6">
      <c r="A6" s="13" t="s">
        <v>12</v>
      </c>
      <c r="B6" s="10"/>
      <c r="C6" s="14" t="s">
        <v>13</v>
      </c>
      <c r="D6" s="10"/>
      <c r="E6" s="10" t="s">
        <v>14</v>
      </c>
      <c r="F6" s="10"/>
      <c r="G6" s="10" t="s">
        <v>15</v>
      </c>
      <c r="H6" s="14" t="s">
        <v>16</v>
      </c>
      <c r="I6" s="10" t="s">
        <v>6</v>
      </c>
      <c r="J6" s="10"/>
      <c r="K6" s="12"/>
    </row>
    <row r="7">
      <c r="A7" s="9"/>
      <c r="B7" s="10"/>
      <c r="C7" s="10"/>
      <c r="D7" s="10"/>
      <c r="E7" s="10"/>
      <c r="F7" s="10"/>
      <c r="G7" s="10"/>
      <c r="H7" s="10"/>
      <c r="I7" s="10"/>
      <c r="J7" s="10"/>
      <c r="K7" s="12"/>
    </row>
    <row r="8">
      <c r="A8" s="13" t="s">
        <v>17</v>
      </c>
      <c r="B8" s="10"/>
      <c r="C8" s="14" t="s">
        <v>18</v>
      </c>
      <c r="D8" s="10"/>
      <c r="E8" s="10" t="s">
        <v>19</v>
      </c>
      <c r="F8" s="10"/>
      <c r="G8" s="10" t="s">
        <v>20</v>
      </c>
      <c r="H8" s="14" t="s">
        <v>21</v>
      </c>
      <c r="I8" s="14" t="s">
        <v>22</v>
      </c>
      <c r="J8" s="10"/>
      <c r="K8" s="12"/>
    </row>
    <row r="9">
      <c r="A9" s="15"/>
      <c r="B9" s="16"/>
      <c r="C9" s="16"/>
      <c r="D9" s="16"/>
      <c r="E9" s="16"/>
      <c r="F9" s="16"/>
      <c r="G9" s="16"/>
      <c r="H9" s="16"/>
      <c r="I9" s="16"/>
      <c r="J9" s="16"/>
      <c r="K9" s="17"/>
    </row>
    <row r="10">
      <c r="A10" s="18" t="s">
        <v>23</v>
      </c>
      <c r="B10" s="19" t="s">
        <v>24</v>
      </c>
      <c r="C10" s="20" t="s">
        <v>25</v>
      </c>
      <c r="D10" s="21"/>
      <c r="E10" s="19" t="s">
        <v>26</v>
      </c>
      <c r="F10" s="22" t="s">
        <v>27</v>
      </c>
      <c r="G10" s="23" t="s">
        <v>28</v>
      </c>
      <c r="H10" s="24" t="s">
        <v>29</v>
      </c>
      <c r="I10" s="25"/>
      <c r="J10" s="26"/>
      <c r="K10" s="27" t="s">
        <v>30</v>
      </c>
      <c r="BK10" s="28" t="s">
        <v>31</v>
      </c>
      <c r="BL10" s="29" t="s">
        <v>32</v>
      </c>
      <c r="BW10" s="29" t="s">
        <v>33</v>
      </c>
    </row>
    <row r="11">
      <c r="A11" s="30" t="s">
        <v>34</v>
      </c>
      <c r="B11" s="31" t="s">
        <v>34</v>
      </c>
      <c r="C11" s="32" t="s">
        <v>35</v>
      </c>
      <c r="D11" s="33"/>
      <c r="E11" s="31" t="s">
        <v>34</v>
      </c>
      <c r="F11" s="31" t="s">
        <v>34</v>
      </c>
      <c r="G11" s="34" t="s">
        <v>36</v>
      </c>
      <c r="H11" s="35" t="s">
        <v>37</v>
      </c>
      <c r="I11" s="36" t="s">
        <v>38</v>
      </c>
      <c r="J11" s="37" t="s">
        <v>39</v>
      </c>
      <c r="K11" s="38" t="s">
        <v>40</v>
      </c>
      <c r="Z11" s="28" t="s">
        <v>41</v>
      </c>
      <c r="AA11" s="28" t="s">
        <v>42</v>
      </c>
      <c r="AB11" s="28" t="s">
        <v>43</v>
      </c>
      <c r="AC11" s="28" t="s">
        <v>44</v>
      </c>
      <c r="AD11" s="28" t="s">
        <v>45</v>
      </c>
      <c r="AE11" s="28" t="s">
        <v>46</v>
      </c>
      <c r="AF11" s="28" t="s">
        <v>47</v>
      </c>
      <c r="AG11" s="28" t="s">
        <v>48</v>
      </c>
      <c r="AH11" s="28" t="s">
        <v>49</v>
      </c>
      <c r="BH11" s="28" t="s">
        <v>50</v>
      </c>
      <c r="BI11" s="28" t="s">
        <v>51</v>
      </c>
      <c r="BJ11" s="28" t="s">
        <v>52</v>
      </c>
    </row>
    <row r="12">
      <c r="A12" s="39" t="s">
        <v>53</v>
      </c>
      <c r="B12" s="40" t="s">
        <v>53</v>
      </c>
      <c r="C12" s="41" t="s">
        <v>54</v>
      </c>
      <c r="D12" s="40"/>
      <c r="E12" s="42" t="s">
        <v>34</v>
      </c>
      <c r="F12" s="42" t="s">
        <v>34</v>
      </c>
      <c r="G12" s="42" t="s">
        <v>34</v>
      </c>
      <c r="H12" s="43">
        <f>H13+H16+H25+H34+H38+H103+H122+H127+H132+H143+H149+H177+H191+H284+H427+H544+H580+H674+H703+H737+H765+H799+H830+H844+H852+H874+H884</f>
      </c>
      <c r="I12" s="43">
        <f>I13+I16+I25+I34+I38+I103+I122+I127+I132+I143+I149+I177+I191+I284+I427+I544+I580+I674+I703+I737+I765+I799+I830+I844+I852+I874+I884</f>
      </c>
      <c r="J12" s="43">
        <f>J13+J16+J25+J34+J38+J103+J122+J127+J132+J143+J149+J177+J191+J284+J427+J544+J580+J674+J703+J737+J765+J799+J830+J844+J852+J874+J884</f>
      </c>
      <c r="K12" s="44" t="s">
        <v>53</v>
      </c>
    </row>
    <row r="13">
      <c r="A13" s="45" t="s">
        <v>53</v>
      </c>
      <c r="B13" s="46" t="s">
        <v>55</v>
      </c>
      <c r="C13" s="47" t="s">
        <v>56</v>
      </c>
      <c r="D13" s="46"/>
      <c r="E13" s="48" t="s">
        <v>34</v>
      </c>
      <c r="F13" s="48" t="s">
        <v>34</v>
      </c>
      <c r="G13" s="48" t="s">
        <v>34</v>
      </c>
      <c r="H13" s="49">
        <f>SUM(H14:H14)</f>
      </c>
      <c r="I13" s="49">
        <f>SUM(I14:I14)</f>
      </c>
      <c r="J13" s="49">
        <f>SUM(J14:J14)</f>
      </c>
      <c r="K13" s="50" t="s">
        <v>53</v>
      </c>
      <c r="AI13" s="28" t="s">
        <v>57</v>
      </c>
      <c r="AS13" s="2">
        <f>SUM(AJ14:AJ14)</f>
      </c>
      <c r="AT13" s="2">
        <f>SUM(AK14:AK14)</f>
      </c>
      <c r="AU13" s="2">
        <f>SUM(AL14:AL14)</f>
      </c>
    </row>
    <row r="14">
      <c r="A14" s="51" t="s">
        <v>58</v>
      </c>
      <c r="B14" s="52" t="s">
        <v>59</v>
      </c>
      <c r="C14" s="53" t="s">
        <v>60</v>
      </c>
      <c r="D14" s="52"/>
      <c r="E14" s="52" t="s">
        <v>53</v>
      </c>
      <c r="F14" s="54" t="n">
        <v>0</v>
      </c>
      <c r="G14" s="54" t="n">
        <v>0</v>
      </c>
      <c r="H14" s="54">
        <f>F14*AO14</f>
      </c>
      <c r="I14" s="54">
        <f>F14*AP14</f>
      </c>
      <c r="J14" s="54">
        <f>F14*G14</f>
      </c>
      <c r="K14" s="55" t="s">
        <v>53</v>
      </c>
      <c r="Z14" s="56">
        <f>IF(AQ14="5",BJ14,0)</f>
      </c>
      <c r="AB14" s="56">
        <f>IF(AQ14="1",BH14,0)</f>
      </c>
      <c r="AC14" s="56">
        <f>IF(AQ14="1",BI14,0)</f>
      </c>
      <c r="AD14" s="56">
        <f>IF(AQ14="7",BH14,0)</f>
      </c>
      <c r="AE14" s="56">
        <f>IF(AQ14="7",BI14,0)</f>
      </c>
      <c r="AF14" s="56">
        <f>IF(AQ14="2",BH14,0)</f>
      </c>
      <c r="AG14" s="56">
        <f>IF(AQ14="2",BI14,0)</f>
      </c>
      <c r="AH14" s="56">
        <f>IF(AQ14="0",BJ14,0)</f>
      </c>
      <c r="AI14" s="28" t="s">
        <v>57</v>
      </c>
      <c r="AJ14" s="56">
        <f>IF(AN14=0,J14,0)</f>
      </c>
      <c r="AK14" s="56">
        <f>IF(AN14=12,J14,0)</f>
      </c>
      <c r="AL14" s="56">
        <f>IF(AN14=21,J14,0)</f>
      </c>
      <c r="AN14" s="56" t="n">
        <v>21</v>
      </c>
      <c r="AO14" s="56">
        <f>G14*0</f>
      </c>
      <c r="AP14" s="56">
        <f>G14*(1-0)</f>
      </c>
      <c r="AQ14" s="57" t="s">
        <v>61</v>
      </c>
      <c r="AV14" s="56">
        <f>AW14+AX14</f>
      </c>
      <c r="AW14" s="56">
        <f>F14*AO14</f>
      </c>
      <c r="AX14" s="56">
        <f>F14*AP14</f>
      </c>
      <c r="AY14" s="57" t="s">
        <v>62</v>
      </c>
      <c r="AZ14" s="57" t="s">
        <v>63</v>
      </c>
      <c r="BA14" s="28" t="s">
        <v>64</v>
      </c>
      <c r="BC14" s="56">
        <f>AW14+AX14</f>
      </c>
      <c r="BD14" s="56">
        <f>G14/(100-BE14)*100</f>
      </c>
      <c r="BE14" s="56" t="n">
        <v>0</v>
      </c>
      <c r="BF14" s="56">
        <f>14</f>
      </c>
      <c r="BH14" s="56">
        <f>F14*AO14</f>
      </c>
      <c r="BI14" s="56">
        <f>F14*AP14</f>
      </c>
      <c r="BJ14" s="56">
        <f>F14*G14</f>
      </c>
      <c r="BK14" s="56"/>
      <c r="BL14" s="56"/>
      <c r="BW14" s="56" t="n">
        <v>21</v>
      </c>
      <c r="BX14" s="14" t="s">
        <v>60</v>
      </c>
    </row>
    <row r="15" customHeight="true" ht="54">
      <c r="A15" s="58"/>
      <c r="C15" s="59" t="s">
        <v>65</v>
      </c>
      <c r="D15" s="60"/>
      <c r="E15" s="60"/>
      <c r="F15" s="60"/>
      <c r="G15" s="60"/>
      <c r="H15" s="60"/>
      <c r="I15" s="60"/>
      <c r="J15" s="60"/>
      <c r="K15" s="61"/>
    </row>
    <row r="16">
      <c r="A16" s="62" t="s">
        <v>53</v>
      </c>
      <c r="B16" s="63" t="s">
        <v>66</v>
      </c>
      <c r="C16" s="64" t="s">
        <v>67</v>
      </c>
      <c r="D16" s="63"/>
      <c r="E16" s="65" t="s">
        <v>34</v>
      </c>
      <c r="F16" s="65" t="s">
        <v>34</v>
      </c>
      <c r="G16" s="65" t="s">
        <v>34</v>
      </c>
      <c r="H16" s="66">
        <f>SUM(H17:H24)</f>
      </c>
      <c r="I16" s="66">
        <f>SUM(I17:I24)</f>
      </c>
      <c r="J16" s="66">
        <f>SUM(J17:J24)</f>
      </c>
      <c r="K16" s="67" t="s">
        <v>53</v>
      </c>
      <c r="AI16" s="28" t="s">
        <v>57</v>
      </c>
      <c r="AS16" s="2">
        <f>SUM(AJ17:AJ24)</f>
      </c>
      <c r="AT16" s="2">
        <f>SUM(AK17:AK24)</f>
      </c>
      <c r="AU16" s="2">
        <f>SUM(AL17:AL24)</f>
      </c>
    </row>
    <row r="17">
      <c r="A17" s="51" t="s">
        <v>61</v>
      </c>
      <c r="B17" s="52" t="s">
        <v>68</v>
      </c>
      <c r="C17" s="53" t="s">
        <v>69</v>
      </c>
      <c r="D17" s="52"/>
      <c r="E17" s="52" t="s">
        <v>70</v>
      </c>
      <c r="F17" s="54" t="n">
        <v>1</v>
      </c>
      <c r="G17" s="54" t="n">
        <v>0</v>
      </c>
      <c r="H17" s="54">
        <f>F17*AO17</f>
      </c>
      <c r="I17" s="54">
        <f>F17*AP17</f>
      </c>
      <c r="J17" s="54">
        <f>F17*G17</f>
      </c>
      <c r="K17" s="55" t="s">
        <v>71</v>
      </c>
      <c r="Z17" s="56">
        <f>IF(AQ17="5",BJ17,0)</f>
      </c>
      <c r="AB17" s="56">
        <f>IF(AQ17="1",BH17,0)</f>
      </c>
      <c r="AC17" s="56">
        <f>IF(AQ17="1",BI17,0)</f>
      </c>
      <c r="AD17" s="56">
        <f>IF(AQ17="7",BH17,0)</f>
      </c>
      <c r="AE17" s="56">
        <f>IF(AQ17="7",BI17,0)</f>
      </c>
      <c r="AF17" s="56">
        <f>IF(AQ17="2",BH17,0)</f>
      </c>
      <c r="AG17" s="56">
        <f>IF(AQ17="2",BI17,0)</f>
      </c>
      <c r="AH17" s="56">
        <f>IF(AQ17="0",BJ17,0)</f>
      </c>
      <c r="AI17" s="28" t="s">
        <v>57</v>
      </c>
      <c r="AJ17" s="56">
        <f>IF(AN17=0,J17,0)</f>
      </c>
      <c r="AK17" s="56">
        <f>IF(AN17=12,J17,0)</f>
      </c>
      <c r="AL17" s="56">
        <f>IF(AN17=21,J17,0)</f>
      </c>
      <c r="AN17" s="56" t="n">
        <v>21</v>
      </c>
      <c r="AO17" s="56">
        <f>G17*0</f>
      </c>
      <c r="AP17" s="56">
        <f>G17*(1-0)</f>
      </c>
      <c r="AQ17" s="57" t="s">
        <v>61</v>
      </c>
      <c r="AV17" s="56">
        <f>AW17+AX17</f>
      </c>
      <c r="AW17" s="56">
        <f>F17*AO17</f>
      </c>
      <c r="AX17" s="56">
        <f>F17*AP17</f>
      </c>
      <c r="AY17" s="57" t="s">
        <v>72</v>
      </c>
      <c r="AZ17" s="57" t="s">
        <v>63</v>
      </c>
      <c r="BA17" s="28" t="s">
        <v>64</v>
      </c>
      <c r="BC17" s="56">
        <f>AW17+AX17</f>
      </c>
      <c r="BD17" s="56">
        <f>G17/(100-BE17)*100</f>
      </c>
      <c r="BE17" s="56" t="n">
        <v>0</v>
      </c>
      <c r="BF17" s="56">
        <f>17</f>
      </c>
      <c r="BH17" s="56">
        <f>F17*AO17</f>
      </c>
      <c r="BI17" s="56">
        <f>F17*AP17</f>
      </c>
      <c r="BJ17" s="56">
        <f>F17*G17</f>
      </c>
      <c r="BK17" s="56"/>
      <c r="BL17" s="56"/>
      <c r="BW17" s="56" t="n">
        <v>21</v>
      </c>
      <c r="BX17" s="14" t="s">
        <v>69</v>
      </c>
    </row>
    <row r="18">
      <c r="A18" s="51" t="s">
        <v>73</v>
      </c>
      <c r="B18" s="52" t="s">
        <v>74</v>
      </c>
      <c r="C18" s="53" t="s">
        <v>75</v>
      </c>
      <c r="D18" s="52"/>
      <c r="E18" s="52" t="s">
        <v>70</v>
      </c>
      <c r="F18" s="54" t="n">
        <v>1</v>
      </c>
      <c r="G18" s="54" t="n">
        <v>0</v>
      </c>
      <c r="H18" s="54">
        <f>F18*AO18</f>
      </c>
      <c r="I18" s="54">
        <f>F18*AP18</f>
      </c>
      <c r="J18" s="54">
        <f>F18*G18</f>
      </c>
      <c r="K18" s="55" t="s">
        <v>71</v>
      </c>
      <c r="Z18" s="56">
        <f>IF(AQ18="5",BJ18,0)</f>
      </c>
      <c r="AB18" s="56">
        <f>IF(AQ18="1",BH18,0)</f>
      </c>
      <c r="AC18" s="56">
        <f>IF(AQ18="1",BI18,0)</f>
      </c>
      <c r="AD18" s="56">
        <f>IF(AQ18="7",BH18,0)</f>
      </c>
      <c r="AE18" s="56">
        <f>IF(AQ18="7",BI18,0)</f>
      </c>
      <c r="AF18" s="56">
        <f>IF(AQ18="2",BH18,0)</f>
      </c>
      <c r="AG18" s="56">
        <f>IF(AQ18="2",BI18,0)</f>
      </c>
      <c r="AH18" s="56">
        <f>IF(AQ18="0",BJ18,0)</f>
      </c>
      <c r="AI18" s="28" t="s">
        <v>57</v>
      </c>
      <c r="AJ18" s="56">
        <f>IF(AN18=0,J18,0)</f>
      </c>
      <c r="AK18" s="56">
        <f>IF(AN18=12,J18,0)</f>
      </c>
      <c r="AL18" s="56">
        <f>IF(AN18=21,J18,0)</f>
      </c>
      <c r="AN18" s="56" t="n">
        <v>21</v>
      </c>
      <c r="AO18" s="56">
        <f>G18*0</f>
      </c>
      <c r="AP18" s="56">
        <f>G18*(1-0)</f>
      </c>
      <c r="AQ18" s="57" t="s">
        <v>61</v>
      </c>
      <c r="AV18" s="56">
        <f>AW18+AX18</f>
      </c>
      <c r="AW18" s="56">
        <f>F18*AO18</f>
      </c>
      <c r="AX18" s="56">
        <f>F18*AP18</f>
      </c>
      <c r="AY18" s="57" t="s">
        <v>72</v>
      </c>
      <c r="AZ18" s="57" t="s">
        <v>63</v>
      </c>
      <c r="BA18" s="28" t="s">
        <v>64</v>
      </c>
      <c r="BC18" s="56">
        <f>AW18+AX18</f>
      </c>
      <c r="BD18" s="56">
        <f>G18/(100-BE18)*100</f>
      </c>
      <c r="BE18" s="56" t="n">
        <v>0</v>
      </c>
      <c r="BF18" s="56">
        <f>18</f>
      </c>
      <c r="BH18" s="56">
        <f>F18*AO18</f>
      </c>
      <c r="BI18" s="56">
        <f>F18*AP18</f>
      </c>
      <c r="BJ18" s="56">
        <f>F18*G18</f>
      </c>
      <c r="BK18" s="56"/>
      <c r="BL18" s="56"/>
      <c r="BW18" s="56" t="n">
        <v>21</v>
      </c>
      <c r="BX18" s="14" t="s">
        <v>75</v>
      </c>
    </row>
    <row r="19">
      <c r="A19" s="51" t="s">
        <v>76</v>
      </c>
      <c r="B19" s="52" t="s">
        <v>77</v>
      </c>
      <c r="C19" s="53" t="s">
        <v>78</v>
      </c>
      <c r="D19" s="52"/>
      <c r="E19" s="52" t="s">
        <v>70</v>
      </c>
      <c r="F19" s="54" t="n">
        <v>1</v>
      </c>
      <c r="G19" s="54" t="n">
        <v>0</v>
      </c>
      <c r="H19" s="54">
        <f>F19*AO19</f>
      </c>
      <c r="I19" s="54">
        <f>F19*AP19</f>
      </c>
      <c r="J19" s="54">
        <f>F19*G19</f>
      </c>
      <c r="K19" s="55" t="s">
        <v>71</v>
      </c>
      <c r="Z19" s="56">
        <f>IF(AQ19="5",BJ19,0)</f>
      </c>
      <c r="AB19" s="56">
        <f>IF(AQ19="1",BH19,0)</f>
      </c>
      <c r="AC19" s="56">
        <f>IF(AQ19="1",BI19,0)</f>
      </c>
      <c r="AD19" s="56">
        <f>IF(AQ19="7",BH19,0)</f>
      </c>
      <c r="AE19" s="56">
        <f>IF(AQ19="7",BI19,0)</f>
      </c>
      <c r="AF19" s="56">
        <f>IF(AQ19="2",BH19,0)</f>
      </c>
      <c r="AG19" s="56">
        <f>IF(AQ19="2",BI19,0)</f>
      </c>
      <c r="AH19" s="56">
        <f>IF(AQ19="0",BJ19,0)</f>
      </c>
      <c r="AI19" s="28" t="s">
        <v>57</v>
      </c>
      <c r="AJ19" s="56">
        <f>IF(AN19=0,J19,0)</f>
      </c>
      <c r="AK19" s="56">
        <f>IF(AN19=12,J19,0)</f>
      </c>
      <c r="AL19" s="56">
        <f>IF(AN19=21,J19,0)</f>
      </c>
      <c r="AN19" s="56" t="n">
        <v>21</v>
      </c>
      <c r="AO19" s="56">
        <f>G19*0</f>
      </c>
      <c r="AP19" s="56">
        <f>G19*(1-0)</f>
      </c>
      <c r="AQ19" s="57" t="s">
        <v>61</v>
      </c>
      <c r="AV19" s="56">
        <f>AW19+AX19</f>
      </c>
      <c r="AW19" s="56">
        <f>F19*AO19</f>
      </c>
      <c r="AX19" s="56">
        <f>F19*AP19</f>
      </c>
      <c r="AY19" s="57" t="s">
        <v>72</v>
      </c>
      <c r="AZ19" s="57" t="s">
        <v>63</v>
      </c>
      <c r="BA19" s="28" t="s">
        <v>64</v>
      </c>
      <c r="BC19" s="56">
        <f>AW19+AX19</f>
      </c>
      <c r="BD19" s="56">
        <f>G19/(100-BE19)*100</f>
      </c>
      <c r="BE19" s="56" t="n">
        <v>0</v>
      </c>
      <c r="BF19" s="56">
        <f>19</f>
      </c>
      <c r="BH19" s="56">
        <f>F19*AO19</f>
      </c>
      <c r="BI19" s="56">
        <f>F19*AP19</f>
      </c>
      <c r="BJ19" s="56">
        <f>F19*G19</f>
      </c>
      <c r="BK19" s="56"/>
      <c r="BL19" s="56"/>
      <c r="BW19" s="56" t="n">
        <v>21</v>
      </c>
      <c r="BX19" s="14" t="s">
        <v>78</v>
      </c>
    </row>
    <row r="20">
      <c r="A20" s="51" t="s">
        <v>79</v>
      </c>
      <c r="B20" s="52" t="s">
        <v>80</v>
      </c>
      <c r="C20" s="53" t="s">
        <v>81</v>
      </c>
      <c r="D20" s="52"/>
      <c r="E20" s="52" t="s">
        <v>70</v>
      </c>
      <c r="F20" s="54" t="n">
        <v>1</v>
      </c>
      <c r="G20" s="54" t="n">
        <v>0</v>
      </c>
      <c r="H20" s="54">
        <f>F20*AO20</f>
      </c>
      <c r="I20" s="54">
        <f>F20*AP20</f>
      </c>
      <c r="J20" s="54">
        <f>F20*G20</f>
      </c>
      <c r="K20" s="55" t="s">
        <v>71</v>
      </c>
      <c r="Z20" s="56">
        <f>IF(AQ20="5",BJ20,0)</f>
      </c>
      <c r="AB20" s="56">
        <f>IF(AQ20="1",BH20,0)</f>
      </c>
      <c r="AC20" s="56">
        <f>IF(AQ20="1",BI20,0)</f>
      </c>
      <c r="AD20" s="56">
        <f>IF(AQ20="7",BH20,0)</f>
      </c>
      <c r="AE20" s="56">
        <f>IF(AQ20="7",BI20,0)</f>
      </c>
      <c r="AF20" s="56">
        <f>IF(AQ20="2",BH20,0)</f>
      </c>
      <c r="AG20" s="56">
        <f>IF(AQ20="2",BI20,0)</f>
      </c>
      <c r="AH20" s="56">
        <f>IF(AQ20="0",BJ20,0)</f>
      </c>
      <c r="AI20" s="28" t="s">
        <v>57</v>
      </c>
      <c r="AJ20" s="56">
        <f>IF(AN20=0,J20,0)</f>
      </c>
      <c r="AK20" s="56">
        <f>IF(AN20=12,J20,0)</f>
      </c>
      <c r="AL20" s="56">
        <f>IF(AN20=21,J20,0)</f>
      </c>
      <c r="AN20" s="56" t="n">
        <v>21</v>
      </c>
      <c r="AO20" s="56">
        <f>G20*0</f>
      </c>
      <c r="AP20" s="56">
        <f>G20*(1-0)</f>
      </c>
      <c r="AQ20" s="57" t="s">
        <v>61</v>
      </c>
      <c r="AV20" s="56">
        <f>AW20+AX20</f>
      </c>
      <c r="AW20" s="56">
        <f>F20*AO20</f>
      </c>
      <c r="AX20" s="56">
        <f>F20*AP20</f>
      </c>
      <c r="AY20" s="57" t="s">
        <v>72</v>
      </c>
      <c r="AZ20" s="57" t="s">
        <v>63</v>
      </c>
      <c r="BA20" s="28" t="s">
        <v>64</v>
      </c>
      <c r="BC20" s="56">
        <f>AW20+AX20</f>
      </c>
      <c r="BD20" s="56">
        <f>G20/(100-BE20)*100</f>
      </c>
      <c r="BE20" s="56" t="n">
        <v>0</v>
      </c>
      <c r="BF20" s="56">
        <f>20</f>
      </c>
      <c r="BH20" s="56">
        <f>F20*AO20</f>
      </c>
      <c r="BI20" s="56">
        <f>F20*AP20</f>
      </c>
      <c r="BJ20" s="56">
        <f>F20*G20</f>
      </c>
      <c r="BK20" s="56"/>
      <c r="BL20" s="56"/>
      <c r="BW20" s="56" t="n">
        <v>21</v>
      </c>
      <c r="BX20" s="14" t="s">
        <v>81</v>
      </c>
    </row>
    <row r="21">
      <c r="A21" s="51" t="s">
        <v>82</v>
      </c>
      <c r="B21" s="52" t="s">
        <v>83</v>
      </c>
      <c r="C21" s="53" t="s">
        <v>84</v>
      </c>
      <c r="D21" s="52"/>
      <c r="E21" s="52" t="s">
        <v>70</v>
      </c>
      <c r="F21" s="54" t="n">
        <v>1</v>
      </c>
      <c r="G21" s="54" t="n">
        <v>0</v>
      </c>
      <c r="H21" s="54">
        <f>F21*AO21</f>
      </c>
      <c r="I21" s="54">
        <f>F21*AP21</f>
      </c>
      <c r="J21" s="54">
        <f>F21*G21</f>
      </c>
      <c r="K21" s="55" t="s">
        <v>71</v>
      </c>
      <c r="Z21" s="56">
        <f>IF(AQ21="5",BJ21,0)</f>
      </c>
      <c r="AB21" s="56">
        <f>IF(AQ21="1",BH21,0)</f>
      </c>
      <c r="AC21" s="56">
        <f>IF(AQ21="1",BI21,0)</f>
      </c>
      <c r="AD21" s="56">
        <f>IF(AQ21="7",BH21,0)</f>
      </c>
      <c r="AE21" s="56">
        <f>IF(AQ21="7",BI21,0)</f>
      </c>
      <c r="AF21" s="56">
        <f>IF(AQ21="2",BH21,0)</f>
      </c>
      <c r="AG21" s="56">
        <f>IF(AQ21="2",BI21,0)</f>
      </c>
      <c r="AH21" s="56">
        <f>IF(AQ21="0",BJ21,0)</f>
      </c>
      <c r="AI21" s="28" t="s">
        <v>57</v>
      </c>
      <c r="AJ21" s="56">
        <f>IF(AN21=0,J21,0)</f>
      </c>
      <c r="AK21" s="56">
        <f>IF(AN21=12,J21,0)</f>
      </c>
      <c r="AL21" s="56">
        <f>IF(AN21=21,J21,0)</f>
      </c>
      <c r="AN21" s="56" t="n">
        <v>21</v>
      </c>
      <c r="AO21" s="56">
        <f>G21*0</f>
      </c>
      <c r="AP21" s="56">
        <f>G21*(1-0)</f>
      </c>
      <c r="AQ21" s="57" t="s">
        <v>61</v>
      </c>
      <c r="AV21" s="56">
        <f>AW21+AX21</f>
      </c>
      <c r="AW21" s="56">
        <f>F21*AO21</f>
      </c>
      <c r="AX21" s="56">
        <f>F21*AP21</f>
      </c>
      <c r="AY21" s="57" t="s">
        <v>72</v>
      </c>
      <c r="AZ21" s="57" t="s">
        <v>63</v>
      </c>
      <c r="BA21" s="28" t="s">
        <v>64</v>
      </c>
      <c r="BC21" s="56">
        <f>AW21+AX21</f>
      </c>
      <c r="BD21" s="56">
        <f>G21/(100-BE21)*100</f>
      </c>
      <c r="BE21" s="56" t="n">
        <v>0</v>
      </c>
      <c r="BF21" s="56">
        <f>21</f>
      </c>
      <c r="BH21" s="56">
        <f>F21*AO21</f>
      </c>
      <c r="BI21" s="56">
        <f>F21*AP21</f>
      </c>
      <c r="BJ21" s="56">
        <f>F21*G21</f>
      </c>
      <c r="BK21" s="56"/>
      <c r="BL21" s="56"/>
      <c r="BW21" s="56" t="n">
        <v>21</v>
      </c>
      <c r="BX21" s="14" t="s">
        <v>84</v>
      </c>
    </row>
    <row r="22">
      <c r="A22" s="51" t="s">
        <v>85</v>
      </c>
      <c r="B22" s="52" t="s">
        <v>86</v>
      </c>
      <c r="C22" s="53" t="s">
        <v>87</v>
      </c>
      <c r="D22" s="52"/>
      <c r="E22" s="52" t="s">
        <v>70</v>
      </c>
      <c r="F22" s="54" t="n">
        <v>1</v>
      </c>
      <c r="G22" s="54" t="n">
        <v>0</v>
      </c>
      <c r="H22" s="54">
        <f>F22*AO22</f>
      </c>
      <c r="I22" s="54">
        <f>F22*AP22</f>
      </c>
      <c r="J22" s="54">
        <f>F22*G22</f>
      </c>
      <c r="K22" s="55" t="s">
        <v>71</v>
      </c>
      <c r="Z22" s="56">
        <f>IF(AQ22="5",BJ22,0)</f>
      </c>
      <c r="AB22" s="56">
        <f>IF(AQ22="1",BH22,0)</f>
      </c>
      <c r="AC22" s="56">
        <f>IF(AQ22="1",BI22,0)</f>
      </c>
      <c r="AD22" s="56">
        <f>IF(AQ22="7",BH22,0)</f>
      </c>
      <c r="AE22" s="56">
        <f>IF(AQ22="7",BI22,0)</f>
      </c>
      <c r="AF22" s="56">
        <f>IF(AQ22="2",BH22,0)</f>
      </c>
      <c r="AG22" s="56">
        <f>IF(AQ22="2",BI22,0)</f>
      </c>
      <c r="AH22" s="56">
        <f>IF(AQ22="0",BJ22,0)</f>
      </c>
      <c r="AI22" s="28" t="s">
        <v>57</v>
      </c>
      <c r="AJ22" s="56">
        <f>IF(AN22=0,J22,0)</f>
      </c>
      <c r="AK22" s="56">
        <f>IF(AN22=12,J22,0)</f>
      </c>
      <c r="AL22" s="56">
        <f>IF(AN22=21,J22,0)</f>
      </c>
      <c r="AN22" s="56" t="n">
        <v>21</v>
      </c>
      <c r="AO22" s="56">
        <f>G22*0</f>
      </c>
      <c r="AP22" s="56">
        <f>G22*(1-0)</f>
      </c>
      <c r="AQ22" s="57" t="s">
        <v>61</v>
      </c>
      <c r="AV22" s="56">
        <f>AW22+AX22</f>
      </c>
      <c r="AW22" s="56">
        <f>F22*AO22</f>
      </c>
      <c r="AX22" s="56">
        <f>F22*AP22</f>
      </c>
      <c r="AY22" s="57" t="s">
        <v>72</v>
      </c>
      <c r="AZ22" s="57" t="s">
        <v>63</v>
      </c>
      <c r="BA22" s="28" t="s">
        <v>64</v>
      </c>
      <c r="BC22" s="56">
        <f>AW22+AX22</f>
      </c>
      <c r="BD22" s="56">
        <f>G22/(100-BE22)*100</f>
      </c>
      <c r="BE22" s="56" t="n">
        <v>0</v>
      </c>
      <c r="BF22" s="56">
        <f>22</f>
      </c>
      <c r="BH22" s="56">
        <f>F22*AO22</f>
      </c>
      <c r="BI22" s="56">
        <f>F22*AP22</f>
      </c>
      <c r="BJ22" s="56">
        <f>F22*G22</f>
      </c>
      <c r="BK22" s="56"/>
      <c r="BL22" s="56"/>
      <c r="BW22" s="56" t="n">
        <v>21</v>
      </c>
      <c r="BX22" s="14" t="s">
        <v>87</v>
      </c>
    </row>
    <row r="23">
      <c r="A23" s="51" t="s">
        <v>88</v>
      </c>
      <c r="B23" s="52" t="s">
        <v>89</v>
      </c>
      <c r="C23" s="53" t="s">
        <v>90</v>
      </c>
      <c r="D23" s="52"/>
      <c r="E23" s="52" t="s">
        <v>70</v>
      </c>
      <c r="F23" s="54" t="n">
        <v>1</v>
      </c>
      <c r="G23" s="54" t="n">
        <v>0</v>
      </c>
      <c r="H23" s="54">
        <f>F23*AO23</f>
      </c>
      <c r="I23" s="54">
        <f>F23*AP23</f>
      </c>
      <c r="J23" s="54">
        <f>F23*G23</f>
      </c>
      <c r="K23" s="55" t="s">
        <v>71</v>
      </c>
      <c r="Z23" s="56">
        <f>IF(AQ23="5",BJ23,0)</f>
      </c>
      <c r="AB23" s="56">
        <f>IF(AQ23="1",BH23,0)</f>
      </c>
      <c r="AC23" s="56">
        <f>IF(AQ23="1",BI23,0)</f>
      </c>
      <c r="AD23" s="56">
        <f>IF(AQ23="7",BH23,0)</f>
      </c>
      <c r="AE23" s="56">
        <f>IF(AQ23="7",BI23,0)</f>
      </c>
      <c r="AF23" s="56">
        <f>IF(AQ23="2",BH23,0)</f>
      </c>
      <c r="AG23" s="56">
        <f>IF(AQ23="2",BI23,0)</f>
      </c>
      <c r="AH23" s="56">
        <f>IF(AQ23="0",BJ23,0)</f>
      </c>
      <c r="AI23" s="28" t="s">
        <v>57</v>
      </c>
      <c r="AJ23" s="56">
        <f>IF(AN23=0,J23,0)</f>
      </c>
      <c r="AK23" s="56">
        <f>IF(AN23=12,J23,0)</f>
      </c>
      <c r="AL23" s="56">
        <f>IF(AN23=21,J23,0)</f>
      </c>
      <c r="AN23" s="56" t="n">
        <v>21</v>
      </c>
      <c r="AO23" s="56">
        <f>G23*0</f>
      </c>
      <c r="AP23" s="56">
        <f>G23*(1-0)</f>
      </c>
      <c r="AQ23" s="57" t="s">
        <v>61</v>
      </c>
      <c r="AV23" s="56">
        <f>AW23+AX23</f>
      </c>
      <c r="AW23" s="56">
        <f>F23*AO23</f>
      </c>
      <c r="AX23" s="56">
        <f>F23*AP23</f>
      </c>
      <c r="AY23" s="57" t="s">
        <v>72</v>
      </c>
      <c r="AZ23" s="57" t="s">
        <v>63</v>
      </c>
      <c r="BA23" s="28" t="s">
        <v>64</v>
      </c>
      <c r="BC23" s="56">
        <f>AW23+AX23</f>
      </c>
      <c r="BD23" s="56">
        <f>G23/(100-BE23)*100</f>
      </c>
      <c r="BE23" s="56" t="n">
        <v>0</v>
      </c>
      <c r="BF23" s="56">
        <f>23</f>
      </c>
      <c r="BH23" s="56">
        <f>F23*AO23</f>
      </c>
      <c r="BI23" s="56">
        <f>F23*AP23</f>
      </c>
      <c r="BJ23" s="56">
        <f>F23*G23</f>
      </c>
      <c r="BK23" s="56"/>
      <c r="BL23" s="56"/>
      <c r="BW23" s="56" t="n">
        <v>21</v>
      </c>
      <c r="BX23" s="14" t="s">
        <v>90</v>
      </c>
    </row>
    <row r="24">
      <c r="A24" s="51" t="s">
        <v>91</v>
      </c>
      <c r="B24" s="52" t="s">
        <v>92</v>
      </c>
      <c r="C24" s="53" t="s">
        <v>93</v>
      </c>
      <c r="D24" s="52"/>
      <c r="E24" s="52" t="s">
        <v>70</v>
      </c>
      <c r="F24" s="54" t="n">
        <v>1</v>
      </c>
      <c r="G24" s="54" t="n">
        <v>0</v>
      </c>
      <c r="H24" s="54">
        <f>F24*AO24</f>
      </c>
      <c r="I24" s="54">
        <f>F24*AP24</f>
      </c>
      <c r="J24" s="54">
        <f>F24*G24</f>
      </c>
      <c r="K24" s="55" t="s">
        <v>71</v>
      </c>
      <c r="Z24" s="56">
        <f>IF(AQ24="5",BJ24,0)</f>
      </c>
      <c r="AB24" s="56">
        <f>IF(AQ24="1",BH24,0)</f>
      </c>
      <c r="AC24" s="56">
        <f>IF(AQ24="1",BI24,0)</f>
      </c>
      <c r="AD24" s="56">
        <f>IF(AQ24="7",BH24,0)</f>
      </c>
      <c r="AE24" s="56">
        <f>IF(AQ24="7",BI24,0)</f>
      </c>
      <c r="AF24" s="56">
        <f>IF(AQ24="2",BH24,0)</f>
      </c>
      <c r="AG24" s="56">
        <f>IF(AQ24="2",BI24,0)</f>
      </c>
      <c r="AH24" s="56">
        <f>IF(AQ24="0",BJ24,0)</f>
      </c>
      <c r="AI24" s="28" t="s">
        <v>57</v>
      </c>
      <c r="AJ24" s="56">
        <f>IF(AN24=0,J24,0)</f>
      </c>
      <c r="AK24" s="56">
        <f>IF(AN24=12,J24,0)</f>
      </c>
      <c r="AL24" s="56">
        <f>IF(AN24=21,J24,0)</f>
      </c>
      <c r="AN24" s="56" t="n">
        <v>21</v>
      </c>
      <c r="AO24" s="56">
        <f>G24*0</f>
      </c>
      <c r="AP24" s="56">
        <f>G24*(1-0)</f>
      </c>
      <c r="AQ24" s="57" t="s">
        <v>61</v>
      </c>
      <c r="AV24" s="56">
        <f>AW24+AX24</f>
      </c>
      <c r="AW24" s="56">
        <f>F24*AO24</f>
      </c>
      <c r="AX24" s="56">
        <f>F24*AP24</f>
      </c>
      <c r="AY24" s="57" t="s">
        <v>72</v>
      </c>
      <c r="AZ24" s="57" t="s">
        <v>63</v>
      </c>
      <c r="BA24" s="28" t="s">
        <v>64</v>
      </c>
      <c r="BC24" s="56">
        <f>AW24+AX24</f>
      </c>
      <c r="BD24" s="56">
        <f>G24/(100-BE24)*100</f>
      </c>
      <c r="BE24" s="56" t="n">
        <v>0</v>
      </c>
      <c r="BF24" s="56">
        <f>24</f>
      </c>
      <c r="BH24" s="56">
        <f>F24*AO24</f>
      </c>
      <c r="BI24" s="56">
        <f>F24*AP24</f>
      </c>
      <c r="BJ24" s="56">
        <f>F24*G24</f>
      </c>
      <c r="BK24" s="56"/>
      <c r="BL24" s="56"/>
      <c r="BW24" s="56" t="n">
        <v>21</v>
      </c>
      <c r="BX24" s="14" t="s">
        <v>93</v>
      </c>
    </row>
    <row r="25">
      <c r="A25" s="45" t="s">
        <v>53</v>
      </c>
      <c r="B25" s="46" t="s">
        <v>94</v>
      </c>
      <c r="C25" s="47" t="s">
        <v>95</v>
      </c>
      <c r="D25" s="46"/>
      <c r="E25" s="48" t="s">
        <v>34</v>
      </c>
      <c r="F25" s="48" t="s">
        <v>34</v>
      </c>
      <c r="G25" s="48" t="s">
        <v>34</v>
      </c>
      <c r="H25" s="49">
        <f>SUM(H26:H31)</f>
      </c>
      <c r="I25" s="49">
        <f>SUM(I26:I31)</f>
      </c>
      <c r="J25" s="49">
        <f>SUM(J26:J31)</f>
      </c>
      <c r="K25" s="50" t="s">
        <v>53</v>
      </c>
      <c r="AI25" s="28" t="s">
        <v>57</v>
      </c>
      <c r="AS25" s="2">
        <f>SUM(AJ26:AJ31)</f>
      </c>
      <c r="AT25" s="2">
        <f>SUM(AK26:AK31)</f>
      </c>
      <c r="AU25" s="2">
        <f>SUM(AL26:AL31)</f>
      </c>
    </row>
    <row r="26">
      <c r="A26" s="51" t="s">
        <v>96</v>
      </c>
      <c r="B26" s="52" t="s">
        <v>97</v>
      </c>
      <c r="C26" s="53" t="s">
        <v>98</v>
      </c>
      <c r="D26" s="52"/>
      <c r="E26" s="52" t="s">
        <v>99</v>
      </c>
      <c r="F26" s="54" t="n">
        <v>3.8217</v>
      </c>
      <c r="G26" s="54" t="n">
        <v>0</v>
      </c>
      <c r="H26" s="54">
        <f>F26*AO26</f>
      </c>
      <c r="I26" s="54">
        <f>F26*AP26</f>
      </c>
      <c r="J26" s="54">
        <f>F26*G26</f>
      </c>
      <c r="K26" s="55" t="s">
        <v>100</v>
      </c>
      <c r="Z26" s="56">
        <f>IF(AQ26="5",BJ26,0)</f>
      </c>
      <c r="AB26" s="56">
        <f>IF(AQ26="1",BH26,0)</f>
      </c>
      <c r="AC26" s="56">
        <f>IF(AQ26="1",BI26,0)</f>
      </c>
      <c r="AD26" s="56">
        <f>IF(AQ26="7",BH26,0)</f>
      </c>
      <c r="AE26" s="56">
        <f>IF(AQ26="7",BI26,0)</f>
      </c>
      <c r="AF26" s="56">
        <f>IF(AQ26="2",BH26,0)</f>
      </c>
      <c r="AG26" s="56">
        <f>IF(AQ26="2",BI26,0)</f>
      </c>
      <c r="AH26" s="56">
        <f>IF(AQ26="0",BJ26,0)</f>
      </c>
      <c r="AI26" s="28" t="s">
        <v>57</v>
      </c>
      <c r="AJ26" s="56">
        <f>IF(AN26=0,J26,0)</f>
      </c>
      <c r="AK26" s="56">
        <f>IF(AN26=12,J26,0)</f>
      </c>
      <c r="AL26" s="56">
        <f>IF(AN26=21,J26,0)</f>
      </c>
      <c r="AN26" s="56" t="n">
        <v>21</v>
      </c>
      <c r="AO26" s="56">
        <f>G26*0.671011435</f>
      </c>
      <c r="AP26" s="56">
        <f>G26*(1-0.671011435)</f>
      </c>
      <c r="AQ26" s="57" t="s">
        <v>58</v>
      </c>
      <c r="AV26" s="56">
        <f>AW26+AX26</f>
      </c>
      <c r="AW26" s="56">
        <f>F26*AO26</f>
      </c>
      <c r="AX26" s="56">
        <f>F26*AP26</f>
      </c>
      <c r="AY26" s="57" t="s">
        <v>101</v>
      </c>
      <c r="AZ26" s="57" t="s">
        <v>102</v>
      </c>
      <c r="BA26" s="28" t="s">
        <v>64</v>
      </c>
      <c r="BC26" s="56">
        <f>AW26+AX26</f>
      </c>
      <c r="BD26" s="56">
        <f>G26/(100-BE26)*100</f>
      </c>
      <c r="BE26" s="56" t="n">
        <v>0</v>
      </c>
      <c r="BF26" s="56">
        <f>26</f>
      </c>
      <c r="BH26" s="56">
        <f>F26*AO26</f>
      </c>
      <c r="BI26" s="56">
        <f>F26*AP26</f>
      </c>
      <c r="BJ26" s="56">
        <f>F26*G26</f>
      </c>
      <c r="BK26" s="56"/>
      <c r="BL26" s="56" t="n">
        <v>31</v>
      </c>
      <c r="BW26" s="56" t="n">
        <v>21</v>
      </c>
      <c r="BX26" s="14" t="s">
        <v>98</v>
      </c>
    </row>
    <row r="27" customHeight="true" ht="13.5">
      <c r="A27" s="58"/>
      <c r="C27" s="59" t="s">
        <v>103</v>
      </c>
      <c r="D27" s="60"/>
      <c r="E27" s="60"/>
      <c r="F27" s="60"/>
      <c r="G27" s="60"/>
      <c r="H27" s="60"/>
      <c r="I27" s="60"/>
      <c r="J27" s="60"/>
      <c r="K27" s="61"/>
    </row>
    <row r="28">
      <c r="A28" s="68"/>
      <c r="B28" s="69"/>
      <c r="C28" s="70" t="s">
        <v>104</v>
      </c>
      <c r="D28" s="71" t="s">
        <v>105</v>
      </c>
      <c r="E28" s="69"/>
      <c r="F28" s="72" t="n">
        <v>1.26563</v>
      </c>
      <c r="G28" s="69"/>
      <c r="H28" s="69"/>
      <c r="I28" s="69"/>
      <c r="J28" s="69"/>
      <c r="K28" s="73"/>
    </row>
    <row r="29">
      <c r="A29" s="74"/>
      <c r="B29" s="75"/>
      <c r="C29" s="76" t="s">
        <v>106</v>
      </c>
      <c r="D29" s="77" t="s">
        <v>107</v>
      </c>
      <c r="E29" s="75"/>
      <c r="F29" s="78" t="n">
        <v>2.55607</v>
      </c>
      <c r="G29" s="75"/>
      <c r="H29" s="75"/>
      <c r="I29" s="75"/>
      <c r="J29" s="75"/>
      <c r="K29" s="79"/>
    </row>
    <row r="30">
      <c r="A30" s="58"/>
      <c r="B30" s="80" t="s">
        <v>108</v>
      </c>
      <c r="C30" s="59" t="s">
        <v>109</v>
      </c>
      <c r="D30" s="60"/>
      <c r="E30" s="60"/>
      <c r="F30" s="60"/>
      <c r="G30" s="60"/>
      <c r="H30" s="60"/>
      <c r="I30" s="60"/>
      <c r="J30" s="60"/>
      <c r="K30" s="61"/>
      <c r="BX30" s="81" t="s">
        <v>109</v>
      </c>
    </row>
    <row r="31">
      <c r="A31" s="82" t="s">
        <v>110</v>
      </c>
      <c r="B31" s="83" t="s">
        <v>111</v>
      </c>
      <c r="C31" s="84" t="s">
        <v>112</v>
      </c>
      <c r="D31" s="83"/>
      <c r="E31" s="83" t="s">
        <v>99</v>
      </c>
      <c r="F31" s="85" t="n">
        <v>0.2025</v>
      </c>
      <c r="G31" s="85" t="n">
        <v>0</v>
      </c>
      <c r="H31" s="85">
        <f>F31*AO31</f>
      </c>
      <c r="I31" s="85">
        <f>F31*AP31</f>
      </c>
      <c r="J31" s="85">
        <f>F31*G31</f>
      </c>
      <c r="K31" s="86" t="s">
        <v>100</v>
      </c>
      <c r="Z31" s="56">
        <f>IF(AQ31="5",BJ31,0)</f>
      </c>
      <c r="AB31" s="56">
        <f>IF(AQ31="1",BH31,0)</f>
      </c>
      <c r="AC31" s="56">
        <f>IF(AQ31="1",BI31,0)</f>
      </c>
      <c r="AD31" s="56">
        <f>IF(AQ31="7",BH31,0)</f>
      </c>
      <c r="AE31" s="56">
        <f>IF(AQ31="7",BI31,0)</f>
      </c>
      <c r="AF31" s="56">
        <f>IF(AQ31="2",BH31,0)</f>
      </c>
      <c r="AG31" s="56">
        <f>IF(AQ31="2",BI31,0)</f>
      </c>
      <c r="AH31" s="56">
        <f>IF(AQ31="0",BJ31,0)</f>
      </c>
      <c r="AI31" s="28" t="s">
        <v>57</v>
      </c>
      <c r="AJ31" s="56">
        <f>IF(AN31=0,J31,0)</f>
      </c>
      <c r="AK31" s="56">
        <f>IF(AN31=12,J31,0)</f>
      </c>
      <c r="AL31" s="56">
        <f>IF(AN31=21,J31,0)</f>
      </c>
      <c r="AN31" s="56" t="n">
        <v>21</v>
      </c>
      <c r="AO31" s="56">
        <f>G31*0.609049769</f>
      </c>
      <c r="AP31" s="56">
        <f>G31*(1-0.609049769)</f>
      </c>
      <c r="AQ31" s="57" t="s">
        <v>58</v>
      </c>
      <c r="AV31" s="56">
        <f>AW31+AX31</f>
      </c>
      <c r="AW31" s="56">
        <f>F31*AO31</f>
      </c>
      <c r="AX31" s="56">
        <f>F31*AP31</f>
      </c>
      <c r="AY31" s="57" t="s">
        <v>101</v>
      </c>
      <c r="AZ31" s="57" t="s">
        <v>102</v>
      </c>
      <c r="BA31" s="28" t="s">
        <v>64</v>
      </c>
      <c r="BC31" s="56">
        <f>AW31+AX31</f>
      </c>
      <c r="BD31" s="56">
        <f>G31/(100-BE31)*100</f>
      </c>
      <c r="BE31" s="56" t="n">
        <v>0</v>
      </c>
      <c r="BF31" s="56">
        <f>31</f>
      </c>
      <c r="BH31" s="56">
        <f>F31*AO31</f>
      </c>
      <c r="BI31" s="56">
        <f>F31*AP31</f>
      </c>
      <c r="BJ31" s="56">
        <f>F31*G31</f>
      </c>
      <c r="BK31" s="56"/>
      <c r="BL31" s="56" t="n">
        <v>31</v>
      </c>
      <c r="BW31" s="56" t="n">
        <v>21</v>
      </c>
      <c r="BX31" s="14" t="s">
        <v>112</v>
      </c>
    </row>
    <row r="32" customHeight="true" ht="27">
      <c r="A32" s="58"/>
      <c r="C32" s="59" t="s">
        <v>113</v>
      </c>
      <c r="D32" s="60"/>
      <c r="E32" s="60"/>
      <c r="F32" s="60"/>
      <c r="G32" s="60"/>
      <c r="H32" s="60"/>
      <c r="I32" s="60"/>
      <c r="J32" s="60"/>
      <c r="K32" s="61"/>
    </row>
    <row r="33">
      <c r="A33" s="68"/>
      <c r="B33" s="69"/>
      <c r="C33" s="70" t="s">
        <v>114</v>
      </c>
      <c r="D33" s="71" t="s">
        <v>115</v>
      </c>
      <c r="E33" s="69"/>
      <c r="F33" s="72" t="n">
        <v>0.2025</v>
      </c>
      <c r="G33" s="69"/>
      <c r="H33" s="69"/>
      <c r="I33" s="69"/>
      <c r="J33" s="69"/>
      <c r="K33" s="73"/>
    </row>
    <row r="34">
      <c r="A34" s="45" t="s">
        <v>53</v>
      </c>
      <c r="B34" s="46" t="s">
        <v>116</v>
      </c>
      <c r="C34" s="47" t="s">
        <v>117</v>
      </c>
      <c r="D34" s="46"/>
      <c r="E34" s="48" t="s">
        <v>34</v>
      </c>
      <c r="F34" s="48" t="s">
        <v>34</v>
      </c>
      <c r="G34" s="48" t="s">
        <v>34</v>
      </c>
      <c r="H34" s="49">
        <f>SUM(H35:H35)</f>
      </c>
      <c r="I34" s="49">
        <f>SUM(I35:I35)</f>
      </c>
      <c r="J34" s="49">
        <f>SUM(J35:J35)</f>
      </c>
      <c r="K34" s="50" t="s">
        <v>53</v>
      </c>
      <c r="AI34" s="28" t="s">
        <v>57</v>
      </c>
      <c r="AS34" s="2">
        <f>SUM(AJ35:AJ35)</f>
      </c>
      <c r="AT34" s="2">
        <f>SUM(AK35:AK35)</f>
      </c>
      <c r="AU34" s="2">
        <f>SUM(AL35:AL35)</f>
      </c>
    </row>
    <row r="35">
      <c r="A35" s="51" t="s">
        <v>118</v>
      </c>
      <c r="B35" s="52" t="s">
        <v>119</v>
      </c>
      <c r="C35" s="53" t="s">
        <v>120</v>
      </c>
      <c r="D35" s="52"/>
      <c r="E35" s="52" t="s">
        <v>99</v>
      </c>
      <c r="F35" s="54" t="n">
        <v>1.1286</v>
      </c>
      <c r="G35" s="54" t="n">
        <v>0</v>
      </c>
      <c r="H35" s="54">
        <f>F35*AO35</f>
      </c>
      <c r="I35" s="54">
        <f>F35*AP35</f>
      </c>
      <c r="J35" s="54">
        <f>F35*G35</f>
      </c>
      <c r="K35" s="55" t="s">
        <v>100</v>
      </c>
      <c r="Z35" s="56">
        <f>IF(AQ35="5",BJ35,0)</f>
      </c>
      <c r="AB35" s="56">
        <f>IF(AQ35="1",BH35,0)</f>
      </c>
      <c r="AC35" s="56">
        <f>IF(AQ35="1",BI35,0)</f>
      </c>
      <c r="AD35" s="56">
        <f>IF(AQ35="7",BH35,0)</f>
      </c>
      <c r="AE35" s="56">
        <f>IF(AQ35="7",BI35,0)</f>
      </c>
      <c r="AF35" s="56">
        <f>IF(AQ35="2",BH35,0)</f>
      </c>
      <c r="AG35" s="56">
        <f>IF(AQ35="2",BI35,0)</f>
      </c>
      <c r="AH35" s="56">
        <f>IF(AQ35="0",BJ35,0)</f>
      </c>
      <c r="AI35" s="28" t="s">
        <v>57</v>
      </c>
      <c r="AJ35" s="56">
        <f>IF(AN35=0,J35,0)</f>
      </c>
      <c r="AK35" s="56">
        <f>IF(AN35=12,J35,0)</f>
      </c>
      <c r="AL35" s="56">
        <f>IF(AN35=21,J35,0)</f>
      </c>
      <c r="AN35" s="56" t="n">
        <v>21</v>
      </c>
      <c r="AO35" s="56">
        <f>G35*0.726355556</f>
      </c>
      <c r="AP35" s="56">
        <f>G35*(1-0.726355556)</f>
      </c>
      <c r="AQ35" s="57" t="s">
        <v>58</v>
      </c>
      <c r="AV35" s="56">
        <f>AW35+AX35</f>
      </c>
      <c r="AW35" s="56">
        <f>F35*AO35</f>
      </c>
      <c r="AX35" s="56">
        <f>F35*AP35</f>
      </c>
      <c r="AY35" s="57" t="s">
        <v>121</v>
      </c>
      <c r="AZ35" s="57" t="s">
        <v>102</v>
      </c>
      <c r="BA35" s="28" t="s">
        <v>64</v>
      </c>
      <c r="BC35" s="56">
        <f>AW35+AX35</f>
      </c>
      <c r="BD35" s="56">
        <f>G35/(100-BE35)*100</f>
      </c>
      <c r="BE35" s="56" t="n">
        <v>0</v>
      </c>
      <c r="BF35" s="56">
        <f>35</f>
      </c>
      <c r="BH35" s="56">
        <f>F35*AO35</f>
      </c>
      <c r="BI35" s="56">
        <f>F35*AP35</f>
      </c>
      <c r="BJ35" s="56">
        <f>F35*G35</f>
      </c>
      <c r="BK35" s="56"/>
      <c r="BL35" s="56" t="n">
        <v>33</v>
      </c>
      <c r="BW35" s="56" t="n">
        <v>21</v>
      </c>
      <c r="BX35" s="14" t="s">
        <v>120</v>
      </c>
    </row>
    <row r="36">
      <c r="A36" s="74"/>
      <c r="B36" s="75"/>
      <c r="C36" s="76" t="s">
        <v>122</v>
      </c>
      <c r="D36" s="77" t="s">
        <v>123</v>
      </c>
      <c r="E36" s="75"/>
      <c r="F36" s="78" t="n">
        <v>1.1286</v>
      </c>
      <c r="G36" s="75"/>
      <c r="H36" s="75"/>
      <c r="I36" s="75"/>
      <c r="J36" s="75"/>
      <c r="K36" s="79"/>
    </row>
    <row r="37" ht="24.75">
      <c r="A37" s="58"/>
      <c r="B37" s="80" t="s">
        <v>108</v>
      </c>
      <c r="C37" s="59" t="s">
        <v>124</v>
      </c>
      <c r="D37" s="60"/>
      <c r="E37" s="60"/>
      <c r="F37" s="60"/>
      <c r="G37" s="60"/>
      <c r="H37" s="60"/>
      <c r="I37" s="60"/>
      <c r="J37" s="60"/>
      <c r="K37" s="61"/>
      <c r="BX37" s="81" t="s">
        <v>124</v>
      </c>
    </row>
    <row r="38">
      <c r="A38" s="62" t="s">
        <v>53</v>
      </c>
      <c r="B38" s="63" t="s">
        <v>125</v>
      </c>
      <c r="C38" s="64" t="s">
        <v>126</v>
      </c>
      <c r="D38" s="63"/>
      <c r="E38" s="65" t="s">
        <v>34</v>
      </c>
      <c r="F38" s="65" t="s">
        <v>34</v>
      </c>
      <c r="G38" s="65" t="s">
        <v>34</v>
      </c>
      <c r="H38" s="66">
        <f>SUM(H39:H100)</f>
      </c>
      <c r="I38" s="66">
        <f>SUM(I39:I100)</f>
      </c>
      <c r="J38" s="66">
        <f>SUM(J39:J100)</f>
      </c>
      <c r="K38" s="67" t="s">
        <v>53</v>
      </c>
      <c r="AI38" s="28" t="s">
        <v>57</v>
      </c>
      <c r="AS38" s="2">
        <f>SUM(AJ39:AJ100)</f>
      </c>
      <c r="AT38" s="2">
        <f>SUM(AK39:AK100)</f>
      </c>
      <c r="AU38" s="2">
        <f>SUM(AL39:AL100)</f>
      </c>
    </row>
    <row r="39">
      <c r="A39" s="51" t="s">
        <v>127</v>
      </c>
      <c r="B39" s="52" t="s">
        <v>128</v>
      </c>
      <c r="C39" s="53" t="s">
        <v>129</v>
      </c>
      <c r="D39" s="52"/>
      <c r="E39" s="52" t="s">
        <v>130</v>
      </c>
      <c r="F39" s="54" t="n">
        <v>7.15</v>
      </c>
      <c r="G39" s="54" t="n">
        <v>0</v>
      </c>
      <c r="H39" s="54">
        <f>F39*AO39</f>
      </c>
      <c r="I39" s="54">
        <f>F39*AP39</f>
      </c>
      <c r="J39" s="54">
        <f>F39*G39</f>
      </c>
      <c r="K39" s="55" t="s">
        <v>100</v>
      </c>
      <c r="Z39" s="56">
        <f>IF(AQ39="5",BJ39,0)</f>
      </c>
      <c r="AB39" s="56">
        <f>IF(AQ39="1",BH39,0)</f>
      </c>
      <c r="AC39" s="56">
        <f>IF(AQ39="1",BI39,0)</f>
      </c>
      <c r="AD39" s="56">
        <f>IF(AQ39="7",BH39,0)</f>
      </c>
      <c r="AE39" s="56">
        <f>IF(AQ39="7",BI39,0)</f>
      </c>
      <c r="AF39" s="56">
        <f>IF(AQ39="2",BH39,0)</f>
      </c>
      <c r="AG39" s="56">
        <f>IF(AQ39="2",BI39,0)</f>
      </c>
      <c r="AH39" s="56">
        <f>IF(AQ39="0",BJ39,0)</f>
      </c>
      <c r="AI39" s="28" t="s">
        <v>57</v>
      </c>
      <c r="AJ39" s="56">
        <f>IF(AN39=0,J39,0)</f>
      </c>
      <c r="AK39" s="56">
        <f>IF(AN39=12,J39,0)</f>
      </c>
      <c r="AL39" s="56">
        <f>IF(AN39=21,J39,0)</f>
      </c>
      <c r="AN39" s="56" t="n">
        <v>21</v>
      </c>
      <c r="AO39" s="56">
        <f>G39*0.283189911</f>
      </c>
      <c r="AP39" s="56">
        <f>G39*(1-0.283189911)</f>
      </c>
      <c r="AQ39" s="57" t="s">
        <v>58</v>
      </c>
      <c r="AV39" s="56">
        <f>AW39+AX39</f>
      </c>
      <c r="AW39" s="56">
        <f>F39*AO39</f>
      </c>
      <c r="AX39" s="56">
        <f>F39*AP39</f>
      </c>
      <c r="AY39" s="57" t="s">
        <v>131</v>
      </c>
      <c r="AZ39" s="57" t="s">
        <v>102</v>
      </c>
      <c r="BA39" s="28" t="s">
        <v>64</v>
      </c>
      <c r="BC39" s="56">
        <f>AW39+AX39</f>
      </c>
      <c r="BD39" s="56">
        <f>G39/(100-BE39)*100</f>
      </c>
      <c r="BE39" s="56" t="n">
        <v>0</v>
      </c>
      <c r="BF39" s="56">
        <f>39</f>
      </c>
      <c r="BH39" s="56">
        <f>F39*AO39</f>
      </c>
      <c r="BI39" s="56">
        <f>F39*AP39</f>
      </c>
      <c r="BJ39" s="56">
        <f>F39*G39</f>
      </c>
      <c r="BK39" s="56"/>
      <c r="BL39" s="56" t="n">
        <v>34</v>
      </c>
      <c r="BW39" s="56" t="n">
        <v>21</v>
      </c>
      <c r="BX39" s="14" t="s">
        <v>129</v>
      </c>
    </row>
    <row r="40">
      <c r="A40" s="74"/>
      <c r="B40" s="75"/>
      <c r="C40" s="76" t="s">
        <v>132</v>
      </c>
      <c r="D40" s="77" t="s">
        <v>133</v>
      </c>
      <c r="E40" s="75"/>
      <c r="F40" s="78" t="n">
        <v>7.15</v>
      </c>
      <c r="G40" s="75"/>
      <c r="H40" s="75"/>
      <c r="I40" s="75"/>
      <c r="J40" s="75"/>
      <c r="K40" s="79"/>
    </row>
    <row r="41">
      <c r="A41" s="51" t="s">
        <v>134</v>
      </c>
      <c r="B41" s="52" t="s">
        <v>135</v>
      </c>
      <c r="C41" s="53" t="s">
        <v>136</v>
      </c>
      <c r="D41" s="52"/>
      <c r="E41" s="52" t="s">
        <v>130</v>
      </c>
      <c r="F41" s="54" t="n">
        <v>7.15</v>
      </c>
      <c r="G41" s="54" t="n">
        <v>0</v>
      </c>
      <c r="H41" s="54">
        <f>F41*AO41</f>
      </c>
      <c r="I41" s="54">
        <f>F41*AP41</f>
      </c>
      <c r="J41" s="54">
        <f>F41*G41</f>
      </c>
      <c r="K41" s="55" t="s">
        <v>100</v>
      </c>
      <c r="Z41" s="56">
        <f>IF(AQ41="5",BJ41,0)</f>
      </c>
      <c r="AB41" s="56">
        <f>IF(AQ41="1",BH41,0)</f>
      </c>
      <c r="AC41" s="56">
        <f>IF(AQ41="1",BI41,0)</f>
      </c>
      <c r="AD41" s="56">
        <f>IF(AQ41="7",BH41,0)</f>
      </c>
      <c r="AE41" s="56">
        <f>IF(AQ41="7",BI41,0)</f>
      </c>
      <c r="AF41" s="56">
        <f>IF(AQ41="2",BH41,0)</f>
      </c>
      <c r="AG41" s="56">
        <f>IF(AQ41="2",BI41,0)</f>
      </c>
      <c r="AH41" s="56">
        <f>IF(AQ41="0",BJ41,0)</f>
      </c>
      <c r="AI41" s="28" t="s">
        <v>57</v>
      </c>
      <c r="AJ41" s="56">
        <f>IF(AN41=0,J41,0)</f>
      </c>
      <c r="AK41" s="56">
        <f>IF(AN41=12,J41,0)</f>
      </c>
      <c r="AL41" s="56">
        <f>IF(AN41=21,J41,0)</f>
      </c>
      <c r="AN41" s="56" t="n">
        <v>21</v>
      </c>
      <c r="AO41" s="56">
        <f>G41*0</f>
      </c>
      <c r="AP41" s="56">
        <f>G41*(1-0)</f>
      </c>
      <c r="AQ41" s="57" t="s">
        <v>58</v>
      </c>
      <c r="AV41" s="56">
        <f>AW41+AX41</f>
      </c>
      <c r="AW41" s="56">
        <f>F41*AO41</f>
      </c>
      <c r="AX41" s="56">
        <f>F41*AP41</f>
      </c>
      <c r="AY41" s="57" t="s">
        <v>131</v>
      </c>
      <c r="AZ41" s="57" t="s">
        <v>102</v>
      </c>
      <c r="BA41" s="28" t="s">
        <v>64</v>
      </c>
      <c r="BC41" s="56">
        <f>AW41+AX41</f>
      </c>
      <c r="BD41" s="56">
        <f>G41/(100-BE41)*100</f>
      </c>
      <c r="BE41" s="56" t="n">
        <v>0</v>
      </c>
      <c r="BF41" s="56">
        <f>41</f>
      </c>
      <c r="BH41" s="56">
        <f>F41*AO41</f>
      </c>
      <c r="BI41" s="56">
        <f>F41*AP41</f>
      </c>
      <c r="BJ41" s="56">
        <f>F41*G41</f>
      </c>
      <c r="BK41" s="56"/>
      <c r="BL41" s="56" t="n">
        <v>34</v>
      </c>
      <c r="BW41" s="56" t="n">
        <v>21</v>
      </c>
      <c r="BX41" s="14" t="s">
        <v>136</v>
      </c>
    </row>
    <row r="42">
      <c r="A42" s="74"/>
      <c r="B42" s="75"/>
      <c r="C42" s="76" t="s">
        <v>132</v>
      </c>
      <c r="D42" s="77" t="s">
        <v>133</v>
      </c>
      <c r="E42" s="75"/>
      <c r="F42" s="78" t="n">
        <v>7.15</v>
      </c>
      <c r="G42" s="75"/>
      <c r="H42" s="75"/>
      <c r="I42" s="75"/>
      <c r="J42" s="75"/>
      <c r="K42" s="79"/>
    </row>
    <row r="43">
      <c r="A43" s="51" t="s">
        <v>137</v>
      </c>
      <c r="B43" s="52" t="s">
        <v>138</v>
      </c>
      <c r="C43" s="53" t="s">
        <v>139</v>
      </c>
      <c r="D43" s="52"/>
      <c r="E43" s="52" t="s">
        <v>130</v>
      </c>
      <c r="F43" s="54" t="n">
        <v>1.7</v>
      </c>
      <c r="G43" s="54" t="n">
        <v>0</v>
      </c>
      <c r="H43" s="54">
        <f>F43*AO43</f>
      </c>
      <c r="I43" s="54">
        <f>F43*AP43</f>
      </c>
      <c r="J43" s="54">
        <f>F43*G43</f>
      </c>
      <c r="K43" s="55" t="s">
        <v>100</v>
      </c>
      <c r="Z43" s="56">
        <f>IF(AQ43="5",BJ43,0)</f>
      </c>
      <c r="AB43" s="56">
        <f>IF(AQ43="1",BH43,0)</f>
      </c>
      <c r="AC43" s="56">
        <f>IF(AQ43="1",BI43,0)</f>
      </c>
      <c r="AD43" s="56">
        <f>IF(AQ43="7",BH43,0)</f>
      </c>
      <c r="AE43" s="56">
        <f>IF(AQ43="7",BI43,0)</f>
      </c>
      <c r="AF43" s="56">
        <f>IF(AQ43="2",BH43,0)</f>
      </c>
      <c r="AG43" s="56">
        <f>IF(AQ43="2",BI43,0)</f>
      </c>
      <c r="AH43" s="56">
        <f>IF(AQ43="0",BJ43,0)</f>
      </c>
      <c r="AI43" s="28" t="s">
        <v>57</v>
      </c>
      <c r="AJ43" s="56">
        <f>IF(AN43=0,J43,0)</f>
      </c>
      <c r="AK43" s="56">
        <f>IF(AN43=12,J43,0)</f>
      </c>
      <c r="AL43" s="56">
        <f>IF(AN43=21,J43,0)</f>
      </c>
      <c r="AN43" s="56" t="n">
        <v>21</v>
      </c>
      <c r="AO43" s="56">
        <f>G43*0.436718147</f>
      </c>
      <c r="AP43" s="56">
        <f>G43*(1-0.436718147)</f>
      </c>
      <c r="AQ43" s="57" t="s">
        <v>58</v>
      </c>
      <c r="AV43" s="56">
        <f>AW43+AX43</f>
      </c>
      <c r="AW43" s="56">
        <f>F43*AO43</f>
      </c>
      <c r="AX43" s="56">
        <f>F43*AP43</f>
      </c>
      <c r="AY43" s="57" t="s">
        <v>131</v>
      </c>
      <c r="AZ43" s="57" t="s">
        <v>102</v>
      </c>
      <c r="BA43" s="28" t="s">
        <v>64</v>
      </c>
      <c r="BC43" s="56">
        <f>AW43+AX43</f>
      </c>
      <c r="BD43" s="56">
        <f>G43/(100-BE43)*100</f>
      </c>
      <c r="BE43" s="56" t="n">
        <v>0</v>
      </c>
      <c r="BF43" s="56">
        <f>43</f>
      </c>
      <c r="BH43" s="56">
        <f>F43*AO43</f>
      </c>
      <c r="BI43" s="56">
        <f>F43*AP43</f>
      </c>
      <c r="BJ43" s="56">
        <f>F43*G43</f>
      </c>
      <c r="BK43" s="56"/>
      <c r="BL43" s="56" t="n">
        <v>34</v>
      </c>
      <c r="BW43" s="56" t="n">
        <v>21</v>
      </c>
      <c r="BX43" s="14" t="s">
        <v>139</v>
      </c>
    </row>
    <row r="44" customHeight="true" ht="13.5">
      <c r="A44" s="58"/>
      <c r="C44" s="59" t="s">
        <v>140</v>
      </c>
      <c r="D44" s="60"/>
      <c r="E44" s="60"/>
      <c r="F44" s="60"/>
      <c r="G44" s="60"/>
      <c r="H44" s="60"/>
      <c r="I44" s="60"/>
      <c r="J44" s="60"/>
      <c r="K44" s="61"/>
    </row>
    <row r="45">
      <c r="A45" s="68"/>
      <c r="B45" s="69"/>
      <c r="C45" s="70" t="s">
        <v>141</v>
      </c>
      <c r="D45" s="71" t="s">
        <v>142</v>
      </c>
      <c r="E45" s="69"/>
      <c r="F45" s="72" t="n">
        <v>1.7</v>
      </c>
      <c r="G45" s="69"/>
      <c r="H45" s="69"/>
      <c r="I45" s="69"/>
      <c r="J45" s="69"/>
      <c r="K45" s="73"/>
    </row>
    <row r="46">
      <c r="A46" s="51" t="s">
        <v>143</v>
      </c>
      <c r="B46" s="52" t="s">
        <v>144</v>
      </c>
      <c r="C46" s="53" t="s">
        <v>145</v>
      </c>
      <c r="D46" s="52"/>
      <c r="E46" s="52" t="s">
        <v>130</v>
      </c>
      <c r="F46" s="54" t="n">
        <v>55.1496</v>
      </c>
      <c r="G46" s="54" t="n">
        <v>0</v>
      </c>
      <c r="H46" s="54">
        <f>F46*AO46</f>
      </c>
      <c r="I46" s="54">
        <f>F46*AP46</f>
      </c>
      <c r="J46" s="54">
        <f>F46*G46</f>
      </c>
      <c r="K46" s="55" t="s">
        <v>100</v>
      </c>
      <c r="Z46" s="56">
        <f>IF(AQ46="5",BJ46,0)</f>
      </c>
      <c r="AB46" s="56">
        <f>IF(AQ46="1",BH46,0)</f>
      </c>
      <c r="AC46" s="56">
        <f>IF(AQ46="1",BI46,0)</f>
      </c>
      <c r="AD46" s="56">
        <f>IF(AQ46="7",BH46,0)</f>
      </c>
      <c r="AE46" s="56">
        <f>IF(AQ46="7",BI46,0)</f>
      </c>
      <c r="AF46" s="56">
        <f>IF(AQ46="2",BH46,0)</f>
      </c>
      <c r="AG46" s="56">
        <f>IF(AQ46="2",BI46,0)</f>
      </c>
      <c r="AH46" s="56">
        <f>IF(AQ46="0",BJ46,0)</f>
      </c>
      <c r="AI46" s="28" t="s">
        <v>57</v>
      </c>
      <c r="AJ46" s="56">
        <f>IF(AN46=0,J46,0)</f>
      </c>
      <c r="AK46" s="56">
        <f>IF(AN46=12,J46,0)</f>
      </c>
      <c r="AL46" s="56">
        <f>IF(AN46=21,J46,0)</f>
      </c>
      <c r="AN46" s="56" t="n">
        <v>21</v>
      </c>
      <c r="AO46" s="56">
        <f>G46*0.466883361</f>
      </c>
      <c r="AP46" s="56">
        <f>G46*(1-0.466883361)</f>
      </c>
      <c r="AQ46" s="57" t="s">
        <v>58</v>
      </c>
      <c r="AV46" s="56">
        <f>AW46+AX46</f>
      </c>
      <c r="AW46" s="56">
        <f>F46*AO46</f>
      </c>
      <c r="AX46" s="56">
        <f>F46*AP46</f>
      </c>
      <c r="AY46" s="57" t="s">
        <v>131</v>
      </c>
      <c r="AZ46" s="57" t="s">
        <v>102</v>
      </c>
      <c r="BA46" s="28" t="s">
        <v>64</v>
      </c>
      <c r="BC46" s="56">
        <f>AW46+AX46</f>
      </c>
      <c r="BD46" s="56">
        <f>G46/(100-BE46)*100</f>
      </c>
      <c r="BE46" s="56" t="n">
        <v>0</v>
      </c>
      <c r="BF46" s="56">
        <f>46</f>
      </c>
      <c r="BH46" s="56">
        <f>F46*AO46</f>
      </c>
      <c r="BI46" s="56">
        <f>F46*AP46</f>
      </c>
      <c r="BJ46" s="56">
        <f>F46*G46</f>
      </c>
      <c r="BK46" s="56"/>
      <c r="BL46" s="56" t="n">
        <v>34</v>
      </c>
      <c r="BW46" s="56" t="n">
        <v>21</v>
      </c>
      <c r="BX46" s="14" t="s">
        <v>145</v>
      </c>
    </row>
    <row r="47" customHeight="true" ht="13.5">
      <c r="A47" s="58"/>
      <c r="C47" s="59" t="s">
        <v>146</v>
      </c>
      <c r="D47" s="60"/>
      <c r="E47" s="60"/>
      <c r="F47" s="60"/>
      <c r="G47" s="60"/>
      <c r="H47" s="60"/>
      <c r="I47" s="60"/>
      <c r="J47" s="60"/>
      <c r="K47" s="61"/>
    </row>
    <row r="48">
      <c r="A48" s="68"/>
      <c r="B48" s="69"/>
      <c r="C48" s="70" t="s">
        <v>147</v>
      </c>
      <c r="D48" s="71" t="s">
        <v>53</v>
      </c>
      <c r="E48" s="69"/>
      <c r="F48" s="72" t="n">
        <v>17.3752</v>
      </c>
      <c r="G48" s="69"/>
      <c r="H48" s="69"/>
      <c r="I48" s="69"/>
      <c r="J48" s="69"/>
      <c r="K48" s="73"/>
    </row>
    <row r="49">
      <c r="A49" s="74"/>
      <c r="B49" s="75"/>
      <c r="C49" s="76" t="s">
        <v>148</v>
      </c>
      <c r="D49" s="77" t="s">
        <v>149</v>
      </c>
      <c r="E49" s="75"/>
      <c r="F49" s="78" t="n">
        <v>6.6624</v>
      </c>
      <c r="G49" s="75"/>
      <c r="H49" s="75"/>
      <c r="I49" s="75"/>
      <c r="J49" s="75"/>
      <c r="K49" s="79"/>
    </row>
    <row r="50">
      <c r="A50" s="74"/>
      <c r="B50" s="75"/>
      <c r="C50" s="76" t="s">
        <v>150</v>
      </c>
      <c r="D50" s="77" t="s">
        <v>151</v>
      </c>
      <c r="E50" s="75"/>
      <c r="F50" s="78" t="n">
        <v>31.112</v>
      </c>
      <c r="G50" s="75"/>
      <c r="H50" s="75"/>
      <c r="I50" s="75"/>
      <c r="J50" s="75"/>
      <c r="K50" s="79"/>
    </row>
    <row r="51" ht="60.75">
      <c r="A51" s="58"/>
      <c r="B51" s="80" t="s">
        <v>108</v>
      </c>
      <c r="C51" s="59" t="s">
        <v>152</v>
      </c>
      <c r="D51" s="60"/>
      <c r="E51" s="60"/>
      <c r="F51" s="60"/>
      <c r="G51" s="60"/>
      <c r="H51" s="60"/>
      <c r="I51" s="60"/>
      <c r="J51" s="60"/>
      <c r="K51" s="61"/>
      <c r="BX51" s="81" t="s">
        <v>152</v>
      </c>
    </row>
    <row r="52">
      <c r="A52" s="82" t="s">
        <v>153</v>
      </c>
      <c r="B52" s="83" t="s">
        <v>154</v>
      </c>
      <c r="C52" s="84" t="s">
        <v>155</v>
      </c>
      <c r="D52" s="83"/>
      <c r="E52" s="83" t="s">
        <v>130</v>
      </c>
      <c r="F52" s="85" t="n">
        <v>111.61951</v>
      </c>
      <c r="G52" s="85" t="n">
        <v>0</v>
      </c>
      <c r="H52" s="85">
        <f>F52*AO52</f>
      </c>
      <c r="I52" s="85">
        <f>F52*AP52</f>
      </c>
      <c r="J52" s="85">
        <f>F52*G52</f>
      </c>
      <c r="K52" s="86" t="s">
        <v>100</v>
      </c>
      <c r="Z52" s="56">
        <f>IF(AQ52="5",BJ52,0)</f>
      </c>
      <c r="AB52" s="56">
        <f>IF(AQ52="1",BH52,0)</f>
      </c>
      <c r="AC52" s="56">
        <f>IF(AQ52="1",BI52,0)</f>
      </c>
      <c r="AD52" s="56">
        <f>IF(AQ52="7",BH52,0)</f>
      </c>
      <c r="AE52" s="56">
        <f>IF(AQ52="7",BI52,0)</f>
      </c>
      <c r="AF52" s="56">
        <f>IF(AQ52="2",BH52,0)</f>
      </c>
      <c r="AG52" s="56">
        <f>IF(AQ52="2",BI52,0)</f>
      </c>
      <c r="AH52" s="56">
        <f>IF(AQ52="0",BJ52,0)</f>
      </c>
      <c r="AI52" s="28" t="s">
        <v>57</v>
      </c>
      <c r="AJ52" s="56">
        <f>IF(AN52=0,J52,0)</f>
      </c>
      <c r="AK52" s="56">
        <f>IF(AN52=12,J52,0)</f>
      </c>
      <c r="AL52" s="56">
        <f>IF(AN52=21,J52,0)</f>
      </c>
      <c r="AN52" s="56" t="n">
        <v>21</v>
      </c>
      <c r="AO52" s="56">
        <f>G52*0.42174911</f>
      </c>
      <c r="AP52" s="56">
        <f>G52*(1-0.42174911)</f>
      </c>
      <c r="AQ52" s="57" t="s">
        <v>58</v>
      </c>
      <c r="AV52" s="56">
        <f>AW52+AX52</f>
      </c>
      <c r="AW52" s="56">
        <f>F52*AO52</f>
      </c>
      <c r="AX52" s="56">
        <f>F52*AP52</f>
      </c>
      <c r="AY52" s="57" t="s">
        <v>131</v>
      </c>
      <c r="AZ52" s="57" t="s">
        <v>102</v>
      </c>
      <c r="BA52" s="28" t="s">
        <v>64</v>
      </c>
      <c r="BC52" s="56">
        <f>AW52+AX52</f>
      </c>
      <c r="BD52" s="56">
        <f>G52/(100-BE52)*100</f>
      </c>
      <c r="BE52" s="56" t="n">
        <v>0</v>
      </c>
      <c r="BF52" s="56">
        <f>52</f>
      </c>
      <c r="BH52" s="56">
        <f>F52*AO52</f>
      </c>
      <c r="BI52" s="56">
        <f>F52*AP52</f>
      </c>
      <c r="BJ52" s="56">
        <f>F52*G52</f>
      </c>
      <c r="BK52" s="56"/>
      <c r="BL52" s="56" t="n">
        <v>34</v>
      </c>
      <c r="BW52" s="56" t="n">
        <v>21</v>
      </c>
      <c r="BX52" s="14" t="s">
        <v>155</v>
      </c>
    </row>
    <row r="53" customHeight="true" ht="13.5">
      <c r="A53" s="58"/>
      <c r="C53" s="59" t="s">
        <v>156</v>
      </c>
      <c r="D53" s="60"/>
      <c r="E53" s="60"/>
      <c r="F53" s="60"/>
      <c r="G53" s="60"/>
      <c r="H53" s="60"/>
      <c r="I53" s="60"/>
      <c r="J53" s="60"/>
      <c r="K53" s="61"/>
    </row>
    <row r="54">
      <c r="A54" s="68"/>
      <c r="B54" s="69"/>
      <c r="C54" s="70" t="s">
        <v>157</v>
      </c>
      <c r="D54" s="71" t="s">
        <v>53</v>
      </c>
      <c r="E54" s="69"/>
      <c r="F54" s="72" t="n">
        <v>158.35885</v>
      </c>
      <c r="G54" s="69"/>
      <c r="H54" s="69"/>
      <c r="I54" s="69"/>
      <c r="J54" s="69"/>
      <c r="K54" s="73"/>
    </row>
    <row r="55">
      <c r="A55" s="74"/>
      <c r="B55" s="75"/>
      <c r="C55" s="76" t="s">
        <v>158</v>
      </c>
      <c r="D55" s="77" t="s">
        <v>159</v>
      </c>
      <c r="E55" s="75"/>
      <c r="F55" s="78" t="n">
        <v>-46.73934</v>
      </c>
      <c r="G55" s="75"/>
      <c r="H55" s="75"/>
      <c r="I55" s="75"/>
      <c r="J55" s="75"/>
      <c r="K55" s="79"/>
    </row>
    <row r="56" ht="48.75">
      <c r="A56" s="58"/>
      <c r="B56" s="80" t="s">
        <v>108</v>
      </c>
      <c r="C56" s="59" t="s">
        <v>160</v>
      </c>
      <c r="D56" s="60"/>
      <c r="E56" s="60"/>
      <c r="F56" s="60"/>
      <c r="G56" s="60"/>
      <c r="H56" s="60"/>
      <c r="I56" s="60"/>
      <c r="J56" s="60"/>
      <c r="K56" s="61"/>
      <c r="BX56" s="81" t="s">
        <v>160</v>
      </c>
    </row>
    <row r="57">
      <c r="A57" s="82" t="s">
        <v>161</v>
      </c>
      <c r="B57" s="83" t="s">
        <v>162</v>
      </c>
      <c r="C57" s="84" t="s">
        <v>163</v>
      </c>
      <c r="D57" s="83"/>
      <c r="E57" s="83" t="s">
        <v>130</v>
      </c>
      <c r="F57" s="85" t="n">
        <v>65.20954</v>
      </c>
      <c r="G57" s="85" t="n">
        <v>0</v>
      </c>
      <c r="H57" s="85">
        <f>F57*AO57</f>
      </c>
      <c r="I57" s="85">
        <f>F57*AP57</f>
      </c>
      <c r="J57" s="85">
        <f>F57*G57</f>
      </c>
      <c r="K57" s="86" t="s">
        <v>100</v>
      </c>
      <c r="Z57" s="56">
        <f>IF(AQ57="5",BJ57,0)</f>
      </c>
      <c r="AB57" s="56">
        <f>IF(AQ57="1",BH57,0)</f>
      </c>
      <c r="AC57" s="56">
        <f>IF(AQ57="1",BI57,0)</f>
      </c>
      <c r="AD57" s="56">
        <f>IF(AQ57="7",BH57,0)</f>
      </c>
      <c r="AE57" s="56">
        <f>IF(AQ57="7",BI57,0)</f>
      </c>
      <c r="AF57" s="56">
        <f>IF(AQ57="2",BH57,0)</f>
      </c>
      <c r="AG57" s="56">
        <f>IF(AQ57="2",BI57,0)</f>
      </c>
      <c r="AH57" s="56">
        <f>IF(AQ57="0",BJ57,0)</f>
      </c>
      <c r="AI57" s="28" t="s">
        <v>57</v>
      </c>
      <c r="AJ57" s="56">
        <f>IF(AN57=0,J57,0)</f>
      </c>
      <c r="AK57" s="56">
        <f>IF(AN57=12,J57,0)</f>
      </c>
      <c r="AL57" s="56">
        <f>IF(AN57=21,J57,0)</f>
      </c>
      <c r="AN57" s="56" t="n">
        <v>21</v>
      </c>
      <c r="AO57" s="56">
        <f>G57*0.459994457</f>
      </c>
      <c r="AP57" s="56">
        <f>G57*(1-0.459994457)</f>
      </c>
      <c r="AQ57" s="57" t="s">
        <v>58</v>
      </c>
      <c r="AV57" s="56">
        <f>AW57+AX57</f>
      </c>
      <c r="AW57" s="56">
        <f>F57*AO57</f>
      </c>
      <c r="AX57" s="56">
        <f>F57*AP57</f>
      </c>
      <c r="AY57" s="57" t="s">
        <v>131</v>
      </c>
      <c r="AZ57" s="57" t="s">
        <v>102</v>
      </c>
      <c r="BA57" s="28" t="s">
        <v>64</v>
      </c>
      <c r="BC57" s="56">
        <f>AW57+AX57</f>
      </c>
      <c r="BD57" s="56">
        <f>G57/(100-BE57)*100</f>
      </c>
      <c r="BE57" s="56" t="n">
        <v>0</v>
      </c>
      <c r="BF57" s="56">
        <f>57</f>
      </c>
      <c r="BH57" s="56">
        <f>F57*AO57</f>
      </c>
      <c r="BI57" s="56">
        <f>F57*AP57</f>
      </c>
      <c r="BJ57" s="56">
        <f>F57*G57</f>
      </c>
      <c r="BK57" s="56"/>
      <c r="BL57" s="56" t="n">
        <v>34</v>
      </c>
      <c r="BW57" s="56" t="n">
        <v>21</v>
      </c>
      <c r="BX57" s="14" t="s">
        <v>163</v>
      </c>
    </row>
    <row r="58" customHeight="true" ht="13.5">
      <c r="A58" s="58"/>
      <c r="C58" s="59" t="s">
        <v>146</v>
      </c>
      <c r="D58" s="60"/>
      <c r="E58" s="60"/>
      <c r="F58" s="60"/>
      <c r="G58" s="60"/>
      <c r="H58" s="60"/>
      <c r="I58" s="60"/>
      <c r="J58" s="60"/>
      <c r="K58" s="61"/>
    </row>
    <row r="59">
      <c r="A59" s="68"/>
      <c r="B59" s="69"/>
      <c r="C59" s="70" t="s">
        <v>164</v>
      </c>
      <c r="D59" s="71" t="s">
        <v>53</v>
      </c>
      <c r="E59" s="69"/>
      <c r="F59" s="72" t="n">
        <v>43.264</v>
      </c>
      <c r="G59" s="69"/>
      <c r="H59" s="69"/>
      <c r="I59" s="69"/>
      <c r="J59" s="69"/>
      <c r="K59" s="73"/>
    </row>
    <row r="60">
      <c r="A60" s="74"/>
      <c r="B60" s="75"/>
      <c r="C60" s="76" t="s">
        <v>165</v>
      </c>
      <c r="D60" s="77" t="s">
        <v>166</v>
      </c>
      <c r="E60" s="75"/>
      <c r="F60" s="78" t="n">
        <v>7.32864</v>
      </c>
      <c r="G60" s="75"/>
      <c r="H60" s="75"/>
      <c r="I60" s="75"/>
      <c r="J60" s="75"/>
      <c r="K60" s="79"/>
    </row>
    <row r="61">
      <c r="A61" s="74"/>
      <c r="B61" s="75"/>
      <c r="C61" s="76" t="s">
        <v>167</v>
      </c>
      <c r="D61" s="77" t="s">
        <v>168</v>
      </c>
      <c r="E61" s="75"/>
      <c r="F61" s="78" t="n">
        <v>14.6169</v>
      </c>
      <c r="G61" s="75"/>
      <c r="H61" s="75"/>
      <c r="I61" s="75"/>
      <c r="J61" s="75"/>
      <c r="K61" s="79"/>
    </row>
    <row r="62" ht="48.75">
      <c r="A62" s="58"/>
      <c r="B62" s="80" t="s">
        <v>108</v>
      </c>
      <c r="C62" s="59" t="s">
        <v>169</v>
      </c>
      <c r="D62" s="60"/>
      <c r="E62" s="60"/>
      <c r="F62" s="60"/>
      <c r="G62" s="60"/>
      <c r="H62" s="60"/>
      <c r="I62" s="60"/>
      <c r="J62" s="60"/>
      <c r="K62" s="61"/>
      <c r="BX62" s="81" t="s">
        <v>169</v>
      </c>
    </row>
    <row r="63">
      <c r="A63" s="82" t="s">
        <v>170</v>
      </c>
      <c r="B63" s="83" t="s">
        <v>171</v>
      </c>
      <c r="C63" s="84" t="s">
        <v>172</v>
      </c>
      <c r="D63" s="83"/>
      <c r="E63" s="83" t="s">
        <v>130</v>
      </c>
      <c r="F63" s="85" t="n">
        <v>231.97865</v>
      </c>
      <c r="G63" s="85" t="n">
        <v>0</v>
      </c>
      <c r="H63" s="85">
        <f>F63*AO63</f>
      </c>
      <c r="I63" s="85">
        <f>F63*AP63</f>
      </c>
      <c r="J63" s="85">
        <f>F63*G63</f>
      </c>
      <c r="K63" s="86" t="s">
        <v>100</v>
      </c>
      <c r="Z63" s="56">
        <f>IF(AQ63="5",BJ63,0)</f>
      </c>
      <c r="AB63" s="56">
        <f>IF(AQ63="1",BH63,0)</f>
      </c>
      <c r="AC63" s="56">
        <f>IF(AQ63="1",BI63,0)</f>
      </c>
      <c r="AD63" s="56">
        <f>IF(AQ63="7",BH63,0)</f>
      </c>
      <c r="AE63" s="56">
        <f>IF(AQ63="7",BI63,0)</f>
      </c>
      <c r="AF63" s="56">
        <f>IF(AQ63="2",BH63,0)</f>
      </c>
      <c r="AG63" s="56">
        <f>IF(AQ63="2",BI63,0)</f>
      </c>
      <c r="AH63" s="56">
        <f>IF(AQ63="0",BJ63,0)</f>
      </c>
      <c r="AI63" s="28" t="s">
        <v>57</v>
      </c>
      <c r="AJ63" s="56">
        <f>IF(AN63=0,J63,0)</f>
      </c>
      <c r="AK63" s="56">
        <f>IF(AN63=12,J63,0)</f>
      </c>
      <c r="AL63" s="56">
        <f>IF(AN63=21,J63,0)</f>
      </c>
      <c r="AN63" s="56" t="n">
        <v>21</v>
      </c>
      <c r="AO63" s="56">
        <f>G63*0.75344427</f>
      </c>
      <c r="AP63" s="56">
        <f>G63*(1-0.75344427)</f>
      </c>
      <c r="AQ63" s="57" t="s">
        <v>58</v>
      </c>
      <c r="AV63" s="56">
        <f>AW63+AX63</f>
      </c>
      <c r="AW63" s="56">
        <f>F63*AO63</f>
      </c>
      <c r="AX63" s="56">
        <f>F63*AP63</f>
      </c>
      <c r="AY63" s="57" t="s">
        <v>131</v>
      </c>
      <c r="AZ63" s="57" t="s">
        <v>102</v>
      </c>
      <c r="BA63" s="28" t="s">
        <v>64</v>
      </c>
      <c r="BC63" s="56">
        <f>AW63+AX63</f>
      </c>
      <c r="BD63" s="56">
        <f>G63/(100-BE63)*100</f>
      </c>
      <c r="BE63" s="56" t="n">
        <v>0</v>
      </c>
      <c r="BF63" s="56">
        <f>63</f>
      </c>
      <c r="BH63" s="56">
        <f>F63*AO63</f>
      </c>
      <c r="BI63" s="56">
        <f>F63*AP63</f>
      </c>
      <c r="BJ63" s="56">
        <f>F63*G63</f>
      </c>
      <c r="BK63" s="56"/>
      <c r="BL63" s="56" t="n">
        <v>34</v>
      </c>
      <c r="BW63" s="56" t="n">
        <v>21</v>
      </c>
      <c r="BX63" s="14" t="s">
        <v>172</v>
      </c>
    </row>
    <row r="64">
      <c r="A64" s="74"/>
      <c r="B64" s="75"/>
      <c r="C64" s="76" t="s">
        <v>173</v>
      </c>
      <c r="D64" s="77" t="s">
        <v>53</v>
      </c>
      <c r="E64" s="75"/>
      <c r="F64" s="78" t="n">
        <v>55.1496</v>
      </c>
      <c r="G64" s="75"/>
      <c r="H64" s="75"/>
      <c r="I64" s="75"/>
      <c r="J64" s="75"/>
      <c r="K64" s="79"/>
    </row>
    <row r="65">
      <c r="A65" s="74"/>
      <c r="B65" s="75"/>
      <c r="C65" s="76" t="s">
        <v>174</v>
      </c>
      <c r="D65" s="77" t="s">
        <v>53</v>
      </c>
      <c r="E65" s="75"/>
      <c r="F65" s="78" t="n">
        <v>111.61951</v>
      </c>
      <c r="G65" s="75"/>
      <c r="H65" s="75"/>
      <c r="I65" s="75"/>
      <c r="J65" s="75"/>
      <c r="K65" s="79"/>
    </row>
    <row r="66">
      <c r="A66" s="74"/>
      <c r="B66" s="75"/>
      <c r="C66" s="76" t="s">
        <v>175</v>
      </c>
      <c r="D66" s="77" t="s">
        <v>53</v>
      </c>
      <c r="E66" s="75"/>
      <c r="F66" s="78" t="n">
        <v>65.20954</v>
      </c>
      <c r="G66" s="75"/>
      <c r="H66" s="75"/>
      <c r="I66" s="75"/>
      <c r="J66" s="75"/>
      <c r="K66" s="79"/>
    </row>
    <row r="67" ht="24.75">
      <c r="A67" s="58"/>
      <c r="B67" s="80" t="s">
        <v>108</v>
      </c>
      <c r="C67" s="59" t="s">
        <v>176</v>
      </c>
      <c r="D67" s="60"/>
      <c r="E67" s="60"/>
      <c r="F67" s="60"/>
      <c r="G67" s="60"/>
      <c r="H67" s="60"/>
      <c r="I67" s="60"/>
      <c r="J67" s="60"/>
      <c r="K67" s="61"/>
      <c r="BX67" s="81" t="s">
        <v>176</v>
      </c>
    </row>
    <row r="68">
      <c r="A68" s="82" t="s">
        <v>177</v>
      </c>
      <c r="B68" s="83" t="s">
        <v>178</v>
      </c>
      <c r="C68" s="84" t="s">
        <v>179</v>
      </c>
      <c r="D68" s="83"/>
      <c r="E68" s="83" t="s">
        <v>180</v>
      </c>
      <c r="F68" s="85" t="n">
        <v>24</v>
      </c>
      <c r="G68" s="85" t="n">
        <v>0</v>
      </c>
      <c r="H68" s="85">
        <f>F68*AO68</f>
      </c>
      <c r="I68" s="85">
        <f>F68*AP68</f>
      </c>
      <c r="J68" s="85">
        <f>F68*G68</f>
      </c>
      <c r="K68" s="86" t="s">
        <v>100</v>
      </c>
      <c r="Z68" s="56">
        <f>IF(AQ68="5",BJ68,0)</f>
      </c>
      <c r="AB68" s="56">
        <f>IF(AQ68="1",BH68,0)</f>
      </c>
      <c r="AC68" s="56">
        <f>IF(AQ68="1",BI68,0)</f>
      </c>
      <c r="AD68" s="56">
        <f>IF(AQ68="7",BH68,0)</f>
      </c>
      <c r="AE68" s="56">
        <f>IF(AQ68="7",BI68,0)</f>
      </c>
      <c r="AF68" s="56">
        <f>IF(AQ68="2",BH68,0)</f>
      </c>
      <c r="AG68" s="56">
        <f>IF(AQ68="2",BI68,0)</f>
      </c>
      <c r="AH68" s="56">
        <f>IF(AQ68="0",BJ68,0)</f>
      </c>
      <c r="AI68" s="28" t="s">
        <v>57</v>
      </c>
      <c r="AJ68" s="56">
        <f>IF(AN68=0,J68,0)</f>
      </c>
      <c r="AK68" s="56">
        <f>IF(AN68=12,J68,0)</f>
      </c>
      <c r="AL68" s="56">
        <f>IF(AN68=21,J68,0)</f>
      </c>
      <c r="AN68" s="56" t="n">
        <v>21</v>
      </c>
      <c r="AO68" s="56">
        <f>G68*0</f>
      </c>
      <c r="AP68" s="56">
        <f>G68*(1-0)</f>
      </c>
      <c r="AQ68" s="57" t="s">
        <v>58</v>
      </c>
      <c r="AV68" s="56">
        <f>AW68+AX68</f>
      </c>
      <c r="AW68" s="56">
        <f>F68*AO68</f>
      </c>
      <c r="AX68" s="56">
        <f>F68*AP68</f>
      </c>
      <c r="AY68" s="57" t="s">
        <v>131</v>
      </c>
      <c r="AZ68" s="57" t="s">
        <v>102</v>
      </c>
      <c r="BA68" s="28" t="s">
        <v>64</v>
      </c>
      <c r="BC68" s="56">
        <f>AW68+AX68</f>
      </c>
      <c r="BD68" s="56">
        <f>G68/(100-BE68)*100</f>
      </c>
      <c r="BE68" s="56" t="n">
        <v>0</v>
      </c>
      <c r="BF68" s="56">
        <f>68</f>
      </c>
      <c r="BH68" s="56">
        <f>F68*AO68</f>
      </c>
      <c r="BI68" s="56">
        <f>F68*AP68</f>
      </c>
      <c r="BJ68" s="56">
        <f>F68*G68</f>
      </c>
      <c r="BK68" s="56"/>
      <c r="BL68" s="56" t="n">
        <v>34</v>
      </c>
      <c r="BW68" s="56" t="n">
        <v>21</v>
      </c>
      <c r="BX68" s="14" t="s">
        <v>179</v>
      </c>
    </row>
    <row r="69">
      <c r="A69" s="74"/>
      <c r="B69" s="75"/>
      <c r="C69" s="76" t="s">
        <v>181</v>
      </c>
      <c r="D69" s="77" t="s">
        <v>53</v>
      </c>
      <c r="E69" s="75"/>
      <c r="F69" s="78" t="n">
        <v>24</v>
      </c>
      <c r="G69" s="75"/>
      <c r="H69" s="75"/>
      <c r="I69" s="75"/>
      <c r="J69" s="75"/>
      <c r="K69" s="79"/>
    </row>
    <row r="70" ht="24.75">
      <c r="A70" s="58"/>
      <c r="B70" s="80" t="s">
        <v>108</v>
      </c>
      <c r="C70" s="59" t="s">
        <v>182</v>
      </c>
      <c r="D70" s="60"/>
      <c r="E70" s="60"/>
      <c r="F70" s="60"/>
      <c r="G70" s="60"/>
      <c r="H70" s="60"/>
      <c r="I70" s="60"/>
      <c r="J70" s="60"/>
      <c r="K70" s="61"/>
      <c r="BX70" s="81" t="s">
        <v>182</v>
      </c>
    </row>
    <row r="71">
      <c r="A71" s="82" t="s">
        <v>183</v>
      </c>
      <c r="B71" s="83" t="s">
        <v>184</v>
      </c>
      <c r="C71" s="84" t="s">
        <v>185</v>
      </c>
      <c r="D71" s="83"/>
      <c r="E71" s="83" t="s">
        <v>130</v>
      </c>
      <c r="F71" s="85" t="n">
        <v>27.771</v>
      </c>
      <c r="G71" s="85" t="n">
        <v>0</v>
      </c>
      <c r="H71" s="85">
        <f>F71*AO71</f>
      </c>
      <c r="I71" s="85">
        <f>F71*AP71</f>
      </c>
      <c r="J71" s="85">
        <f>F71*G71</f>
      </c>
      <c r="K71" s="86" t="s">
        <v>100</v>
      </c>
      <c r="Z71" s="56">
        <f>IF(AQ71="5",BJ71,0)</f>
      </c>
      <c r="AB71" s="56">
        <f>IF(AQ71="1",BH71,0)</f>
      </c>
      <c r="AC71" s="56">
        <f>IF(AQ71="1",BI71,0)</f>
      </c>
      <c r="AD71" s="56">
        <f>IF(AQ71="7",BH71,0)</f>
      </c>
      <c r="AE71" s="56">
        <f>IF(AQ71="7",BI71,0)</f>
      </c>
      <c r="AF71" s="56">
        <f>IF(AQ71="2",BH71,0)</f>
      </c>
      <c r="AG71" s="56">
        <f>IF(AQ71="2",BI71,0)</f>
      </c>
      <c r="AH71" s="56">
        <f>IF(AQ71="0",BJ71,0)</f>
      </c>
      <c r="AI71" s="28" t="s">
        <v>57</v>
      </c>
      <c r="AJ71" s="56">
        <f>IF(AN71=0,J71,0)</f>
      </c>
      <c r="AK71" s="56">
        <f>IF(AN71=12,J71,0)</f>
      </c>
      <c r="AL71" s="56">
        <f>IF(AN71=21,J71,0)</f>
      </c>
      <c r="AN71" s="56" t="n">
        <v>21</v>
      </c>
      <c r="AO71" s="56">
        <f>G71*0.360156968</f>
      </c>
      <c r="AP71" s="56">
        <f>G71*(1-0.360156968)</f>
      </c>
      <c r="AQ71" s="57" t="s">
        <v>58</v>
      </c>
      <c r="AV71" s="56">
        <f>AW71+AX71</f>
      </c>
      <c r="AW71" s="56">
        <f>F71*AO71</f>
      </c>
      <c r="AX71" s="56">
        <f>F71*AP71</f>
      </c>
      <c r="AY71" s="57" t="s">
        <v>131</v>
      </c>
      <c r="AZ71" s="57" t="s">
        <v>102</v>
      </c>
      <c r="BA71" s="28" t="s">
        <v>64</v>
      </c>
      <c r="BC71" s="56">
        <f>AW71+AX71</f>
      </c>
      <c r="BD71" s="56">
        <f>G71/(100-BE71)*100</f>
      </c>
      <c r="BE71" s="56" t="n">
        <v>0</v>
      </c>
      <c r="BF71" s="56">
        <f>71</f>
      </c>
      <c r="BH71" s="56">
        <f>F71*AO71</f>
      </c>
      <c r="BI71" s="56">
        <f>F71*AP71</f>
      </c>
      <c r="BJ71" s="56">
        <f>F71*G71</f>
      </c>
      <c r="BK71" s="56"/>
      <c r="BL71" s="56" t="n">
        <v>34</v>
      </c>
      <c r="BW71" s="56" t="n">
        <v>21</v>
      </c>
      <c r="BX71" s="14" t="s">
        <v>185</v>
      </c>
    </row>
    <row r="72" customHeight="true" ht="13.5">
      <c r="A72" s="58"/>
      <c r="C72" s="59" t="s">
        <v>186</v>
      </c>
      <c r="D72" s="60"/>
      <c r="E72" s="60"/>
      <c r="F72" s="60"/>
      <c r="G72" s="60"/>
      <c r="H72" s="60"/>
      <c r="I72" s="60"/>
      <c r="J72" s="60"/>
      <c r="K72" s="61"/>
    </row>
    <row r="73">
      <c r="A73" s="68"/>
      <c r="B73" s="69"/>
      <c r="C73" s="70" t="s">
        <v>187</v>
      </c>
      <c r="D73" s="71" t="s">
        <v>188</v>
      </c>
      <c r="E73" s="69"/>
      <c r="F73" s="72" t="n">
        <v>23.095</v>
      </c>
      <c r="G73" s="69"/>
      <c r="H73" s="69"/>
      <c r="I73" s="69"/>
      <c r="J73" s="69"/>
      <c r="K73" s="73"/>
    </row>
    <row r="74">
      <c r="A74" s="74"/>
      <c r="B74" s="75"/>
      <c r="C74" s="76" t="s">
        <v>189</v>
      </c>
      <c r="D74" s="77" t="s">
        <v>190</v>
      </c>
      <c r="E74" s="75"/>
      <c r="F74" s="78" t="n">
        <v>4.676</v>
      </c>
      <c r="G74" s="75"/>
      <c r="H74" s="75"/>
      <c r="I74" s="75"/>
      <c r="J74" s="75"/>
      <c r="K74" s="79"/>
    </row>
    <row r="75" ht="24.75">
      <c r="A75" s="58"/>
      <c r="B75" s="80" t="s">
        <v>108</v>
      </c>
      <c r="C75" s="59" t="s">
        <v>191</v>
      </c>
      <c r="D75" s="60"/>
      <c r="E75" s="60"/>
      <c r="F75" s="60"/>
      <c r="G75" s="60"/>
      <c r="H75" s="60"/>
      <c r="I75" s="60"/>
      <c r="J75" s="60"/>
      <c r="K75" s="61"/>
      <c r="BX75" s="81" t="s">
        <v>191</v>
      </c>
    </row>
    <row r="76">
      <c r="A76" s="82" t="s">
        <v>192</v>
      </c>
      <c r="B76" s="83" t="s">
        <v>193</v>
      </c>
      <c r="C76" s="84" t="s">
        <v>194</v>
      </c>
      <c r="D76" s="83"/>
      <c r="E76" s="83" t="s">
        <v>130</v>
      </c>
      <c r="F76" s="85" t="n">
        <v>51.2666</v>
      </c>
      <c r="G76" s="85" t="n">
        <v>0</v>
      </c>
      <c r="H76" s="85">
        <f>F76*AO76</f>
      </c>
      <c r="I76" s="85">
        <f>F76*AP76</f>
      </c>
      <c r="J76" s="85">
        <f>F76*G76</f>
      </c>
      <c r="K76" s="86" t="s">
        <v>100</v>
      </c>
      <c r="Z76" s="56">
        <f>IF(AQ76="5",BJ76,0)</f>
      </c>
      <c r="AB76" s="56">
        <f>IF(AQ76="1",BH76,0)</f>
      </c>
      <c r="AC76" s="56">
        <f>IF(AQ76="1",BI76,0)</f>
      </c>
      <c r="AD76" s="56">
        <f>IF(AQ76="7",BH76,0)</f>
      </c>
      <c r="AE76" s="56">
        <f>IF(AQ76="7",BI76,0)</f>
      </c>
      <c r="AF76" s="56">
        <f>IF(AQ76="2",BH76,0)</f>
      </c>
      <c r="AG76" s="56">
        <f>IF(AQ76="2",BI76,0)</f>
      </c>
      <c r="AH76" s="56">
        <f>IF(AQ76="0",BJ76,0)</f>
      </c>
      <c r="AI76" s="28" t="s">
        <v>57</v>
      </c>
      <c r="AJ76" s="56">
        <f>IF(AN76=0,J76,0)</f>
      </c>
      <c r="AK76" s="56">
        <f>IF(AN76=12,J76,0)</f>
      </c>
      <c r="AL76" s="56">
        <f>IF(AN76=21,J76,0)</f>
      </c>
      <c r="AN76" s="56" t="n">
        <v>21</v>
      </c>
      <c r="AO76" s="56">
        <f>G76*0.624172883</f>
      </c>
      <c r="AP76" s="56">
        <f>G76*(1-0.624172883)</f>
      </c>
      <c r="AQ76" s="57" t="s">
        <v>58</v>
      </c>
      <c r="AV76" s="56">
        <f>AW76+AX76</f>
      </c>
      <c r="AW76" s="56">
        <f>F76*AO76</f>
      </c>
      <c r="AX76" s="56">
        <f>F76*AP76</f>
      </c>
      <c r="AY76" s="57" t="s">
        <v>131</v>
      </c>
      <c r="AZ76" s="57" t="s">
        <v>102</v>
      </c>
      <c r="BA76" s="28" t="s">
        <v>64</v>
      </c>
      <c r="BC76" s="56">
        <f>AW76+AX76</f>
      </c>
      <c r="BD76" s="56">
        <f>G76/(100-BE76)*100</f>
      </c>
      <c r="BE76" s="56" t="n">
        <v>0</v>
      </c>
      <c r="BF76" s="56">
        <f>76</f>
      </c>
      <c r="BH76" s="56">
        <f>F76*AO76</f>
      </c>
      <c r="BI76" s="56">
        <f>F76*AP76</f>
      </c>
      <c r="BJ76" s="56">
        <f>F76*G76</f>
      </c>
      <c r="BK76" s="56"/>
      <c r="BL76" s="56" t="n">
        <v>34</v>
      </c>
      <c r="BW76" s="56" t="n">
        <v>21</v>
      </c>
      <c r="BX76" s="14" t="s">
        <v>194</v>
      </c>
    </row>
    <row r="77" customHeight="true" ht="13.5">
      <c r="A77" s="58"/>
      <c r="C77" s="59" t="s">
        <v>195</v>
      </c>
      <c r="D77" s="60"/>
      <c r="E77" s="60"/>
      <c r="F77" s="60"/>
      <c r="G77" s="60"/>
      <c r="H77" s="60"/>
      <c r="I77" s="60"/>
      <c r="J77" s="60"/>
      <c r="K77" s="61"/>
    </row>
    <row r="78">
      <c r="A78" s="68"/>
      <c r="B78" s="69"/>
      <c r="C78" s="70" t="s">
        <v>196</v>
      </c>
      <c r="D78" s="71" t="s">
        <v>197</v>
      </c>
      <c r="E78" s="69"/>
      <c r="F78" s="72" t="n">
        <v>36.64</v>
      </c>
      <c r="G78" s="69"/>
      <c r="H78" s="69"/>
      <c r="I78" s="69"/>
      <c r="J78" s="69"/>
      <c r="K78" s="73"/>
    </row>
    <row r="79">
      <c r="A79" s="74"/>
      <c r="B79" s="75"/>
      <c r="C79" s="76" t="s">
        <v>198</v>
      </c>
      <c r="D79" s="77" t="s">
        <v>199</v>
      </c>
      <c r="E79" s="75"/>
      <c r="F79" s="78" t="n">
        <v>7.2186</v>
      </c>
      <c r="G79" s="75"/>
      <c r="H79" s="75"/>
      <c r="I79" s="75"/>
      <c r="J79" s="75"/>
      <c r="K79" s="79"/>
    </row>
    <row r="80">
      <c r="A80" s="74"/>
      <c r="B80" s="75"/>
      <c r="C80" s="76" t="s">
        <v>200</v>
      </c>
      <c r="D80" s="77" t="s">
        <v>201</v>
      </c>
      <c r="E80" s="75"/>
      <c r="F80" s="78" t="n">
        <v>14.408</v>
      </c>
      <c r="G80" s="75"/>
      <c r="H80" s="75"/>
      <c r="I80" s="75"/>
      <c r="J80" s="75"/>
      <c r="K80" s="79"/>
    </row>
    <row r="81">
      <c r="A81" s="74"/>
      <c r="B81" s="75"/>
      <c r="C81" s="76" t="s">
        <v>202</v>
      </c>
      <c r="D81" s="77" t="s">
        <v>203</v>
      </c>
      <c r="E81" s="75"/>
      <c r="F81" s="78" t="n">
        <v>-7</v>
      </c>
      <c r="G81" s="75"/>
      <c r="H81" s="75"/>
      <c r="I81" s="75"/>
      <c r="J81" s="75"/>
      <c r="K81" s="79"/>
    </row>
    <row r="82" ht="24.75">
      <c r="A82" s="58"/>
      <c r="B82" s="80" t="s">
        <v>108</v>
      </c>
      <c r="C82" s="59" t="s">
        <v>204</v>
      </c>
      <c r="D82" s="60"/>
      <c r="E82" s="60"/>
      <c r="F82" s="60"/>
      <c r="G82" s="60"/>
      <c r="H82" s="60"/>
      <c r="I82" s="60"/>
      <c r="J82" s="60"/>
      <c r="K82" s="61"/>
      <c r="BX82" s="81" t="s">
        <v>204</v>
      </c>
    </row>
    <row r="83">
      <c r="A83" s="82" t="s">
        <v>205</v>
      </c>
      <c r="B83" s="83" t="s">
        <v>206</v>
      </c>
      <c r="C83" s="84" t="s">
        <v>207</v>
      </c>
      <c r="D83" s="83"/>
      <c r="E83" s="83" t="s">
        <v>180</v>
      </c>
      <c r="F83" s="85" t="n">
        <v>1</v>
      </c>
      <c r="G83" s="85" t="n">
        <v>0</v>
      </c>
      <c r="H83" s="85">
        <f>F83*AO83</f>
      </c>
      <c r="I83" s="85">
        <f>F83*AP83</f>
      </c>
      <c r="J83" s="85">
        <f>F83*G83</f>
      </c>
      <c r="K83" s="86" t="s">
        <v>100</v>
      </c>
      <c r="Z83" s="56">
        <f>IF(AQ83="5",BJ83,0)</f>
      </c>
      <c r="AB83" s="56">
        <f>IF(AQ83="1",BH83,0)</f>
      </c>
      <c r="AC83" s="56">
        <f>IF(AQ83="1",BI83,0)</f>
      </c>
      <c r="AD83" s="56">
        <f>IF(AQ83="7",BH83,0)</f>
      </c>
      <c r="AE83" s="56">
        <f>IF(AQ83="7",BI83,0)</f>
      </c>
      <c r="AF83" s="56">
        <f>IF(AQ83="2",BH83,0)</f>
      </c>
      <c r="AG83" s="56">
        <f>IF(AQ83="2",BI83,0)</f>
      </c>
      <c r="AH83" s="56">
        <f>IF(AQ83="0",BJ83,0)</f>
      </c>
      <c r="AI83" s="28" t="s">
        <v>57</v>
      </c>
      <c r="AJ83" s="56">
        <f>IF(AN83=0,J83,0)</f>
      </c>
      <c r="AK83" s="56">
        <f>IF(AN83=12,J83,0)</f>
      </c>
      <c r="AL83" s="56">
        <f>IF(AN83=21,J83,0)</f>
      </c>
      <c r="AN83" s="56" t="n">
        <v>21</v>
      </c>
      <c r="AO83" s="56">
        <f>G83*0.334010695</f>
      </c>
      <c r="AP83" s="56">
        <f>G83*(1-0.334010695)</f>
      </c>
      <c r="AQ83" s="57" t="s">
        <v>58</v>
      </c>
      <c r="AV83" s="56">
        <f>AW83+AX83</f>
      </c>
      <c r="AW83" s="56">
        <f>F83*AO83</f>
      </c>
      <c r="AX83" s="56">
        <f>F83*AP83</f>
      </c>
      <c r="AY83" s="57" t="s">
        <v>131</v>
      </c>
      <c r="AZ83" s="57" t="s">
        <v>102</v>
      </c>
      <c r="BA83" s="28" t="s">
        <v>64</v>
      </c>
      <c r="BC83" s="56">
        <f>AW83+AX83</f>
      </c>
      <c r="BD83" s="56">
        <f>G83/(100-BE83)*100</f>
      </c>
      <c r="BE83" s="56" t="n">
        <v>0</v>
      </c>
      <c r="BF83" s="56">
        <f>83</f>
      </c>
      <c r="BH83" s="56">
        <f>F83*AO83</f>
      </c>
      <c r="BI83" s="56">
        <f>F83*AP83</f>
      </c>
      <c r="BJ83" s="56">
        <f>F83*G83</f>
      </c>
      <c r="BK83" s="56"/>
      <c r="BL83" s="56" t="n">
        <v>34</v>
      </c>
      <c r="BW83" s="56" t="n">
        <v>21</v>
      </c>
      <c r="BX83" s="14" t="s">
        <v>207</v>
      </c>
    </row>
    <row r="84">
      <c r="A84" s="74"/>
      <c r="B84" s="75"/>
      <c r="C84" s="76" t="s">
        <v>58</v>
      </c>
      <c r="D84" s="77" t="s">
        <v>53</v>
      </c>
      <c r="E84" s="75"/>
      <c r="F84" s="78" t="n">
        <v>1</v>
      </c>
      <c r="G84" s="75"/>
      <c r="H84" s="75"/>
      <c r="I84" s="75"/>
      <c r="J84" s="75"/>
      <c r="K84" s="79"/>
    </row>
    <row r="85">
      <c r="A85" s="51" t="s">
        <v>208</v>
      </c>
      <c r="B85" s="52" t="s">
        <v>209</v>
      </c>
      <c r="C85" s="53" t="s">
        <v>210</v>
      </c>
      <c r="D85" s="52"/>
      <c r="E85" s="52" t="s">
        <v>180</v>
      </c>
      <c r="F85" s="54" t="n">
        <v>4</v>
      </c>
      <c r="G85" s="54" t="n">
        <v>0</v>
      </c>
      <c r="H85" s="54">
        <f>F85*AO85</f>
      </c>
      <c r="I85" s="54">
        <f>F85*AP85</f>
      </c>
      <c r="J85" s="54">
        <f>F85*G85</f>
      </c>
      <c r="K85" s="55" t="s">
        <v>100</v>
      </c>
      <c r="Z85" s="56">
        <f>IF(AQ85="5",BJ85,0)</f>
      </c>
      <c r="AB85" s="56">
        <f>IF(AQ85="1",BH85,0)</f>
      </c>
      <c r="AC85" s="56">
        <f>IF(AQ85="1",BI85,0)</f>
      </c>
      <c r="AD85" s="56">
        <f>IF(AQ85="7",BH85,0)</f>
      </c>
      <c r="AE85" s="56">
        <f>IF(AQ85="7",BI85,0)</f>
      </c>
      <c r="AF85" s="56">
        <f>IF(AQ85="2",BH85,0)</f>
      </c>
      <c r="AG85" s="56">
        <f>IF(AQ85="2",BI85,0)</f>
      </c>
      <c r="AH85" s="56">
        <f>IF(AQ85="0",BJ85,0)</f>
      </c>
      <c r="AI85" s="28" t="s">
        <v>57</v>
      </c>
      <c r="AJ85" s="56">
        <f>IF(AN85=0,J85,0)</f>
      </c>
      <c r="AK85" s="56">
        <f>IF(AN85=12,J85,0)</f>
      </c>
      <c r="AL85" s="56">
        <f>IF(AN85=21,J85,0)</f>
      </c>
      <c r="AN85" s="56" t="n">
        <v>21</v>
      </c>
      <c r="AO85" s="56">
        <f>G85*0.78355</f>
      </c>
      <c r="AP85" s="56">
        <f>G85*(1-0.78355)</f>
      </c>
      <c r="AQ85" s="57" t="s">
        <v>58</v>
      </c>
      <c r="AV85" s="56">
        <f>AW85+AX85</f>
      </c>
      <c r="AW85" s="56">
        <f>F85*AO85</f>
      </c>
      <c r="AX85" s="56">
        <f>F85*AP85</f>
      </c>
      <c r="AY85" s="57" t="s">
        <v>131</v>
      </c>
      <c r="AZ85" s="57" t="s">
        <v>102</v>
      </c>
      <c r="BA85" s="28" t="s">
        <v>64</v>
      </c>
      <c r="BC85" s="56">
        <f>AW85+AX85</f>
      </c>
      <c r="BD85" s="56">
        <f>G85/(100-BE85)*100</f>
      </c>
      <c r="BE85" s="56" t="n">
        <v>0</v>
      </c>
      <c r="BF85" s="56">
        <f>85</f>
      </c>
      <c r="BH85" s="56">
        <f>F85*AO85</f>
      </c>
      <c r="BI85" s="56">
        <f>F85*AP85</f>
      </c>
      <c r="BJ85" s="56">
        <f>F85*G85</f>
      </c>
      <c r="BK85" s="56"/>
      <c r="BL85" s="56" t="n">
        <v>34</v>
      </c>
      <c r="BW85" s="56" t="n">
        <v>21</v>
      </c>
      <c r="BX85" s="14" t="s">
        <v>210</v>
      </c>
    </row>
    <row r="86" customHeight="true" ht="13.5">
      <c r="A86" s="58"/>
      <c r="C86" s="59" t="s">
        <v>211</v>
      </c>
      <c r="D86" s="60"/>
      <c r="E86" s="60"/>
      <c r="F86" s="60"/>
      <c r="G86" s="60"/>
      <c r="H86" s="60"/>
      <c r="I86" s="60"/>
      <c r="J86" s="60"/>
      <c r="K86" s="61"/>
    </row>
    <row r="87">
      <c r="A87" s="68"/>
      <c r="B87" s="69"/>
      <c r="C87" s="70" t="s">
        <v>76</v>
      </c>
      <c r="D87" s="71" t="s">
        <v>53</v>
      </c>
      <c r="E87" s="69"/>
      <c r="F87" s="72" t="n">
        <v>4</v>
      </c>
      <c r="G87" s="69"/>
      <c r="H87" s="69"/>
      <c r="I87" s="69"/>
      <c r="J87" s="69"/>
      <c r="K87" s="73"/>
    </row>
    <row r="88" ht="24.75">
      <c r="A88" s="58"/>
      <c r="B88" s="80" t="s">
        <v>108</v>
      </c>
      <c r="C88" s="59" t="s">
        <v>212</v>
      </c>
      <c r="D88" s="60"/>
      <c r="E88" s="60"/>
      <c r="F88" s="60"/>
      <c r="G88" s="60"/>
      <c r="H88" s="60"/>
      <c r="I88" s="60"/>
      <c r="J88" s="60"/>
      <c r="K88" s="61"/>
      <c r="BX88" s="81" t="s">
        <v>212</v>
      </c>
    </row>
    <row r="89">
      <c r="A89" s="82" t="s">
        <v>213</v>
      </c>
      <c r="B89" s="83" t="s">
        <v>214</v>
      </c>
      <c r="C89" s="84" t="s">
        <v>215</v>
      </c>
      <c r="D89" s="83"/>
      <c r="E89" s="83" t="s">
        <v>130</v>
      </c>
      <c r="F89" s="85" t="n">
        <v>3.09</v>
      </c>
      <c r="G89" s="85" t="n">
        <v>0</v>
      </c>
      <c r="H89" s="85">
        <f>F89*AO89</f>
      </c>
      <c r="I89" s="85">
        <f>F89*AP89</f>
      </c>
      <c r="J89" s="85">
        <f>F89*G89</f>
      </c>
      <c r="K89" s="86" t="s">
        <v>100</v>
      </c>
      <c r="Z89" s="56">
        <f>IF(AQ89="5",BJ89,0)</f>
      </c>
      <c r="AB89" s="56">
        <f>IF(AQ89="1",BH89,0)</f>
      </c>
      <c r="AC89" s="56">
        <f>IF(AQ89="1",BI89,0)</f>
      </c>
      <c r="AD89" s="56">
        <f>IF(AQ89="7",BH89,0)</f>
      </c>
      <c r="AE89" s="56">
        <f>IF(AQ89="7",BI89,0)</f>
      </c>
      <c r="AF89" s="56">
        <f>IF(AQ89="2",BH89,0)</f>
      </c>
      <c r="AG89" s="56">
        <f>IF(AQ89="2",BI89,0)</f>
      </c>
      <c r="AH89" s="56">
        <f>IF(AQ89="0",BJ89,0)</f>
      </c>
      <c r="AI89" s="28" t="s">
        <v>57</v>
      </c>
      <c r="AJ89" s="56">
        <f>IF(AN89=0,J89,0)</f>
      </c>
      <c r="AK89" s="56">
        <f>IF(AN89=12,J89,0)</f>
      </c>
      <c r="AL89" s="56">
        <f>IF(AN89=21,J89,0)</f>
      </c>
      <c r="AN89" s="56" t="n">
        <v>21</v>
      </c>
      <c r="AO89" s="56">
        <f>G89*0.358542781</f>
      </c>
      <c r="AP89" s="56">
        <f>G89*(1-0.358542781)</f>
      </c>
      <c r="AQ89" s="57" t="s">
        <v>58</v>
      </c>
      <c r="AV89" s="56">
        <f>AW89+AX89</f>
      </c>
      <c r="AW89" s="56">
        <f>F89*AO89</f>
      </c>
      <c r="AX89" s="56">
        <f>F89*AP89</f>
      </c>
      <c r="AY89" s="57" t="s">
        <v>131</v>
      </c>
      <c r="AZ89" s="57" t="s">
        <v>102</v>
      </c>
      <c r="BA89" s="28" t="s">
        <v>64</v>
      </c>
      <c r="BC89" s="56">
        <f>AW89+AX89</f>
      </c>
      <c r="BD89" s="56">
        <f>G89/(100-BE89)*100</f>
      </c>
      <c r="BE89" s="56" t="n">
        <v>0</v>
      </c>
      <c r="BF89" s="56">
        <f>89</f>
      </c>
      <c r="BH89" s="56">
        <f>F89*AO89</f>
      </c>
      <c r="BI89" s="56">
        <f>F89*AP89</f>
      </c>
      <c r="BJ89" s="56">
        <f>F89*G89</f>
      </c>
      <c r="BK89" s="56"/>
      <c r="BL89" s="56" t="n">
        <v>34</v>
      </c>
      <c r="BW89" s="56" t="n">
        <v>21</v>
      </c>
      <c r="BX89" s="14" t="s">
        <v>215</v>
      </c>
    </row>
    <row r="90" customHeight="true" ht="13.5">
      <c r="A90" s="58"/>
      <c r="C90" s="59" t="s">
        <v>216</v>
      </c>
      <c r="D90" s="60"/>
      <c r="E90" s="60"/>
      <c r="F90" s="60"/>
      <c r="G90" s="60"/>
      <c r="H90" s="60"/>
      <c r="I90" s="60"/>
      <c r="J90" s="60"/>
      <c r="K90" s="61"/>
    </row>
    <row r="91">
      <c r="A91" s="68"/>
      <c r="B91" s="69"/>
      <c r="C91" s="70" t="s">
        <v>217</v>
      </c>
      <c r="D91" s="71" t="s">
        <v>218</v>
      </c>
      <c r="E91" s="69"/>
      <c r="F91" s="72" t="n">
        <v>3.09</v>
      </c>
      <c r="G91" s="69"/>
      <c r="H91" s="69"/>
      <c r="I91" s="69"/>
      <c r="J91" s="69"/>
      <c r="K91" s="73"/>
    </row>
    <row r="92">
      <c r="A92" s="58"/>
      <c r="B92" s="80" t="s">
        <v>108</v>
      </c>
      <c r="C92" s="59" t="s">
        <v>219</v>
      </c>
      <c r="D92" s="60"/>
      <c r="E92" s="60"/>
      <c r="F92" s="60"/>
      <c r="G92" s="60"/>
      <c r="H92" s="60"/>
      <c r="I92" s="60"/>
      <c r="J92" s="60"/>
      <c r="K92" s="61"/>
      <c r="BX92" s="81" t="s">
        <v>219</v>
      </c>
    </row>
    <row r="93">
      <c r="A93" s="82" t="s">
        <v>220</v>
      </c>
      <c r="B93" s="83" t="s">
        <v>221</v>
      </c>
      <c r="C93" s="84" t="s">
        <v>222</v>
      </c>
      <c r="D93" s="83"/>
      <c r="E93" s="83" t="s">
        <v>130</v>
      </c>
      <c r="F93" s="85" t="n">
        <v>3.09</v>
      </c>
      <c r="G93" s="85" t="n">
        <v>0</v>
      </c>
      <c r="H93" s="85">
        <f>F93*AO93</f>
      </c>
      <c r="I93" s="85">
        <f>F93*AP93</f>
      </c>
      <c r="J93" s="85">
        <f>F93*G93</f>
      </c>
      <c r="K93" s="86" t="s">
        <v>100</v>
      </c>
      <c r="Z93" s="56">
        <f>IF(AQ93="5",BJ93,0)</f>
      </c>
      <c r="AB93" s="56">
        <f>IF(AQ93="1",BH93,0)</f>
      </c>
      <c r="AC93" s="56">
        <f>IF(AQ93="1",BI93,0)</f>
      </c>
      <c r="AD93" s="56">
        <f>IF(AQ93="7",BH93,0)</f>
      </c>
      <c r="AE93" s="56">
        <f>IF(AQ93="7",BI93,0)</f>
      </c>
      <c r="AF93" s="56">
        <f>IF(AQ93="2",BH93,0)</f>
      </c>
      <c r="AG93" s="56">
        <f>IF(AQ93="2",BI93,0)</f>
      </c>
      <c r="AH93" s="56">
        <f>IF(AQ93="0",BJ93,0)</f>
      </c>
      <c r="AI93" s="28" t="s">
        <v>57</v>
      </c>
      <c r="AJ93" s="56">
        <f>IF(AN93=0,J93,0)</f>
      </c>
      <c r="AK93" s="56">
        <f>IF(AN93=12,J93,0)</f>
      </c>
      <c r="AL93" s="56">
        <f>IF(AN93=21,J93,0)</f>
      </c>
      <c r="AN93" s="56" t="n">
        <v>21</v>
      </c>
      <c r="AO93" s="56">
        <f>G93*0.999964438</f>
      </c>
      <c r="AP93" s="56">
        <f>G93*(1-0.999964438)</f>
      </c>
      <c r="AQ93" s="57" t="s">
        <v>58</v>
      </c>
      <c r="AV93" s="56">
        <f>AW93+AX93</f>
      </c>
      <c r="AW93" s="56">
        <f>F93*AO93</f>
      </c>
      <c r="AX93" s="56">
        <f>F93*AP93</f>
      </c>
      <c r="AY93" s="57" t="s">
        <v>131</v>
      </c>
      <c r="AZ93" s="57" t="s">
        <v>102</v>
      </c>
      <c r="BA93" s="28" t="s">
        <v>64</v>
      </c>
      <c r="BC93" s="56">
        <f>AW93+AX93</f>
      </c>
      <c r="BD93" s="56">
        <f>G93/(100-BE93)*100</f>
      </c>
      <c r="BE93" s="56" t="n">
        <v>0</v>
      </c>
      <c r="BF93" s="56">
        <f>93</f>
      </c>
      <c r="BH93" s="56">
        <f>F93*AO93</f>
      </c>
      <c r="BI93" s="56">
        <f>F93*AP93</f>
      </c>
      <c r="BJ93" s="56">
        <f>F93*G93</f>
      </c>
      <c r="BK93" s="56"/>
      <c r="BL93" s="56" t="n">
        <v>34</v>
      </c>
      <c r="BW93" s="56" t="n">
        <v>21</v>
      </c>
      <c r="BX93" s="14" t="s">
        <v>222</v>
      </c>
    </row>
    <row r="94" customHeight="true" ht="13.5">
      <c r="A94" s="58"/>
      <c r="C94" s="59" t="s">
        <v>223</v>
      </c>
      <c r="D94" s="60"/>
      <c r="E94" s="60"/>
      <c r="F94" s="60"/>
      <c r="G94" s="60"/>
      <c r="H94" s="60"/>
      <c r="I94" s="60"/>
      <c r="J94" s="60"/>
      <c r="K94" s="61"/>
    </row>
    <row r="95">
      <c r="A95" s="68"/>
      <c r="B95" s="69"/>
      <c r="C95" s="70" t="s">
        <v>217</v>
      </c>
      <c r="D95" s="71" t="s">
        <v>218</v>
      </c>
      <c r="E95" s="69"/>
      <c r="F95" s="72" t="n">
        <v>3.09</v>
      </c>
      <c r="G95" s="69"/>
      <c r="H95" s="69"/>
      <c r="I95" s="69"/>
      <c r="J95" s="69"/>
      <c r="K95" s="73"/>
    </row>
    <row r="96">
      <c r="A96" s="58"/>
      <c r="B96" s="80" t="s">
        <v>108</v>
      </c>
      <c r="C96" s="59" t="s">
        <v>224</v>
      </c>
      <c r="D96" s="60"/>
      <c r="E96" s="60"/>
      <c r="F96" s="60"/>
      <c r="G96" s="60"/>
      <c r="H96" s="60"/>
      <c r="I96" s="60"/>
      <c r="J96" s="60"/>
      <c r="K96" s="61"/>
      <c r="BX96" s="81" t="s">
        <v>224</v>
      </c>
    </row>
    <row r="97">
      <c r="A97" s="82" t="s">
        <v>225</v>
      </c>
      <c r="B97" s="83" t="s">
        <v>226</v>
      </c>
      <c r="C97" s="84" t="s">
        <v>227</v>
      </c>
      <c r="D97" s="83"/>
      <c r="E97" s="83" t="s">
        <v>130</v>
      </c>
      <c r="F97" s="85" t="n">
        <v>1.8</v>
      </c>
      <c r="G97" s="85" t="n">
        <v>0</v>
      </c>
      <c r="H97" s="85">
        <f>F97*AO97</f>
      </c>
      <c r="I97" s="85">
        <f>F97*AP97</f>
      </c>
      <c r="J97" s="85">
        <f>F97*G97</f>
      </c>
      <c r="K97" s="86" t="s">
        <v>100</v>
      </c>
      <c r="Z97" s="56">
        <f>IF(AQ97="5",BJ97,0)</f>
      </c>
      <c r="AB97" s="56">
        <f>IF(AQ97="1",BH97,0)</f>
      </c>
      <c r="AC97" s="56">
        <f>IF(AQ97="1",BI97,0)</f>
      </c>
      <c r="AD97" s="56">
        <f>IF(AQ97="7",BH97,0)</f>
      </c>
      <c r="AE97" s="56">
        <f>IF(AQ97="7",BI97,0)</f>
      </c>
      <c r="AF97" s="56">
        <f>IF(AQ97="2",BH97,0)</f>
      </c>
      <c r="AG97" s="56">
        <f>IF(AQ97="2",BI97,0)</f>
      </c>
      <c r="AH97" s="56">
        <f>IF(AQ97="0",BJ97,0)</f>
      </c>
      <c r="AI97" s="28" t="s">
        <v>57</v>
      </c>
      <c r="AJ97" s="56">
        <f>IF(AN97=0,J97,0)</f>
      </c>
      <c r="AK97" s="56">
        <f>IF(AN97=12,J97,0)</f>
      </c>
      <c r="AL97" s="56">
        <f>IF(AN97=21,J97,0)</f>
      </c>
      <c r="AN97" s="56" t="n">
        <v>21</v>
      </c>
      <c r="AO97" s="56">
        <f>G97*0</f>
      </c>
      <c r="AP97" s="56">
        <f>G97*(1-0)</f>
      </c>
      <c r="AQ97" s="57" t="s">
        <v>58</v>
      </c>
      <c r="AV97" s="56">
        <f>AW97+AX97</f>
      </c>
      <c r="AW97" s="56">
        <f>F97*AO97</f>
      </c>
      <c r="AX97" s="56">
        <f>F97*AP97</f>
      </c>
      <c r="AY97" s="57" t="s">
        <v>131</v>
      </c>
      <c r="AZ97" s="57" t="s">
        <v>102</v>
      </c>
      <c r="BA97" s="28" t="s">
        <v>64</v>
      </c>
      <c r="BC97" s="56">
        <f>AW97+AX97</f>
      </c>
      <c r="BD97" s="56">
        <f>G97/(100-BE97)*100</f>
      </c>
      <c r="BE97" s="56" t="n">
        <v>0</v>
      </c>
      <c r="BF97" s="56">
        <f>97</f>
      </c>
      <c r="BH97" s="56">
        <f>F97*AO97</f>
      </c>
      <c r="BI97" s="56">
        <f>F97*AP97</f>
      </c>
      <c r="BJ97" s="56">
        <f>F97*G97</f>
      </c>
      <c r="BK97" s="56"/>
      <c r="BL97" s="56" t="n">
        <v>34</v>
      </c>
      <c r="BW97" s="56" t="n">
        <v>21</v>
      </c>
      <c r="BX97" s="14" t="s">
        <v>227</v>
      </c>
    </row>
    <row r="98">
      <c r="A98" s="74"/>
      <c r="B98" s="75"/>
      <c r="C98" s="76" t="s">
        <v>228</v>
      </c>
      <c r="D98" s="77" t="s">
        <v>229</v>
      </c>
      <c r="E98" s="75"/>
      <c r="F98" s="78" t="n">
        <v>1.8</v>
      </c>
      <c r="G98" s="75"/>
      <c r="H98" s="75"/>
      <c r="I98" s="75"/>
      <c r="J98" s="75"/>
      <c r="K98" s="79"/>
    </row>
    <row r="99">
      <c r="A99" s="58"/>
      <c r="B99" s="80" t="s">
        <v>108</v>
      </c>
      <c r="C99" s="59" t="s">
        <v>230</v>
      </c>
      <c r="D99" s="60"/>
      <c r="E99" s="60"/>
      <c r="F99" s="60"/>
      <c r="G99" s="60"/>
      <c r="H99" s="60"/>
      <c r="I99" s="60"/>
      <c r="J99" s="60"/>
      <c r="K99" s="61"/>
      <c r="BX99" s="81" t="s">
        <v>230</v>
      </c>
    </row>
    <row r="100">
      <c r="A100" s="82" t="s">
        <v>231</v>
      </c>
      <c r="B100" s="83" t="s">
        <v>232</v>
      </c>
      <c r="C100" s="84" t="s">
        <v>233</v>
      </c>
      <c r="D100" s="83"/>
      <c r="E100" s="83" t="s">
        <v>130</v>
      </c>
      <c r="F100" s="85" t="n">
        <v>9.792</v>
      </c>
      <c r="G100" s="85" t="n">
        <v>0</v>
      </c>
      <c r="H100" s="85">
        <f>F100*AO100</f>
      </c>
      <c r="I100" s="85">
        <f>F100*AP100</f>
      </c>
      <c r="J100" s="85">
        <f>F100*G100</f>
      </c>
      <c r="K100" s="86" t="s">
        <v>100</v>
      </c>
      <c r="Z100" s="56">
        <f>IF(AQ100="5",BJ100,0)</f>
      </c>
      <c r="AB100" s="56">
        <f>IF(AQ100="1",BH100,0)</f>
      </c>
      <c r="AC100" s="56">
        <f>IF(AQ100="1",BI100,0)</f>
      </c>
      <c r="AD100" s="56">
        <f>IF(AQ100="7",BH100,0)</f>
      </c>
      <c r="AE100" s="56">
        <f>IF(AQ100="7",BI100,0)</f>
      </c>
      <c r="AF100" s="56">
        <f>IF(AQ100="2",BH100,0)</f>
      </c>
      <c r="AG100" s="56">
        <f>IF(AQ100="2",BI100,0)</f>
      </c>
      <c r="AH100" s="56">
        <f>IF(AQ100="0",BJ100,0)</f>
      </c>
      <c r="AI100" s="28" t="s">
        <v>57</v>
      </c>
      <c r="AJ100" s="56">
        <f>IF(AN100=0,J100,0)</f>
      </c>
      <c r="AK100" s="56">
        <f>IF(AN100=12,J100,0)</f>
      </c>
      <c r="AL100" s="56">
        <f>IF(AN100=21,J100,0)</f>
      </c>
      <c r="AN100" s="56" t="n">
        <v>21</v>
      </c>
      <c r="AO100" s="56">
        <f>G100*0.748505865</f>
      </c>
      <c r="AP100" s="56">
        <f>G100*(1-0.748505865)</f>
      </c>
      <c r="AQ100" s="57" t="s">
        <v>58</v>
      </c>
      <c r="AV100" s="56">
        <f>AW100+AX100</f>
      </c>
      <c r="AW100" s="56">
        <f>F100*AO100</f>
      </c>
      <c r="AX100" s="56">
        <f>F100*AP100</f>
      </c>
      <c r="AY100" s="57" t="s">
        <v>131</v>
      </c>
      <c r="AZ100" s="57" t="s">
        <v>102</v>
      </c>
      <c r="BA100" s="28" t="s">
        <v>64</v>
      </c>
      <c r="BC100" s="56">
        <f>AW100+AX100</f>
      </c>
      <c r="BD100" s="56">
        <f>G100/(100-BE100)*100</f>
      </c>
      <c r="BE100" s="56" t="n">
        <v>0</v>
      </c>
      <c r="BF100" s="56">
        <f>100</f>
      </c>
      <c r="BH100" s="56">
        <f>F100*AO100</f>
      </c>
      <c r="BI100" s="56">
        <f>F100*AP100</f>
      </c>
      <c r="BJ100" s="56">
        <f>F100*G100</f>
      </c>
      <c r="BK100" s="56"/>
      <c r="BL100" s="56" t="n">
        <v>34</v>
      </c>
      <c r="BW100" s="56" t="n">
        <v>21</v>
      </c>
      <c r="BX100" s="14" t="s">
        <v>233</v>
      </c>
    </row>
    <row r="101">
      <c r="A101" s="74"/>
      <c r="B101" s="75"/>
      <c r="C101" s="76" t="s">
        <v>234</v>
      </c>
      <c r="D101" s="77" t="s">
        <v>235</v>
      </c>
      <c r="E101" s="75"/>
      <c r="F101" s="78" t="n">
        <v>9.792</v>
      </c>
      <c r="G101" s="75"/>
      <c r="H101" s="75"/>
      <c r="I101" s="75"/>
      <c r="J101" s="75"/>
      <c r="K101" s="79"/>
    </row>
    <row r="102" ht="48.75">
      <c r="A102" s="58"/>
      <c r="B102" s="80" t="s">
        <v>108</v>
      </c>
      <c r="C102" s="59" t="s">
        <v>236</v>
      </c>
      <c r="D102" s="60"/>
      <c r="E102" s="60"/>
      <c r="F102" s="60"/>
      <c r="G102" s="60"/>
      <c r="H102" s="60"/>
      <c r="I102" s="60"/>
      <c r="J102" s="60"/>
      <c r="K102" s="61"/>
      <c r="BX102" s="81" t="s">
        <v>236</v>
      </c>
    </row>
    <row r="103">
      <c r="A103" s="62" t="s">
        <v>53</v>
      </c>
      <c r="B103" s="63" t="s">
        <v>237</v>
      </c>
      <c r="C103" s="64" t="s">
        <v>238</v>
      </c>
      <c r="D103" s="63"/>
      <c r="E103" s="65" t="s">
        <v>34</v>
      </c>
      <c r="F103" s="65" t="s">
        <v>34</v>
      </c>
      <c r="G103" s="65" t="s">
        <v>34</v>
      </c>
      <c r="H103" s="66">
        <f>SUM(H104:H118)</f>
      </c>
      <c r="I103" s="66">
        <f>SUM(I104:I118)</f>
      </c>
      <c r="J103" s="66">
        <f>SUM(J104:J118)</f>
      </c>
      <c r="K103" s="67" t="s">
        <v>53</v>
      </c>
      <c r="AI103" s="28" t="s">
        <v>57</v>
      </c>
      <c r="AS103" s="2">
        <f>SUM(AJ104:AJ118)</f>
      </c>
      <c r="AT103" s="2">
        <f>SUM(AK104:AK118)</f>
      </c>
      <c r="AU103" s="2">
        <f>SUM(AL104:AL118)</f>
      </c>
    </row>
    <row r="104">
      <c r="A104" s="51" t="s">
        <v>239</v>
      </c>
      <c r="B104" s="52" t="s">
        <v>240</v>
      </c>
      <c r="C104" s="53" t="s">
        <v>241</v>
      </c>
      <c r="D104" s="52"/>
      <c r="E104" s="52" t="s">
        <v>242</v>
      </c>
      <c r="F104" s="54" t="n">
        <v>7.55301</v>
      </c>
      <c r="G104" s="54" t="n">
        <v>0</v>
      </c>
      <c r="H104" s="54">
        <f>F104*AO104</f>
      </c>
      <c r="I104" s="54">
        <f>F104*AP104</f>
      </c>
      <c r="J104" s="54">
        <f>F104*G104</f>
      </c>
      <c r="K104" s="55" t="s">
        <v>100</v>
      </c>
      <c r="Z104" s="56">
        <f>IF(AQ104="5",BJ104,0)</f>
      </c>
      <c r="AB104" s="56">
        <f>IF(AQ104="1",BH104,0)</f>
      </c>
      <c r="AC104" s="56">
        <f>IF(AQ104="1",BI104,0)</f>
      </c>
      <c r="AD104" s="56">
        <f>IF(AQ104="7",BH104,0)</f>
      </c>
      <c r="AE104" s="56">
        <f>IF(AQ104="7",BI104,0)</f>
      </c>
      <c r="AF104" s="56">
        <f>IF(AQ104="2",BH104,0)</f>
      </c>
      <c r="AG104" s="56">
        <f>IF(AQ104="2",BI104,0)</f>
      </c>
      <c r="AH104" s="56">
        <f>IF(AQ104="0",BJ104,0)</f>
      </c>
      <c r="AI104" s="28" t="s">
        <v>57</v>
      </c>
      <c r="AJ104" s="56">
        <f>IF(AN104=0,J104,0)</f>
      </c>
      <c r="AK104" s="56">
        <f>IF(AN104=12,J104,0)</f>
      </c>
      <c r="AL104" s="56">
        <f>IF(AN104=21,J104,0)</f>
      </c>
      <c r="AN104" s="56" t="n">
        <v>21</v>
      </c>
      <c r="AO104" s="56">
        <f>G104*0.001772962</f>
      </c>
      <c r="AP104" s="56">
        <f>G104*(1-0.001772962)</f>
      </c>
      <c r="AQ104" s="57" t="s">
        <v>58</v>
      </c>
      <c r="AV104" s="56">
        <f>AW104+AX104</f>
      </c>
      <c r="AW104" s="56">
        <f>F104*AO104</f>
      </c>
      <c r="AX104" s="56">
        <f>F104*AP104</f>
      </c>
      <c r="AY104" s="57" t="s">
        <v>243</v>
      </c>
      <c r="AZ104" s="57" t="s">
        <v>244</v>
      </c>
      <c r="BA104" s="28" t="s">
        <v>64</v>
      </c>
      <c r="BC104" s="56">
        <f>AW104+AX104</f>
      </c>
      <c r="BD104" s="56">
        <f>G104/(100-BE104)*100</f>
      </c>
      <c r="BE104" s="56" t="n">
        <v>0</v>
      </c>
      <c r="BF104" s="56">
        <f>104</f>
      </c>
      <c r="BH104" s="56">
        <f>F104*AO104</f>
      </c>
      <c r="BI104" s="56">
        <f>F104*AP104</f>
      </c>
      <c r="BJ104" s="56">
        <f>F104*G104</f>
      </c>
      <c r="BK104" s="56"/>
      <c r="BL104" s="56" t="n">
        <v>41</v>
      </c>
      <c r="BW104" s="56" t="n">
        <v>21</v>
      </c>
      <c r="BX104" s="14" t="s">
        <v>241</v>
      </c>
    </row>
    <row r="105">
      <c r="A105" s="74"/>
      <c r="B105" s="75"/>
      <c r="C105" s="76" t="s">
        <v>245</v>
      </c>
      <c r="D105" s="77" t="s">
        <v>246</v>
      </c>
      <c r="E105" s="75"/>
      <c r="F105" s="78" t="n">
        <v>6.02175</v>
      </c>
      <c r="G105" s="75"/>
      <c r="H105" s="75"/>
      <c r="I105" s="75"/>
      <c r="J105" s="75"/>
      <c r="K105" s="79"/>
    </row>
    <row r="106">
      <c r="A106" s="74"/>
      <c r="B106" s="75"/>
      <c r="C106" s="76" t="s">
        <v>247</v>
      </c>
      <c r="D106" s="77" t="s">
        <v>248</v>
      </c>
      <c r="E106" s="75"/>
      <c r="F106" s="78" t="n">
        <v>0.6697</v>
      </c>
      <c r="G106" s="75"/>
      <c r="H106" s="75"/>
      <c r="I106" s="75"/>
      <c r="J106" s="75"/>
      <c r="K106" s="79"/>
    </row>
    <row r="107">
      <c r="A107" s="74"/>
      <c r="B107" s="75"/>
      <c r="C107" s="76" t="s">
        <v>249</v>
      </c>
      <c r="D107" s="77" t="s">
        <v>250</v>
      </c>
      <c r="E107" s="75"/>
      <c r="F107" s="78" t="n">
        <v>0.86156</v>
      </c>
      <c r="G107" s="75"/>
      <c r="H107" s="75"/>
      <c r="I107" s="75"/>
      <c r="J107" s="75"/>
      <c r="K107" s="79"/>
    </row>
    <row r="108" ht="24.75">
      <c r="A108" s="58"/>
      <c r="B108" s="80" t="s">
        <v>108</v>
      </c>
      <c r="C108" s="59" t="s">
        <v>251</v>
      </c>
      <c r="D108" s="60"/>
      <c r="E108" s="60"/>
      <c r="F108" s="60"/>
      <c r="G108" s="60"/>
      <c r="H108" s="60"/>
      <c r="I108" s="60"/>
      <c r="J108" s="60"/>
      <c r="K108" s="61"/>
      <c r="BX108" s="81" t="s">
        <v>251</v>
      </c>
    </row>
    <row r="109">
      <c r="A109" s="87" t="s">
        <v>252</v>
      </c>
      <c r="B109" s="88" t="s">
        <v>253</v>
      </c>
      <c r="C109" s="89" t="s">
        <v>254</v>
      </c>
      <c r="D109" s="88"/>
      <c r="E109" s="88" t="s">
        <v>242</v>
      </c>
      <c r="F109" s="90" t="n">
        <v>6.50349</v>
      </c>
      <c r="G109" s="90" t="n">
        <v>0</v>
      </c>
      <c r="H109" s="90">
        <f>F109*AO109</f>
      </c>
      <c r="I109" s="90">
        <f>F109*AP109</f>
      </c>
      <c r="J109" s="90">
        <f>F109*G109</f>
      </c>
      <c r="K109" s="91" t="s">
        <v>100</v>
      </c>
      <c r="Z109" s="56">
        <f>IF(AQ109="5",BJ109,0)</f>
      </c>
      <c r="AB109" s="56">
        <f>IF(AQ109="1",BH109,0)</f>
      </c>
      <c r="AC109" s="56">
        <f>IF(AQ109="1",BI109,0)</f>
      </c>
      <c r="AD109" s="56">
        <f>IF(AQ109="7",BH109,0)</f>
      </c>
      <c r="AE109" s="56">
        <f>IF(AQ109="7",BI109,0)</f>
      </c>
      <c r="AF109" s="56">
        <f>IF(AQ109="2",BH109,0)</f>
      </c>
      <c r="AG109" s="56">
        <f>IF(AQ109="2",BI109,0)</f>
      </c>
      <c r="AH109" s="56">
        <f>IF(AQ109="0",BJ109,0)</f>
      </c>
      <c r="AI109" s="28" t="s">
        <v>57</v>
      </c>
      <c r="AJ109" s="92">
        <f>IF(AN109=0,J109,0)</f>
      </c>
      <c r="AK109" s="92">
        <f>IF(AN109=12,J109,0)</f>
      </c>
      <c r="AL109" s="92">
        <f>IF(AN109=21,J109,0)</f>
      </c>
      <c r="AN109" s="56" t="n">
        <v>21</v>
      </c>
      <c r="AO109" s="56">
        <f>G109*1</f>
      </c>
      <c r="AP109" s="56">
        <f>G109*(1-1)</f>
      </c>
      <c r="AQ109" s="93" t="s">
        <v>58</v>
      </c>
      <c r="AV109" s="56">
        <f>AW109+AX109</f>
      </c>
      <c r="AW109" s="56">
        <f>F109*AO109</f>
      </c>
      <c r="AX109" s="56">
        <f>F109*AP109</f>
      </c>
      <c r="AY109" s="57" t="s">
        <v>243</v>
      </c>
      <c r="AZ109" s="57" t="s">
        <v>244</v>
      </c>
      <c r="BA109" s="28" t="s">
        <v>64</v>
      </c>
      <c r="BC109" s="56">
        <f>AW109+AX109</f>
      </c>
      <c r="BD109" s="56">
        <f>G109/(100-BE109)*100</f>
      </c>
      <c r="BE109" s="56" t="n">
        <v>0</v>
      </c>
      <c r="BF109" s="56">
        <f>109</f>
      </c>
      <c r="BH109" s="92">
        <f>F109*AO109</f>
      </c>
      <c r="BI109" s="92">
        <f>F109*AP109</f>
      </c>
      <c r="BJ109" s="92">
        <f>F109*G109</f>
      </c>
      <c r="BK109" s="92"/>
      <c r="BL109" s="56" t="n">
        <v>41</v>
      </c>
      <c r="BW109" s="56" t="n">
        <v>21</v>
      </c>
      <c r="BX109" s="94" t="s">
        <v>254</v>
      </c>
    </row>
    <row r="110">
      <c r="A110" s="74"/>
      <c r="B110" s="75"/>
      <c r="C110" s="76" t="s">
        <v>245</v>
      </c>
      <c r="D110" s="77" t="s">
        <v>246</v>
      </c>
      <c r="E110" s="75"/>
      <c r="F110" s="78" t="n">
        <v>6.02175</v>
      </c>
      <c r="G110" s="75"/>
      <c r="H110" s="75"/>
      <c r="I110" s="75"/>
      <c r="J110" s="75"/>
      <c r="K110" s="79"/>
    </row>
    <row r="111">
      <c r="A111" s="74"/>
      <c r="B111" s="75"/>
      <c r="C111" s="76" t="s">
        <v>255</v>
      </c>
      <c r="D111" s="77" t="s">
        <v>53</v>
      </c>
      <c r="E111" s="75"/>
      <c r="F111" s="78" t="n">
        <v>0.48174</v>
      </c>
      <c r="G111" s="75"/>
      <c r="H111" s="75"/>
      <c r="I111" s="75"/>
      <c r="J111" s="75"/>
      <c r="K111" s="79"/>
    </row>
    <row r="112">
      <c r="A112" s="58"/>
      <c r="B112" s="80" t="s">
        <v>108</v>
      </c>
      <c r="C112" s="59" t="s">
        <v>256</v>
      </c>
      <c r="D112" s="60"/>
      <c r="E112" s="60"/>
      <c r="F112" s="60"/>
      <c r="G112" s="60"/>
      <c r="H112" s="60"/>
      <c r="I112" s="60"/>
      <c r="J112" s="60"/>
      <c r="K112" s="61"/>
      <c r="BX112" s="95" t="s">
        <v>256</v>
      </c>
    </row>
    <row r="113">
      <c r="A113" s="87" t="s">
        <v>94</v>
      </c>
      <c r="B113" s="88" t="s">
        <v>257</v>
      </c>
      <c r="C113" s="89" t="s">
        <v>258</v>
      </c>
      <c r="D113" s="88"/>
      <c r="E113" s="88" t="s">
        <v>242</v>
      </c>
      <c r="F113" s="90" t="n">
        <v>1.65376</v>
      </c>
      <c r="G113" s="90" t="n">
        <v>0</v>
      </c>
      <c r="H113" s="90">
        <f>F113*AO113</f>
      </c>
      <c r="I113" s="90">
        <f>F113*AP113</f>
      </c>
      <c r="J113" s="90">
        <f>F113*G113</f>
      </c>
      <c r="K113" s="91" t="s">
        <v>100</v>
      </c>
      <c r="Z113" s="56">
        <f>IF(AQ113="5",BJ113,0)</f>
      </c>
      <c r="AB113" s="56">
        <f>IF(AQ113="1",BH113,0)</f>
      </c>
      <c r="AC113" s="56">
        <f>IF(AQ113="1",BI113,0)</f>
      </c>
      <c r="AD113" s="56">
        <f>IF(AQ113="7",BH113,0)</f>
      </c>
      <c r="AE113" s="56">
        <f>IF(AQ113="7",BI113,0)</f>
      </c>
      <c r="AF113" s="56">
        <f>IF(AQ113="2",BH113,0)</f>
      </c>
      <c r="AG113" s="56">
        <f>IF(AQ113="2",BI113,0)</f>
      </c>
      <c r="AH113" s="56">
        <f>IF(AQ113="0",BJ113,0)</f>
      </c>
      <c r="AI113" s="28" t="s">
        <v>57</v>
      </c>
      <c r="AJ113" s="92">
        <f>IF(AN113=0,J113,0)</f>
      </c>
      <c r="AK113" s="92">
        <f>IF(AN113=12,J113,0)</f>
      </c>
      <c r="AL113" s="92">
        <f>IF(AN113=21,J113,0)</f>
      </c>
      <c r="AN113" s="56" t="n">
        <v>21</v>
      </c>
      <c r="AO113" s="56">
        <f>G113*1</f>
      </c>
      <c r="AP113" s="56">
        <f>G113*(1-1)</f>
      </c>
      <c r="AQ113" s="93" t="s">
        <v>58</v>
      </c>
      <c r="AV113" s="56">
        <f>AW113+AX113</f>
      </c>
      <c r="AW113" s="56">
        <f>F113*AO113</f>
      </c>
      <c r="AX113" s="56">
        <f>F113*AP113</f>
      </c>
      <c r="AY113" s="57" t="s">
        <v>243</v>
      </c>
      <c r="AZ113" s="57" t="s">
        <v>244</v>
      </c>
      <c r="BA113" s="28" t="s">
        <v>64</v>
      </c>
      <c r="BC113" s="56">
        <f>AW113+AX113</f>
      </c>
      <c r="BD113" s="56">
        <f>G113/(100-BE113)*100</f>
      </c>
      <c r="BE113" s="56" t="n">
        <v>0</v>
      </c>
      <c r="BF113" s="56">
        <f>113</f>
      </c>
      <c r="BH113" s="92">
        <f>F113*AO113</f>
      </c>
      <c r="BI113" s="92">
        <f>F113*AP113</f>
      </c>
      <c r="BJ113" s="92">
        <f>F113*G113</f>
      </c>
      <c r="BK113" s="92"/>
      <c r="BL113" s="56" t="n">
        <v>41</v>
      </c>
      <c r="BW113" s="56" t="n">
        <v>21</v>
      </c>
      <c r="BX113" s="94" t="s">
        <v>258</v>
      </c>
    </row>
    <row r="114">
      <c r="A114" s="74"/>
      <c r="B114" s="75"/>
      <c r="C114" s="76" t="s">
        <v>247</v>
      </c>
      <c r="D114" s="77" t="s">
        <v>248</v>
      </c>
      <c r="E114" s="75"/>
      <c r="F114" s="78" t="n">
        <v>0.6697</v>
      </c>
      <c r="G114" s="75"/>
      <c r="H114" s="75"/>
      <c r="I114" s="75"/>
      <c r="J114" s="75"/>
      <c r="K114" s="79"/>
    </row>
    <row r="115">
      <c r="A115" s="74"/>
      <c r="B115" s="75"/>
      <c r="C115" s="76" t="s">
        <v>249</v>
      </c>
      <c r="D115" s="77" t="s">
        <v>250</v>
      </c>
      <c r="E115" s="75"/>
      <c r="F115" s="78" t="n">
        <v>0.86156</v>
      </c>
      <c r="G115" s="75"/>
      <c r="H115" s="75"/>
      <c r="I115" s="75"/>
      <c r="J115" s="75"/>
      <c r="K115" s="79"/>
    </row>
    <row r="116">
      <c r="A116" s="74"/>
      <c r="B116" s="75"/>
      <c r="C116" s="76" t="s">
        <v>259</v>
      </c>
      <c r="D116" s="77" t="s">
        <v>53</v>
      </c>
      <c r="E116" s="75"/>
      <c r="F116" s="78" t="n">
        <v>0.1225</v>
      </c>
      <c r="G116" s="75"/>
      <c r="H116" s="75"/>
      <c r="I116" s="75"/>
      <c r="J116" s="75"/>
      <c r="K116" s="79"/>
    </row>
    <row r="117">
      <c r="A117" s="58"/>
      <c r="B117" s="80" t="s">
        <v>108</v>
      </c>
      <c r="C117" s="59" t="s">
        <v>260</v>
      </c>
      <c r="D117" s="60"/>
      <c r="E117" s="60"/>
      <c r="F117" s="60"/>
      <c r="G117" s="60"/>
      <c r="H117" s="60"/>
      <c r="I117" s="60"/>
      <c r="J117" s="60"/>
      <c r="K117" s="61"/>
      <c r="BX117" s="95" t="s">
        <v>260</v>
      </c>
    </row>
    <row r="118">
      <c r="A118" s="82" t="s">
        <v>261</v>
      </c>
      <c r="B118" s="83" t="s">
        <v>262</v>
      </c>
      <c r="C118" s="84" t="s">
        <v>263</v>
      </c>
      <c r="D118" s="83"/>
      <c r="E118" s="83" t="s">
        <v>130</v>
      </c>
      <c r="F118" s="85" t="n">
        <v>127.065</v>
      </c>
      <c r="G118" s="85" t="n">
        <v>0</v>
      </c>
      <c r="H118" s="85">
        <f>F118*AO118</f>
      </c>
      <c r="I118" s="85">
        <f>F118*AP118</f>
      </c>
      <c r="J118" s="85">
        <f>F118*G118</f>
      </c>
      <c r="K118" s="86" t="s">
        <v>100</v>
      </c>
      <c r="Z118" s="56">
        <f>IF(AQ118="5",BJ118,0)</f>
      </c>
      <c r="AB118" s="56">
        <f>IF(AQ118="1",BH118,0)</f>
      </c>
      <c r="AC118" s="56">
        <f>IF(AQ118="1",BI118,0)</f>
      </c>
      <c r="AD118" s="56">
        <f>IF(AQ118="7",BH118,0)</f>
      </c>
      <c r="AE118" s="56">
        <f>IF(AQ118="7",BI118,0)</f>
      </c>
      <c r="AF118" s="56">
        <f>IF(AQ118="2",BH118,0)</f>
      </c>
      <c r="AG118" s="56">
        <f>IF(AQ118="2",BI118,0)</f>
      </c>
      <c r="AH118" s="56">
        <f>IF(AQ118="0",BJ118,0)</f>
      </c>
      <c r="AI118" s="28" t="s">
        <v>57</v>
      </c>
      <c r="AJ118" s="56">
        <f>IF(AN118=0,J118,0)</f>
      </c>
      <c r="AK118" s="56">
        <f>IF(AN118=12,J118,0)</f>
      </c>
      <c r="AL118" s="56">
        <f>IF(AN118=21,J118,0)</f>
      </c>
      <c r="AN118" s="56" t="n">
        <v>21</v>
      </c>
      <c r="AO118" s="56">
        <f>G118*0.688363239</f>
      </c>
      <c r="AP118" s="56">
        <f>G118*(1-0.688363239)</f>
      </c>
      <c r="AQ118" s="57" t="s">
        <v>58</v>
      </c>
      <c r="AV118" s="56">
        <f>AW118+AX118</f>
      </c>
      <c r="AW118" s="56">
        <f>F118*AO118</f>
      </c>
      <c r="AX118" s="56">
        <f>F118*AP118</f>
      </c>
      <c r="AY118" s="57" t="s">
        <v>243</v>
      </c>
      <c r="AZ118" s="57" t="s">
        <v>244</v>
      </c>
      <c r="BA118" s="28" t="s">
        <v>64</v>
      </c>
      <c r="BC118" s="56">
        <f>AW118+AX118</f>
      </c>
      <c r="BD118" s="56">
        <f>G118/(100-BE118)*100</f>
      </c>
      <c r="BE118" s="56" t="n">
        <v>0</v>
      </c>
      <c r="BF118" s="56">
        <f>118</f>
      </c>
      <c r="BH118" s="56">
        <f>F118*AO118</f>
      </c>
      <c r="BI118" s="56">
        <f>F118*AP118</f>
      </c>
      <c r="BJ118" s="56">
        <f>F118*G118</f>
      </c>
      <c r="BK118" s="56"/>
      <c r="BL118" s="56" t="n">
        <v>41</v>
      </c>
      <c r="BW118" s="56" t="n">
        <v>21</v>
      </c>
      <c r="BX118" s="14" t="s">
        <v>263</v>
      </c>
    </row>
    <row r="119" customHeight="true" ht="13.5">
      <c r="A119" s="58"/>
      <c r="C119" s="59" t="s">
        <v>264</v>
      </c>
      <c r="D119" s="60"/>
      <c r="E119" s="60"/>
      <c r="F119" s="60"/>
      <c r="G119" s="60"/>
      <c r="H119" s="60"/>
      <c r="I119" s="60"/>
      <c r="J119" s="60"/>
      <c r="K119" s="61"/>
    </row>
    <row r="120">
      <c r="A120" s="68"/>
      <c r="B120" s="69"/>
      <c r="C120" s="70" t="s">
        <v>265</v>
      </c>
      <c r="D120" s="71" t="s">
        <v>266</v>
      </c>
      <c r="E120" s="69"/>
      <c r="F120" s="72" t="n">
        <v>127.065</v>
      </c>
      <c r="G120" s="69"/>
      <c r="H120" s="69"/>
      <c r="I120" s="69"/>
      <c r="J120" s="69"/>
      <c r="K120" s="73"/>
    </row>
    <row r="121" customHeight="true" ht="94.5">
      <c r="A121" s="58"/>
      <c r="B121" s="80" t="s">
        <v>267</v>
      </c>
      <c r="C121" s="59" t="s">
        <v>268</v>
      </c>
      <c r="D121" s="60"/>
      <c r="E121" s="60"/>
      <c r="F121" s="60"/>
      <c r="G121" s="60"/>
      <c r="H121" s="60"/>
      <c r="I121" s="60"/>
      <c r="J121" s="60"/>
      <c r="K121" s="61"/>
    </row>
    <row r="122">
      <c r="A122" s="62" t="s">
        <v>53</v>
      </c>
      <c r="B122" s="63" t="s">
        <v>269</v>
      </c>
      <c r="C122" s="64" t="s">
        <v>270</v>
      </c>
      <c r="D122" s="63"/>
      <c r="E122" s="65" t="s">
        <v>34</v>
      </c>
      <c r="F122" s="65" t="s">
        <v>34</v>
      </c>
      <c r="G122" s="65" t="s">
        <v>34</v>
      </c>
      <c r="H122" s="66">
        <f>SUM(H123:H123)</f>
      </c>
      <c r="I122" s="66">
        <f>SUM(I123:I123)</f>
      </c>
      <c r="J122" s="66">
        <f>SUM(J123:J123)</f>
      </c>
      <c r="K122" s="67" t="s">
        <v>53</v>
      </c>
      <c r="AI122" s="28" t="s">
        <v>57</v>
      </c>
      <c r="AS122" s="2">
        <f>SUM(AJ123:AJ123)</f>
      </c>
      <c r="AT122" s="2">
        <f>SUM(AK123:AK123)</f>
      </c>
      <c r="AU122" s="2">
        <f>SUM(AL123:AL123)</f>
      </c>
    </row>
    <row r="123">
      <c r="A123" s="51" t="s">
        <v>116</v>
      </c>
      <c r="B123" s="52" t="s">
        <v>271</v>
      </c>
      <c r="C123" s="53" t="s">
        <v>272</v>
      </c>
      <c r="D123" s="52"/>
      <c r="E123" s="52" t="s">
        <v>273</v>
      </c>
      <c r="F123" s="54" t="n">
        <v>2</v>
      </c>
      <c r="G123" s="54" t="n">
        <v>0</v>
      </c>
      <c r="H123" s="54">
        <f>F123*AO123</f>
      </c>
      <c r="I123" s="54">
        <f>F123*AP123</f>
      </c>
      <c r="J123" s="54">
        <f>F123*G123</f>
      </c>
      <c r="K123" s="55" t="s">
        <v>100</v>
      </c>
      <c r="Z123" s="56">
        <f>IF(AQ123="5",BJ123,0)</f>
      </c>
      <c r="AB123" s="56">
        <f>IF(AQ123="1",BH123,0)</f>
      </c>
      <c r="AC123" s="56">
        <f>IF(AQ123="1",BI123,0)</f>
      </c>
      <c r="AD123" s="56">
        <f>IF(AQ123="7",BH123,0)</f>
      </c>
      <c r="AE123" s="56">
        <f>IF(AQ123="7",BI123,0)</f>
      </c>
      <c r="AF123" s="56">
        <f>IF(AQ123="2",BH123,0)</f>
      </c>
      <c r="AG123" s="56">
        <f>IF(AQ123="2",BI123,0)</f>
      </c>
      <c r="AH123" s="56">
        <f>IF(AQ123="0",BJ123,0)</f>
      </c>
      <c r="AI123" s="28" t="s">
        <v>57</v>
      </c>
      <c r="AJ123" s="56">
        <f>IF(AN123=0,J123,0)</f>
      </c>
      <c r="AK123" s="56">
        <f>IF(AN123=12,J123,0)</f>
      </c>
      <c r="AL123" s="56">
        <f>IF(AN123=21,J123,0)</f>
      </c>
      <c r="AN123" s="56" t="n">
        <v>21</v>
      </c>
      <c r="AO123" s="56">
        <f>G123*0.11022</f>
      </c>
      <c r="AP123" s="56">
        <f>G123*(1-0.11022)</f>
      </c>
      <c r="AQ123" s="57" t="s">
        <v>58</v>
      </c>
      <c r="AV123" s="56">
        <f>AW123+AX123</f>
      </c>
      <c r="AW123" s="56">
        <f>F123*AO123</f>
      </c>
      <c r="AX123" s="56">
        <f>F123*AP123</f>
      </c>
      <c r="AY123" s="57" t="s">
        <v>274</v>
      </c>
      <c r="AZ123" s="57" t="s">
        <v>244</v>
      </c>
      <c r="BA123" s="28" t="s">
        <v>64</v>
      </c>
      <c r="BC123" s="56">
        <f>AW123+AX123</f>
      </c>
      <c r="BD123" s="56">
        <f>G123/(100-BE123)*100</f>
      </c>
      <c r="BE123" s="56" t="n">
        <v>0</v>
      </c>
      <c r="BF123" s="56">
        <f>123</f>
      </c>
      <c r="BH123" s="56">
        <f>F123*AO123</f>
      </c>
      <c r="BI123" s="56">
        <f>F123*AP123</f>
      </c>
      <c r="BJ123" s="56">
        <f>F123*G123</f>
      </c>
      <c r="BK123" s="56"/>
      <c r="BL123" s="56" t="n">
        <v>44</v>
      </c>
      <c r="BW123" s="56" t="n">
        <v>21</v>
      </c>
      <c r="BX123" s="14" t="s">
        <v>272</v>
      </c>
    </row>
    <row r="124" customHeight="true" ht="13.5">
      <c r="A124" s="58"/>
      <c r="C124" s="59" t="s">
        <v>275</v>
      </c>
      <c r="D124" s="60"/>
      <c r="E124" s="60"/>
      <c r="F124" s="60"/>
      <c r="G124" s="60"/>
      <c r="H124" s="60"/>
      <c r="I124" s="60"/>
      <c r="J124" s="60"/>
      <c r="K124" s="61"/>
    </row>
    <row r="125">
      <c r="A125" s="68"/>
      <c r="B125" s="69"/>
      <c r="C125" s="70" t="s">
        <v>61</v>
      </c>
      <c r="D125" s="71" t="s">
        <v>276</v>
      </c>
      <c r="E125" s="69"/>
      <c r="F125" s="72" t="n">
        <v>2</v>
      </c>
      <c r="G125" s="69"/>
      <c r="H125" s="69"/>
      <c r="I125" s="69"/>
      <c r="J125" s="69"/>
      <c r="K125" s="73"/>
    </row>
    <row r="126">
      <c r="A126" s="58"/>
      <c r="B126" s="80" t="s">
        <v>108</v>
      </c>
      <c r="C126" s="59" t="s">
        <v>277</v>
      </c>
      <c r="D126" s="60"/>
      <c r="E126" s="60"/>
      <c r="F126" s="60"/>
      <c r="G126" s="60"/>
      <c r="H126" s="60"/>
      <c r="I126" s="60"/>
      <c r="J126" s="60"/>
      <c r="K126" s="61"/>
      <c r="BX126" s="81" t="s">
        <v>277</v>
      </c>
    </row>
    <row r="127">
      <c r="A127" s="62" t="s">
        <v>53</v>
      </c>
      <c r="B127" s="63" t="s">
        <v>278</v>
      </c>
      <c r="C127" s="64" t="s">
        <v>279</v>
      </c>
      <c r="D127" s="63"/>
      <c r="E127" s="65" t="s">
        <v>34</v>
      </c>
      <c r="F127" s="65" t="s">
        <v>34</v>
      </c>
      <c r="G127" s="65" t="s">
        <v>34</v>
      </c>
      <c r="H127" s="66">
        <f>SUM(H128:H128)</f>
      </c>
      <c r="I127" s="66">
        <f>SUM(I128:I128)</f>
      </c>
      <c r="J127" s="66">
        <f>SUM(J128:J128)</f>
      </c>
      <c r="K127" s="67" t="s">
        <v>53</v>
      </c>
      <c r="AI127" s="28" t="s">
        <v>57</v>
      </c>
      <c r="AS127" s="2">
        <f>SUM(AJ128:AJ128)</f>
      </c>
      <c r="AT127" s="2">
        <f>SUM(AK128:AK128)</f>
      </c>
      <c r="AU127" s="2">
        <f>SUM(AL128:AL128)</f>
      </c>
    </row>
    <row r="128">
      <c r="A128" s="51" t="s">
        <v>125</v>
      </c>
      <c r="B128" s="52" t="s">
        <v>280</v>
      </c>
      <c r="C128" s="53" t="s">
        <v>281</v>
      </c>
      <c r="D128" s="52"/>
      <c r="E128" s="52" t="s">
        <v>130</v>
      </c>
      <c r="F128" s="54" t="n">
        <v>2.52</v>
      </c>
      <c r="G128" s="54" t="n">
        <v>0</v>
      </c>
      <c r="H128" s="54">
        <f>F128*AO128</f>
      </c>
      <c r="I128" s="54">
        <f>F128*AP128</f>
      </c>
      <c r="J128" s="54">
        <f>F128*G128</f>
      </c>
      <c r="K128" s="55" t="s">
        <v>100</v>
      </c>
      <c r="Z128" s="56">
        <f>IF(AQ128="5",BJ128,0)</f>
      </c>
      <c r="AB128" s="56">
        <f>IF(AQ128="1",BH128,0)</f>
      </c>
      <c r="AC128" s="56">
        <f>IF(AQ128="1",BI128,0)</f>
      </c>
      <c r="AD128" s="56">
        <f>IF(AQ128="7",BH128,0)</f>
      </c>
      <c r="AE128" s="56">
        <f>IF(AQ128="7",BI128,0)</f>
      </c>
      <c r="AF128" s="56">
        <f>IF(AQ128="2",BH128,0)</f>
      </c>
      <c r="AG128" s="56">
        <f>IF(AQ128="2",BI128,0)</f>
      </c>
      <c r="AH128" s="56">
        <f>IF(AQ128="0",BJ128,0)</f>
      </c>
      <c r="AI128" s="28" t="s">
        <v>57</v>
      </c>
      <c r="AJ128" s="56">
        <f>IF(AN128=0,J128,0)</f>
      </c>
      <c r="AK128" s="56">
        <f>IF(AN128=12,J128,0)</f>
      </c>
      <c r="AL128" s="56">
        <f>IF(AN128=21,J128,0)</f>
      </c>
      <c r="AN128" s="56" t="n">
        <v>21</v>
      </c>
      <c r="AO128" s="56">
        <f>G128*0.779039346</f>
      </c>
      <c r="AP128" s="56">
        <f>G128*(1-0.779039346)</f>
      </c>
      <c r="AQ128" s="57" t="s">
        <v>58</v>
      </c>
      <c r="AV128" s="56">
        <f>AW128+AX128</f>
      </c>
      <c r="AW128" s="56">
        <f>F128*AO128</f>
      </c>
      <c r="AX128" s="56">
        <f>F128*AP128</f>
      </c>
      <c r="AY128" s="57" t="s">
        <v>282</v>
      </c>
      <c r="AZ128" s="57" t="s">
        <v>244</v>
      </c>
      <c r="BA128" s="28" t="s">
        <v>64</v>
      </c>
      <c r="BC128" s="56">
        <f>AW128+AX128</f>
      </c>
      <c r="BD128" s="56">
        <f>G128/(100-BE128)*100</f>
      </c>
      <c r="BE128" s="56" t="n">
        <v>0</v>
      </c>
      <c r="BF128" s="56">
        <f>128</f>
      </c>
      <c r="BH128" s="56">
        <f>F128*AO128</f>
      </c>
      <c r="BI128" s="56">
        <f>F128*AP128</f>
      </c>
      <c r="BJ128" s="56">
        <f>F128*G128</f>
      </c>
      <c r="BK128" s="56"/>
      <c r="BL128" s="56" t="n">
        <v>45</v>
      </c>
      <c r="BW128" s="56" t="n">
        <v>21</v>
      </c>
      <c r="BX128" s="14" t="s">
        <v>281</v>
      </c>
    </row>
    <row r="129">
      <c r="A129" s="74"/>
      <c r="B129" s="75"/>
      <c r="C129" s="76" t="s">
        <v>283</v>
      </c>
      <c r="D129" s="77" t="s">
        <v>284</v>
      </c>
      <c r="E129" s="75"/>
      <c r="F129" s="78" t="n">
        <v>1.98</v>
      </c>
      <c r="G129" s="75"/>
      <c r="H129" s="75"/>
      <c r="I129" s="75"/>
      <c r="J129" s="75"/>
      <c r="K129" s="79"/>
    </row>
    <row r="130">
      <c r="A130" s="74"/>
      <c r="B130" s="75"/>
      <c r="C130" s="76" t="s">
        <v>285</v>
      </c>
      <c r="D130" s="77" t="s">
        <v>105</v>
      </c>
      <c r="E130" s="75"/>
      <c r="F130" s="78" t="n">
        <v>0.54</v>
      </c>
      <c r="G130" s="75"/>
      <c r="H130" s="75"/>
      <c r="I130" s="75"/>
      <c r="J130" s="75"/>
      <c r="K130" s="79"/>
    </row>
    <row r="131">
      <c r="A131" s="58"/>
      <c r="B131" s="80" t="s">
        <v>108</v>
      </c>
      <c r="C131" s="59" t="s">
        <v>286</v>
      </c>
      <c r="D131" s="60"/>
      <c r="E131" s="60"/>
      <c r="F131" s="60"/>
      <c r="G131" s="60"/>
      <c r="H131" s="60"/>
      <c r="I131" s="60"/>
      <c r="J131" s="60"/>
      <c r="K131" s="61"/>
      <c r="BX131" s="81" t="s">
        <v>286</v>
      </c>
    </row>
    <row r="132">
      <c r="A132" s="62" t="s">
        <v>53</v>
      </c>
      <c r="B132" s="63" t="s">
        <v>287</v>
      </c>
      <c r="C132" s="64" t="s">
        <v>288</v>
      </c>
      <c r="D132" s="63"/>
      <c r="E132" s="65" t="s">
        <v>34</v>
      </c>
      <c r="F132" s="65" t="s">
        <v>34</v>
      </c>
      <c r="G132" s="65" t="s">
        <v>34</v>
      </c>
      <c r="H132" s="66">
        <f>SUM(H133:H138)</f>
      </c>
      <c r="I132" s="66">
        <f>SUM(I133:I138)</f>
      </c>
      <c r="J132" s="66">
        <f>SUM(J133:J138)</f>
      </c>
      <c r="K132" s="67" t="s">
        <v>53</v>
      </c>
      <c r="AI132" s="28" t="s">
        <v>57</v>
      </c>
      <c r="AS132" s="2">
        <f>SUM(AJ133:AJ138)</f>
      </c>
      <c r="AT132" s="2">
        <f>SUM(AK133:AK138)</f>
      </c>
      <c r="AU132" s="2">
        <f>SUM(AL133:AL138)</f>
      </c>
    </row>
    <row r="133">
      <c r="A133" s="51" t="s">
        <v>289</v>
      </c>
      <c r="B133" s="52" t="s">
        <v>290</v>
      </c>
      <c r="C133" s="53" t="s">
        <v>291</v>
      </c>
      <c r="D133" s="52"/>
      <c r="E133" s="52" t="s">
        <v>130</v>
      </c>
      <c r="F133" s="54" t="n">
        <v>29</v>
      </c>
      <c r="G133" s="54" t="n">
        <v>0</v>
      </c>
      <c r="H133" s="54">
        <f>F133*AO133</f>
      </c>
      <c r="I133" s="54">
        <f>F133*AP133</f>
      </c>
      <c r="J133" s="54">
        <f>F133*G133</f>
      </c>
      <c r="K133" s="55" t="s">
        <v>100</v>
      </c>
      <c r="Z133" s="56">
        <f>IF(AQ133="5",BJ133,0)</f>
      </c>
      <c r="AB133" s="56">
        <f>IF(AQ133="1",BH133,0)</f>
      </c>
      <c r="AC133" s="56">
        <f>IF(AQ133="1",BI133,0)</f>
      </c>
      <c r="AD133" s="56">
        <f>IF(AQ133="7",BH133,0)</f>
      </c>
      <c r="AE133" s="56">
        <f>IF(AQ133="7",BI133,0)</f>
      </c>
      <c r="AF133" s="56">
        <f>IF(AQ133="2",BH133,0)</f>
      </c>
      <c r="AG133" s="56">
        <f>IF(AQ133="2",BI133,0)</f>
      </c>
      <c r="AH133" s="56">
        <f>IF(AQ133="0",BJ133,0)</f>
      </c>
      <c r="AI133" s="28" t="s">
        <v>57</v>
      </c>
      <c r="AJ133" s="56">
        <f>IF(AN133=0,J133,0)</f>
      </c>
      <c r="AK133" s="56">
        <f>IF(AN133=12,J133,0)</f>
      </c>
      <c r="AL133" s="56">
        <f>IF(AN133=21,J133,0)</f>
      </c>
      <c r="AN133" s="56" t="n">
        <v>21</v>
      </c>
      <c r="AO133" s="56">
        <f>G133*0</f>
      </c>
      <c r="AP133" s="56">
        <f>G133*(1-0)</f>
      </c>
      <c r="AQ133" s="57" t="s">
        <v>58</v>
      </c>
      <c r="AV133" s="56">
        <f>AW133+AX133</f>
      </c>
      <c r="AW133" s="56">
        <f>F133*AO133</f>
      </c>
      <c r="AX133" s="56">
        <f>F133*AP133</f>
      </c>
      <c r="AY133" s="57" t="s">
        <v>292</v>
      </c>
      <c r="AZ133" s="57" t="s">
        <v>293</v>
      </c>
      <c r="BA133" s="28" t="s">
        <v>64</v>
      </c>
      <c r="BC133" s="56">
        <f>AW133+AX133</f>
      </c>
      <c r="BD133" s="56">
        <f>G133/(100-BE133)*100</f>
      </c>
      <c r="BE133" s="56" t="n">
        <v>0</v>
      </c>
      <c r="BF133" s="56">
        <f>133</f>
      </c>
      <c r="BH133" s="56">
        <f>F133*AO133</f>
      </c>
      <c r="BI133" s="56">
        <f>F133*AP133</f>
      </c>
      <c r="BJ133" s="56">
        <f>F133*G133</f>
      </c>
      <c r="BK133" s="56"/>
      <c r="BL133" s="56" t="n">
        <v>60</v>
      </c>
      <c r="BW133" s="56" t="n">
        <v>21</v>
      </c>
      <c r="BX133" s="14" t="s">
        <v>291</v>
      </c>
    </row>
    <row r="134" customHeight="true" ht="13.5">
      <c r="A134" s="58"/>
      <c r="C134" s="59" t="s">
        <v>294</v>
      </c>
      <c r="D134" s="60"/>
      <c r="E134" s="60"/>
      <c r="F134" s="60"/>
      <c r="G134" s="60"/>
      <c r="H134" s="60"/>
      <c r="I134" s="60"/>
      <c r="J134" s="60"/>
      <c r="K134" s="61"/>
    </row>
    <row r="135">
      <c r="A135" s="68"/>
      <c r="B135" s="69"/>
      <c r="C135" s="70" t="s">
        <v>295</v>
      </c>
      <c r="D135" s="71" t="s">
        <v>296</v>
      </c>
      <c r="E135" s="69"/>
      <c r="F135" s="72" t="n">
        <v>3.4</v>
      </c>
      <c r="G135" s="69"/>
      <c r="H135" s="69"/>
      <c r="I135" s="69"/>
      <c r="J135" s="69"/>
      <c r="K135" s="73"/>
    </row>
    <row r="136">
      <c r="A136" s="74"/>
      <c r="B136" s="75"/>
      <c r="C136" s="76" t="s">
        <v>297</v>
      </c>
      <c r="D136" s="77" t="s">
        <v>298</v>
      </c>
      <c r="E136" s="75"/>
      <c r="F136" s="78" t="n">
        <v>25.6</v>
      </c>
      <c r="G136" s="75"/>
      <c r="H136" s="75"/>
      <c r="I136" s="75"/>
      <c r="J136" s="75"/>
      <c r="K136" s="79"/>
    </row>
    <row r="137" ht="24.75">
      <c r="A137" s="58"/>
      <c r="B137" s="80" t="s">
        <v>108</v>
      </c>
      <c r="C137" s="59" t="s">
        <v>299</v>
      </c>
      <c r="D137" s="60"/>
      <c r="E137" s="60"/>
      <c r="F137" s="60"/>
      <c r="G137" s="60"/>
      <c r="H137" s="60"/>
      <c r="I137" s="60"/>
      <c r="J137" s="60"/>
      <c r="K137" s="61"/>
      <c r="BX137" s="81" t="s">
        <v>299</v>
      </c>
    </row>
    <row r="138">
      <c r="A138" s="87" t="s">
        <v>300</v>
      </c>
      <c r="B138" s="88" t="s">
        <v>301</v>
      </c>
      <c r="C138" s="89" t="s">
        <v>302</v>
      </c>
      <c r="D138" s="88"/>
      <c r="E138" s="88" t="s">
        <v>303</v>
      </c>
      <c r="F138" s="90" t="n">
        <v>42.945</v>
      </c>
      <c r="G138" s="90" t="n">
        <v>0</v>
      </c>
      <c r="H138" s="90">
        <f>F138*AO138</f>
      </c>
      <c r="I138" s="90">
        <f>F138*AP138</f>
      </c>
      <c r="J138" s="90">
        <f>F138*G138</f>
      </c>
      <c r="K138" s="91" t="s">
        <v>100</v>
      </c>
      <c r="Z138" s="56">
        <f>IF(AQ138="5",BJ138,0)</f>
      </c>
      <c r="AB138" s="56">
        <f>IF(AQ138="1",BH138,0)</f>
      </c>
      <c r="AC138" s="56">
        <f>IF(AQ138="1",BI138,0)</f>
      </c>
      <c r="AD138" s="56">
        <f>IF(AQ138="7",BH138,0)</f>
      </c>
      <c r="AE138" s="56">
        <f>IF(AQ138="7",BI138,0)</f>
      </c>
      <c r="AF138" s="56">
        <f>IF(AQ138="2",BH138,0)</f>
      </c>
      <c r="AG138" s="56">
        <f>IF(AQ138="2",BI138,0)</f>
      </c>
      <c r="AH138" s="56">
        <f>IF(AQ138="0",BJ138,0)</f>
      </c>
      <c r="AI138" s="28" t="s">
        <v>57</v>
      </c>
      <c r="AJ138" s="92">
        <f>IF(AN138=0,J138,0)</f>
      </c>
      <c r="AK138" s="92">
        <f>IF(AN138=12,J138,0)</f>
      </c>
      <c r="AL138" s="92">
        <f>IF(AN138=21,J138,0)</f>
      </c>
      <c r="AN138" s="56" t="n">
        <v>21</v>
      </c>
      <c r="AO138" s="56">
        <f>G138*1</f>
      </c>
      <c r="AP138" s="56">
        <f>G138*(1-1)</f>
      </c>
      <c r="AQ138" s="93" t="s">
        <v>58</v>
      </c>
      <c r="AV138" s="56">
        <f>AW138+AX138</f>
      </c>
      <c r="AW138" s="56">
        <f>F138*AO138</f>
      </c>
      <c r="AX138" s="56">
        <f>F138*AP138</f>
      </c>
      <c r="AY138" s="57" t="s">
        <v>292</v>
      </c>
      <c r="AZ138" s="57" t="s">
        <v>293</v>
      </c>
      <c r="BA138" s="28" t="s">
        <v>64</v>
      </c>
      <c r="BC138" s="56">
        <f>AW138+AX138</f>
      </c>
      <c r="BD138" s="56">
        <f>G138/(100-BE138)*100</f>
      </c>
      <c r="BE138" s="56" t="n">
        <v>0</v>
      </c>
      <c r="BF138" s="56">
        <f>138</f>
      </c>
      <c r="BH138" s="92">
        <f>F138*AO138</f>
      </c>
      <c r="BI138" s="92">
        <f>F138*AP138</f>
      </c>
      <c r="BJ138" s="92">
        <f>F138*G138</f>
      </c>
      <c r="BK138" s="92"/>
      <c r="BL138" s="56" t="n">
        <v>60</v>
      </c>
      <c r="BW138" s="56" t="n">
        <v>21</v>
      </c>
      <c r="BX138" s="94" t="s">
        <v>302</v>
      </c>
    </row>
    <row r="139">
      <c r="A139" s="74"/>
      <c r="B139" s="75"/>
      <c r="C139" s="76" t="s">
        <v>304</v>
      </c>
      <c r="D139" s="77" t="s">
        <v>305</v>
      </c>
      <c r="E139" s="75"/>
      <c r="F139" s="78" t="n">
        <v>15.3</v>
      </c>
      <c r="G139" s="75"/>
      <c r="H139" s="75"/>
      <c r="I139" s="75"/>
      <c r="J139" s="75"/>
      <c r="K139" s="79"/>
    </row>
    <row r="140">
      <c r="A140" s="74"/>
      <c r="B140" s="75"/>
      <c r="C140" s="76" t="s">
        <v>297</v>
      </c>
      <c r="D140" s="77" t="s">
        <v>298</v>
      </c>
      <c r="E140" s="75"/>
      <c r="F140" s="78" t="n">
        <v>25.6</v>
      </c>
      <c r="G140" s="75"/>
      <c r="H140" s="75"/>
      <c r="I140" s="75"/>
      <c r="J140" s="75"/>
      <c r="K140" s="79"/>
    </row>
    <row r="141">
      <c r="A141" s="74"/>
      <c r="B141" s="75"/>
      <c r="C141" s="76" t="s">
        <v>306</v>
      </c>
      <c r="D141" s="77" t="s">
        <v>53</v>
      </c>
      <c r="E141" s="75"/>
      <c r="F141" s="78" t="n">
        <v>2.045</v>
      </c>
      <c r="G141" s="75"/>
      <c r="H141" s="75"/>
      <c r="I141" s="75"/>
      <c r="J141" s="75"/>
      <c r="K141" s="79"/>
    </row>
    <row r="142">
      <c r="A142" s="58"/>
      <c r="B142" s="80" t="s">
        <v>108</v>
      </c>
      <c r="C142" s="59" t="s">
        <v>307</v>
      </c>
      <c r="D142" s="60"/>
      <c r="E142" s="60"/>
      <c r="F142" s="60"/>
      <c r="G142" s="60"/>
      <c r="H142" s="60"/>
      <c r="I142" s="60"/>
      <c r="J142" s="60"/>
      <c r="K142" s="61"/>
      <c r="BX142" s="95" t="s">
        <v>307</v>
      </c>
    </row>
    <row r="143">
      <c r="A143" s="62" t="s">
        <v>53</v>
      </c>
      <c r="B143" s="63" t="s">
        <v>308</v>
      </c>
      <c r="C143" s="64" t="s">
        <v>309</v>
      </c>
      <c r="D143" s="63"/>
      <c r="E143" s="65" t="s">
        <v>34</v>
      </c>
      <c r="F143" s="65" t="s">
        <v>34</v>
      </c>
      <c r="G143" s="65" t="s">
        <v>34</v>
      </c>
      <c r="H143" s="66">
        <f>SUM(H144:H144)</f>
      </c>
      <c r="I143" s="66">
        <f>SUM(I144:I144)</f>
      </c>
      <c r="J143" s="66">
        <f>SUM(J144:J144)</f>
      </c>
      <c r="K143" s="67" t="s">
        <v>53</v>
      </c>
      <c r="AI143" s="28" t="s">
        <v>57</v>
      </c>
      <c r="AS143" s="2">
        <f>SUM(AJ144:AJ144)</f>
      </c>
      <c r="AT143" s="2">
        <f>SUM(AK144:AK144)</f>
      </c>
      <c r="AU143" s="2">
        <f>SUM(AL144:AL144)</f>
      </c>
    </row>
    <row r="144">
      <c r="A144" s="51" t="s">
        <v>310</v>
      </c>
      <c r="B144" s="52" t="s">
        <v>311</v>
      </c>
      <c r="C144" s="53" t="s">
        <v>312</v>
      </c>
      <c r="D144" s="52"/>
      <c r="E144" s="52" t="s">
        <v>130</v>
      </c>
      <c r="F144" s="54" t="n">
        <v>29</v>
      </c>
      <c r="G144" s="54" t="n">
        <v>0</v>
      </c>
      <c r="H144" s="54">
        <f>F144*AO144</f>
      </c>
      <c r="I144" s="54">
        <f>F144*AP144</f>
      </c>
      <c r="J144" s="54">
        <f>F144*G144</f>
      </c>
      <c r="K144" s="55" t="s">
        <v>100</v>
      </c>
      <c r="Z144" s="56">
        <f>IF(AQ144="5",BJ144,0)</f>
      </c>
      <c r="AB144" s="56">
        <f>IF(AQ144="1",BH144,0)</f>
      </c>
      <c r="AC144" s="56">
        <f>IF(AQ144="1",BI144,0)</f>
      </c>
      <c r="AD144" s="56">
        <f>IF(AQ144="7",BH144,0)</f>
      </c>
      <c r="AE144" s="56">
        <f>IF(AQ144="7",BI144,0)</f>
      </c>
      <c r="AF144" s="56">
        <f>IF(AQ144="2",BH144,0)</f>
      </c>
      <c r="AG144" s="56">
        <f>IF(AQ144="2",BI144,0)</f>
      </c>
      <c r="AH144" s="56">
        <f>IF(AQ144="0",BJ144,0)</f>
      </c>
      <c r="AI144" s="28" t="s">
        <v>57</v>
      </c>
      <c r="AJ144" s="56">
        <f>IF(AN144=0,J144,0)</f>
      </c>
      <c r="AK144" s="56">
        <f>IF(AN144=12,J144,0)</f>
      </c>
      <c r="AL144" s="56">
        <f>IF(AN144=21,J144,0)</f>
      </c>
      <c r="AN144" s="56" t="n">
        <v>21</v>
      </c>
      <c r="AO144" s="56">
        <f>G144*0.308046473</f>
      </c>
      <c r="AP144" s="56">
        <f>G144*(1-0.308046473)</f>
      </c>
      <c r="AQ144" s="57" t="s">
        <v>58</v>
      </c>
      <c r="AV144" s="56">
        <f>AW144+AX144</f>
      </c>
      <c r="AW144" s="56">
        <f>F144*AO144</f>
      </c>
      <c r="AX144" s="56">
        <f>F144*AP144</f>
      </c>
      <c r="AY144" s="57" t="s">
        <v>313</v>
      </c>
      <c r="AZ144" s="57" t="s">
        <v>293</v>
      </c>
      <c r="BA144" s="28" t="s">
        <v>64</v>
      </c>
      <c r="BC144" s="56">
        <f>AW144+AX144</f>
      </c>
      <c r="BD144" s="56">
        <f>G144/(100-BE144)*100</f>
      </c>
      <c r="BE144" s="56" t="n">
        <v>0</v>
      </c>
      <c r="BF144" s="56">
        <f>144</f>
      </c>
      <c r="BH144" s="56">
        <f>F144*AO144</f>
      </c>
      <c r="BI144" s="56">
        <f>F144*AP144</f>
      </c>
      <c r="BJ144" s="56">
        <f>F144*G144</f>
      </c>
      <c r="BK144" s="56"/>
      <c r="BL144" s="56" t="n">
        <v>61</v>
      </c>
      <c r="BW144" s="56" t="n">
        <v>21</v>
      </c>
      <c r="BX144" s="14" t="s">
        <v>312</v>
      </c>
    </row>
    <row r="145" customHeight="true" ht="13.5">
      <c r="A145" s="58"/>
      <c r="C145" s="59" t="s">
        <v>314</v>
      </c>
      <c r="D145" s="60"/>
      <c r="E145" s="60"/>
      <c r="F145" s="60"/>
      <c r="G145" s="60"/>
      <c r="H145" s="60"/>
      <c r="I145" s="60"/>
      <c r="J145" s="60"/>
      <c r="K145" s="61"/>
    </row>
    <row r="146">
      <c r="A146" s="68"/>
      <c r="B146" s="69"/>
      <c r="C146" s="70" t="s">
        <v>315</v>
      </c>
      <c r="D146" s="71" t="s">
        <v>142</v>
      </c>
      <c r="E146" s="69"/>
      <c r="F146" s="72" t="n">
        <v>3.4</v>
      </c>
      <c r="G146" s="69"/>
      <c r="H146" s="69"/>
      <c r="I146" s="69"/>
      <c r="J146" s="69"/>
      <c r="K146" s="73"/>
    </row>
    <row r="147">
      <c r="A147" s="74"/>
      <c r="B147" s="75"/>
      <c r="C147" s="76" t="s">
        <v>297</v>
      </c>
      <c r="D147" s="77" t="s">
        <v>298</v>
      </c>
      <c r="E147" s="75"/>
      <c r="F147" s="78" t="n">
        <v>25.6</v>
      </c>
      <c r="G147" s="75"/>
      <c r="H147" s="75"/>
      <c r="I147" s="75"/>
      <c r="J147" s="75"/>
      <c r="K147" s="79"/>
    </row>
    <row r="148">
      <c r="A148" s="58"/>
      <c r="B148" s="80" t="s">
        <v>108</v>
      </c>
      <c r="C148" s="59" t="s">
        <v>316</v>
      </c>
      <c r="D148" s="60"/>
      <c r="E148" s="60"/>
      <c r="F148" s="60"/>
      <c r="G148" s="60"/>
      <c r="H148" s="60"/>
      <c r="I148" s="60"/>
      <c r="J148" s="60"/>
      <c r="K148" s="61"/>
      <c r="BX148" s="81" t="s">
        <v>316</v>
      </c>
    </row>
    <row r="149">
      <c r="A149" s="62" t="s">
        <v>53</v>
      </c>
      <c r="B149" s="63" t="s">
        <v>317</v>
      </c>
      <c r="C149" s="64" t="s">
        <v>318</v>
      </c>
      <c r="D149" s="63"/>
      <c r="E149" s="65" t="s">
        <v>34</v>
      </c>
      <c r="F149" s="65" t="s">
        <v>34</v>
      </c>
      <c r="G149" s="65" t="s">
        <v>34</v>
      </c>
      <c r="H149" s="66">
        <f>SUM(H150:H173)</f>
      </c>
      <c r="I149" s="66">
        <f>SUM(I150:I173)</f>
      </c>
      <c r="J149" s="66">
        <f>SUM(J150:J173)</f>
      </c>
      <c r="K149" s="67" t="s">
        <v>53</v>
      </c>
      <c r="AI149" s="28" t="s">
        <v>57</v>
      </c>
      <c r="AS149" s="2">
        <f>SUM(AJ150:AJ173)</f>
      </c>
      <c r="AT149" s="2">
        <f>SUM(AK150:AK173)</f>
      </c>
      <c r="AU149" s="2">
        <f>SUM(AL150:AL173)</f>
      </c>
    </row>
    <row r="150">
      <c r="A150" s="51" t="s">
        <v>319</v>
      </c>
      <c r="B150" s="52" t="s">
        <v>320</v>
      </c>
      <c r="C150" s="53" t="s">
        <v>321</v>
      </c>
      <c r="D150" s="52"/>
      <c r="E150" s="52" t="s">
        <v>99</v>
      </c>
      <c r="F150" s="54" t="n">
        <v>12.744</v>
      </c>
      <c r="G150" s="54" t="n">
        <v>0</v>
      </c>
      <c r="H150" s="54">
        <f>F150*AO150</f>
      </c>
      <c r="I150" s="54">
        <f>F150*AP150</f>
      </c>
      <c r="J150" s="54">
        <f>F150*G150</f>
      </c>
      <c r="K150" s="55" t="s">
        <v>100</v>
      </c>
      <c r="Z150" s="56">
        <f>IF(AQ150="5",BJ150,0)</f>
      </c>
      <c r="AB150" s="56">
        <f>IF(AQ150="1",BH150,0)</f>
      </c>
      <c r="AC150" s="56">
        <f>IF(AQ150="1",BI150,0)</f>
      </c>
      <c r="AD150" s="56">
        <f>IF(AQ150="7",BH150,0)</f>
      </c>
      <c r="AE150" s="56">
        <f>IF(AQ150="7",BI150,0)</f>
      </c>
      <c r="AF150" s="56">
        <f>IF(AQ150="2",BH150,0)</f>
      </c>
      <c r="AG150" s="56">
        <f>IF(AQ150="2",BI150,0)</f>
      </c>
      <c r="AH150" s="56">
        <f>IF(AQ150="0",BJ150,0)</f>
      </c>
      <c r="AI150" s="28" t="s">
        <v>57</v>
      </c>
      <c r="AJ150" s="56">
        <f>IF(AN150=0,J150,0)</f>
      </c>
      <c r="AK150" s="56">
        <f>IF(AN150=12,J150,0)</f>
      </c>
      <c r="AL150" s="56">
        <f>IF(AN150=21,J150,0)</f>
      </c>
      <c r="AN150" s="56" t="n">
        <v>21</v>
      </c>
      <c r="AO150" s="56">
        <f>G150*0</f>
      </c>
      <c r="AP150" s="56">
        <f>G150*(1-0)</f>
      </c>
      <c r="AQ150" s="57" t="s">
        <v>58</v>
      </c>
      <c r="AV150" s="56">
        <f>AW150+AX150</f>
      </c>
      <c r="AW150" s="56">
        <f>F150*AO150</f>
      </c>
      <c r="AX150" s="56">
        <f>F150*AP150</f>
      </c>
      <c r="AY150" s="57" t="s">
        <v>322</v>
      </c>
      <c r="AZ150" s="57" t="s">
        <v>293</v>
      </c>
      <c r="BA150" s="28" t="s">
        <v>64</v>
      </c>
      <c r="BC150" s="56">
        <f>AW150+AX150</f>
      </c>
      <c r="BD150" s="56">
        <f>G150/(100-BE150)*100</f>
      </c>
      <c r="BE150" s="56" t="n">
        <v>0</v>
      </c>
      <c r="BF150" s="56">
        <f>150</f>
      </c>
      <c r="BH150" s="56">
        <f>F150*AO150</f>
      </c>
      <c r="BI150" s="56">
        <f>F150*AP150</f>
      </c>
      <c r="BJ150" s="56">
        <f>F150*G150</f>
      </c>
      <c r="BK150" s="56"/>
      <c r="BL150" s="56" t="n">
        <v>63</v>
      </c>
      <c r="BW150" s="56" t="n">
        <v>21</v>
      </c>
      <c r="BX150" s="14" t="s">
        <v>321</v>
      </c>
    </row>
    <row r="151">
      <c r="A151" s="74"/>
      <c r="B151" s="75"/>
      <c r="C151" s="76" t="s">
        <v>323</v>
      </c>
      <c r="D151" s="77" t="s">
        <v>324</v>
      </c>
      <c r="E151" s="75"/>
      <c r="F151" s="78" t="n">
        <v>12.744</v>
      </c>
      <c r="G151" s="75"/>
      <c r="H151" s="75"/>
      <c r="I151" s="75"/>
      <c r="J151" s="75"/>
      <c r="K151" s="79"/>
    </row>
    <row r="152" ht="24.75">
      <c r="A152" s="58"/>
      <c r="B152" s="80" t="s">
        <v>108</v>
      </c>
      <c r="C152" s="59" t="s">
        <v>325</v>
      </c>
      <c r="D152" s="60"/>
      <c r="E152" s="60"/>
      <c r="F152" s="60"/>
      <c r="G152" s="60"/>
      <c r="H152" s="60"/>
      <c r="I152" s="60"/>
      <c r="J152" s="60"/>
      <c r="K152" s="61"/>
      <c r="BX152" s="81" t="s">
        <v>325</v>
      </c>
    </row>
    <row r="153">
      <c r="A153" s="87" t="s">
        <v>326</v>
      </c>
      <c r="B153" s="88" t="s">
        <v>327</v>
      </c>
      <c r="C153" s="89" t="s">
        <v>328</v>
      </c>
      <c r="D153" s="88"/>
      <c r="E153" s="88" t="s">
        <v>303</v>
      </c>
      <c r="F153" s="90" t="n">
        <v>378.4968</v>
      </c>
      <c r="G153" s="90" t="n">
        <v>0</v>
      </c>
      <c r="H153" s="90">
        <f>F153*AO153</f>
      </c>
      <c r="I153" s="90">
        <f>F153*AP153</f>
      </c>
      <c r="J153" s="90">
        <f>F153*G153</f>
      </c>
      <c r="K153" s="91" t="s">
        <v>100</v>
      </c>
      <c r="Z153" s="56">
        <f>IF(AQ153="5",BJ153,0)</f>
      </c>
      <c r="AB153" s="56">
        <f>IF(AQ153="1",BH153,0)</f>
      </c>
      <c r="AC153" s="56">
        <f>IF(AQ153="1",BI153,0)</f>
      </c>
      <c r="AD153" s="56">
        <f>IF(AQ153="7",BH153,0)</f>
      </c>
      <c r="AE153" s="56">
        <f>IF(AQ153="7",BI153,0)</f>
      </c>
      <c r="AF153" s="56">
        <f>IF(AQ153="2",BH153,0)</f>
      </c>
      <c r="AG153" s="56">
        <f>IF(AQ153="2",BI153,0)</f>
      </c>
      <c r="AH153" s="56">
        <f>IF(AQ153="0",BJ153,0)</f>
      </c>
      <c r="AI153" s="28" t="s">
        <v>57</v>
      </c>
      <c r="AJ153" s="92">
        <f>IF(AN153=0,J153,0)</f>
      </c>
      <c r="AK153" s="92">
        <f>IF(AN153=12,J153,0)</f>
      </c>
      <c r="AL153" s="92">
        <f>IF(AN153=21,J153,0)</f>
      </c>
      <c r="AN153" s="56" t="n">
        <v>21</v>
      </c>
      <c r="AO153" s="56">
        <f>G153*1</f>
      </c>
      <c r="AP153" s="56">
        <f>G153*(1-1)</f>
      </c>
      <c r="AQ153" s="93" t="s">
        <v>58</v>
      </c>
      <c r="AV153" s="56">
        <f>AW153+AX153</f>
      </c>
      <c r="AW153" s="56">
        <f>F153*AO153</f>
      </c>
      <c r="AX153" s="56">
        <f>F153*AP153</f>
      </c>
      <c r="AY153" s="57" t="s">
        <v>322</v>
      </c>
      <c r="AZ153" s="57" t="s">
        <v>293</v>
      </c>
      <c r="BA153" s="28" t="s">
        <v>64</v>
      </c>
      <c r="BC153" s="56">
        <f>AW153+AX153</f>
      </c>
      <c r="BD153" s="56">
        <f>G153/(100-BE153)*100</f>
      </c>
      <c r="BE153" s="56" t="n">
        <v>0</v>
      </c>
      <c r="BF153" s="56">
        <f>153</f>
      </c>
      <c r="BH153" s="92">
        <f>F153*AO153</f>
      </c>
      <c r="BI153" s="92">
        <f>F153*AP153</f>
      </c>
      <c r="BJ153" s="92">
        <f>F153*G153</f>
      </c>
      <c r="BK153" s="92"/>
      <c r="BL153" s="56" t="n">
        <v>63</v>
      </c>
      <c r="BW153" s="56" t="n">
        <v>21</v>
      </c>
      <c r="BX153" s="94" t="s">
        <v>328</v>
      </c>
    </row>
    <row r="154">
      <c r="A154" s="74"/>
      <c r="B154" s="75"/>
      <c r="C154" s="76" t="s">
        <v>329</v>
      </c>
      <c r="D154" s="77" t="s">
        <v>330</v>
      </c>
      <c r="E154" s="75"/>
      <c r="F154" s="78" t="n">
        <v>344.088</v>
      </c>
      <c r="G154" s="75"/>
      <c r="H154" s="75"/>
      <c r="I154" s="75"/>
      <c r="J154" s="75"/>
      <c r="K154" s="79"/>
    </row>
    <row r="155">
      <c r="A155" s="74"/>
      <c r="B155" s="75"/>
      <c r="C155" s="76" t="s">
        <v>331</v>
      </c>
      <c r="D155" s="77" t="s">
        <v>53</v>
      </c>
      <c r="E155" s="75"/>
      <c r="F155" s="78" t="n">
        <v>34.4088</v>
      </c>
      <c r="G155" s="75"/>
      <c r="H155" s="75"/>
      <c r="I155" s="75"/>
      <c r="J155" s="75"/>
      <c r="K155" s="79"/>
    </row>
    <row r="156">
      <c r="A156" s="58"/>
      <c r="B156" s="80" t="s">
        <v>108</v>
      </c>
      <c r="C156" s="59" t="s">
        <v>332</v>
      </c>
      <c r="D156" s="60"/>
      <c r="E156" s="60"/>
      <c r="F156" s="60"/>
      <c r="G156" s="60"/>
      <c r="H156" s="60"/>
      <c r="I156" s="60"/>
      <c r="J156" s="60"/>
      <c r="K156" s="61"/>
      <c r="BX156" s="95" t="s">
        <v>332</v>
      </c>
    </row>
    <row r="157">
      <c r="A157" s="82" t="s">
        <v>333</v>
      </c>
      <c r="B157" s="83" t="s">
        <v>334</v>
      </c>
      <c r="C157" s="84" t="s">
        <v>335</v>
      </c>
      <c r="D157" s="83"/>
      <c r="E157" s="83" t="s">
        <v>130</v>
      </c>
      <c r="F157" s="85" t="n">
        <v>25.488</v>
      </c>
      <c r="G157" s="85" t="n">
        <v>0</v>
      </c>
      <c r="H157" s="85">
        <f>F157*AO157</f>
      </c>
      <c r="I157" s="85">
        <f>F157*AP157</f>
      </c>
      <c r="J157" s="85">
        <f>F157*G157</f>
      </c>
      <c r="K157" s="86" t="s">
        <v>100</v>
      </c>
      <c r="Z157" s="56">
        <f>IF(AQ157="5",BJ157,0)</f>
      </c>
      <c r="AB157" s="56">
        <f>IF(AQ157="1",BH157,0)</f>
      </c>
      <c r="AC157" s="56">
        <f>IF(AQ157="1",BI157,0)</f>
      </c>
      <c r="AD157" s="56">
        <f>IF(AQ157="7",BH157,0)</f>
      </c>
      <c r="AE157" s="56">
        <f>IF(AQ157="7",BI157,0)</f>
      </c>
      <c r="AF157" s="56">
        <f>IF(AQ157="2",BH157,0)</f>
      </c>
      <c r="AG157" s="56">
        <f>IF(AQ157="2",BI157,0)</f>
      </c>
      <c r="AH157" s="56">
        <f>IF(AQ157="0",BJ157,0)</f>
      </c>
      <c r="AI157" s="28" t="s">
        <v>57</v>
      </c>
      <c r="AJ157" s="56">
        <f>IF(AN157=0,J157,0)</f>
      </c>
      <c r="AK157" s="56">
        <f>IF(AN157=12,J157,0)</f>
      </c>
      <c r="AL157" s="56">
        <f>IF(AN157=21,J157,0)</f>
      </c>
      <c r="AN157" s="56" t="n">
        <v>21</v>
      </c>
      <c r="AO157" s="56">
        <f>G157*0.488955578</f>
      </c>
      <c r="AP157" s="56">
        <f>G157*(1-0.488955578)</f>
      </c>
      <c r="AQ157" s="57" t="s">
        <v>58</v>
      </c>
      <c r="AV157" s="56">
        <f>AW157+AX157</f>
      </c>
      <c r="AW157" s="56">
        <f>F157*AO157</f>
      </c>
      <c r="AX157" s="56">
        <f>F157*AP157</f>
      </c>
      <c r="AY157" s="57" t="s">
        <v>322</v>
      </c>
      <c r="AZ157" s="57" t="s">
        <v>293</v>
      </c>
      <c r="BA157" s="28" t="s">
        <v>64</v>
      </c>
      <c r="BC157" s="56">
        <f>AW157+AX157</f>
      </c>
      <c r="BD157" s="56">
        <f>G157/(100-BE157)*100</f>
      </c>
      <c r="BE157" s="56" t="n">
        <v>0</v>
      </c>
      <c r="BF157" s="56">
        <f>157</f>
      </c>
      <c r="BH157" s="56">
        <f>F157*AO157</f>
      </c>
      <c r="BI157" s="56">
        <f>F157*AP157</f>
      </c>
      <c r="BJ157" s="56">
        <f>F157*G157</f>
      </c>
      <c r="BK157" s="56"/>
      <c r="BL157" s="56" t="n">
        <v>63</v>
      </c>
      <c r="BW157" s="56" t="n">
        <v>21</v>
      </c>
      <c r="BX157" s="14" t="s">
        <v>335</v>
      </c>
    </row>
    <row r="158">
      <c r="A158" s="74"/>
      <c r="B158" s="75"/>
      <c r="C158" s="76" t="s">
        <v>336</v>
      </c>
      <c r="D158" s="77" t="s">
        <v>337</v>
      </c>
      <c r="E158" s="75"/>
      <c r="F158" s="78" t="n">
        <v>25.488</v>
      </c>
      <c r="G158" s="75"/>
      <c r="H158" s="75"/>
      <c r="I158" s="75"/>
      <c r="J158" s="75"/>
      <c r="K158" s="79"/>
    </row>
    <row r="159">
      <c r="A159" s="58"/>
      <c r="B159" s="80" t="s">
        <v>108</v>
      </c>
      <c r="C159" s="59" t="s">
        <v>338</v>
      </c>
      <c r="D159" s="60"/>
      <c r="E159" s="60"/>
      <c r="F159" s="60"/>
      <c r="G159" s="60"/>
      <c r="H159" s="60"/>
      <c r="I159" s="60"/>
      <c r="J159" s="60"/>
      <c r="K159" s="61"/>
      <c r="BX159" s="81" t="s">
        <v>338</v>
      </c>
    </row>
    <row r="160">
      <c r="A160" s="87" t="s">
        <v>237</v>
      </c>
      <c r="B160" s="88" t="s">
        <v>339</v>
      </c>
      <c r="C160" s="89" t="s">
        <v>340</v>
      </c>
      <c r="D160" s="88"/>
      <c r="E160" s="88" t="s">
        <v>130</v>
      </c>
      <c r="F160" s="90" t="n">
        <v>13.3812</v>
      </c>
      <c r="G160" s="90" t="n">
        <v>0</v>
      </c>
      <c r="H160" s="90">
        <f>F160*AO160</f>
      </c>
      <c r="I160" s="90">
        <f>F160*AP160</f>
      </c>
      <c r="J160" s="90">
        <f>F160*G160</f>
      </c>
      <c r="K160" s="91" t="s">
        <v>100</v>
      </c>
      <c r="Z160" s="56">
        <f>IF(AQ160="5",BJ160,0)</f>
      </c>
      <c r="AB160" s="56">
        <f>IF(AQ160="1",BH160,0)</f>
      </c>
      <c r="AC160" s="56">
        <f>IF(AQ160="1",BI160,0)</f>
      </c>
      <c r="AD160" s="56">
        <f>IF(AQ160="7",BH160,0)</f>
      </c>
      <c r="AE160" s="56">
        <f>IF(AQ160="7",BI160,0)</f>
      </c>
      <c r="AF160" s="56">
        <f>IF(AQ160="2",BH160,0)</f>
      </c>
      <c r="AG160" s="56">
        <f>IF(AQ160="2",BI160,0)</f>
      </c>
      <c r="AH160" s="56">
        <f>IF(AQ160="0",BJ160,0)</f>
      </c>
      <c r="AI160" s="28" t="s">
        <v>57</v>
      </c>
      <c r="AJ160" s="92">
        <f>IF(AN160=0,J160,0)</f>
      </c>
      <c r="AK160" s="92">
        <f>IF(AN160=12,J160,0)</f>
      </c>
      <c r="AL160" s="92">
        <f>IF(AN160=21,J160,0)</f>
      </c>
      <c r="AN160" s="56" t="n">
        <v>21</v>
      </c>
      <c r="AO160" s="56">
        <f>G160*1</f>
      </c>
      <c r="AP160" s="56">
        <f>G160*(1-1)</f>
      </c>
      <c r="AQ160" s="93" t="s">
        <v>58</v>
      </c>
      <c r="AV160" s="56">
        <f>AW160+AX160</f>
      </c>
      <c r="AW160" s="56">
        <f>F160*AO160</f>
      </c>
      <c r="AX160" s="56">
        <f>F160*AP160</f>
      </c>
      <c r="AY160" s="57" t="s">
        <v>322</v>
      </c>
      <c r="AZ160" s="57" t="s">
        <v>293</v>
      </c>
      <c r="BA160" s="28" t="s">
        <v>64</v>
      </c>
      <c r="BC160" s="56">
        <f>AW160+AX160</f>
      </c>
      <c r="BD160" s="56">
        <f>G160/(100-BE160)*100</f>
      </c>
      <c r="BE160" s="56" t="n">
        <v>0</v>
      </c>
      <c r="BF160" s="56">
        <f>160</f>
      </c>
      <c r="BH160" s="92">
        <f>F160*AO160</f>
      </c>
      <c r="BI160" s="92">
        <f>F160*AP160</f>
      </c>
      <c r="BJ160" s="92">
        <f>F160*G160</f>
      </c>
      <c r="BK160" s="92"/>
      <c r="BL160" s="56" t="n">
        <v>63</v>
      </c>
      <c r="BW160" s="56" t="n">
        <v>21</v>
      </c>
      <c r="BX160" s="94" t="s">
        <v>340</v>
      </c>
    </row>
    <row r="161">
      <c r="A161" s="74"/>
      <c r="B161" s="75"/>
      <c r="C161" s="76" t="s">
        <v>323</v>
      </c>
      <c r="D161" s="77" t="s">
        <v>324</v>
      </c>
      <c r="E161" s="75"/>
      <c r="F161" s="78" t="n">
        <v>12.744</v>
      </c>
      <c r="G161" s="75"/>
      <c r="H161" s="75"/>
      <c r="I161" s="75"/>
      <c r="J161" s="75"/>
      <c r="K161" s="79"/>
    </row>
    <row r="162">
      <c r="A162" s="74"/>
      <c r="B162" s="75"/>
      <c r="C162" s="76" t="s">
        <v>341</v>
      </c>
      <c r="D162" s="77" t="s">
        <v>53</v>
      </c>
      <c r="E162" s="75"/>
      <c r="F162" s="78" t="n">
        <v>0.6372</v>
      </c>
      <c r="G162" s="75"/>
      <c r="H162" s="75"/>
      <c r="I162" s="75"/>
      <c r="J162" s="75"/>
      <c r="K162" s="79"/>
    </row>
    <row r="163" ht="36.75">
      <c r="A163" s="58"/>
      <c r="B163" s="80" t="s">
        <v>108</v>
      </c>
      <c r="C163" s="59" t="s">
        <v>342</v>
      </c>
      <c r="D163" s="60"/>
      <c r="E163" s="60"/>
      <c r="F163" s="60"/>
      <c r="G163" s="60"/>
      <c r="H163" s="60"/>
      <c r="I163" s="60"/>
      <c r="J163" s="60"/>
      <c r="K163" s="61"/>
      <c r="BX163" s="95" t="s">
        <v>342</v>
      </c>
    </row>
    <row r="164">
      <c r="A164" s="87" t="s">
        <v>343</v>
      </c>
      <c r="B164" s="88" t="s">
        <v>344</v>
      </c>
      <c r="C164" s="89" t="s">
        <v>345</v>
      </c>
      <c r="D164" s="88"/>
      <c r="E164" s="88" t="s">
        <v>130</v>
      </c>
      <c r="F164" s="90" t="n">
        <v>13.3812</v>
      </c>
      <c r="G164" s="90" t="n">
        <v>0</v>
      </c>
      <c r="H164" s="90">
        <f>F164*AO164</f>
      </c>
      <c r="I164" s="90">
        <f>F164*AP164</f>
      </c>
      <c r="J164" s="90">
        <f>F164*G164</f>
      </c>
      <c r="K164" s="91" t="s">
        <v>100</v>
      </c>
      <c r="Z164" s="56">
        <f>IF(AQ164="5",BJ164,0)</f>
      </c>
      <c r="AB164" s="56">
        <f>IF(AQ164="1",BH164,0)</f>
      </c>
      <c r="AC164" s="56">
        <f>IF(AQ164="1",BI164,0)</f>
      </c>
      <c r="AD164" s="56">
        <f>IF(AQ164="7",BH164,0)</f>
      </c>
      <c r="AE164" s="56">
        <f>IF(AQ164="7",BI164,0)</f>
      </c>
      <c r="AF164" s="56">
        <f>IF(AQ164="2",BH164,0)</f>
      </c>
      <c r="AG164" s="56">
        <f>IF(AQ164="2",BI164,0)</f>
      </c>
      <c r="AH164" s="56">
        <f>IF(AQ164="0",BJ164,0)</f>
      </c>
      <c r="AI164" s="28" t="s">
        <v>57</v>
      </c>
      <c r="AJ164" s="92">
        <f>IF(AN164=0,J164,0)</f>
      </c>
      <c r="AK164" s="92">
        <f>IF(AN164=12,J164,0)</f>
      </c>
      <c r="AL164" s="92">
        <f>IF(AN164=21,J164,0)</f>
      </c>
      <c r="AN164" s="56" t="n">
        <v>21</v>
      </c>
      <c r="AO164" s="56">
        <f>G164*1</f>
      </c>
      <c r="AP164" s="56">
        <f>G164*(1-1)</f>
      </c>
      <c r="AQ164" s="93" t="s">
        <v>58</v>
      </c>
      <c r="AV164" s="56">
        <f>AW164+AX164</f>
      </c>
      <c r="AW164" s="56">
        <f>F164*AO164</f>
      </c>
      <c r="AX164" s="56">
        <f>F164*AP164</f>
      </c>
      <c r="AY164" s="57" t="s">
        <v>322</v>
      </c>
      <c r="AZ164" s="57" t="s">
        <v>293</v>
      </c>
      <c r="BA164" s="28" t="s">
        <v>64</v>
      </c>
      <c r="BC164" s="56">
        <f>AW164+AX164</f>
      </c>
      <c r="BD164" s="56">
        <f>G164/(100-BE164)*100</f>
      </c>
      <c r="BE164" s="56" t="n">
        <v>0</v>
      </c>
      <c r="BF164" s="56">
        <f>164</f>
      </c>
      <c r="BH164" s="92">
        <f>F164*AO164</f>
      </c>
      <c r="BI164" s="92">
        <f>F164*AP164</f>
      </c>
      <c r="BJ164" s="92">
        <f>F164*G164</f>
      </c>
      <c r="BK164" s="92"/>
      <c r="BL164" s="56" t="n">
        <v>63</v>
      </c>
      <c r="BW164" s="56" t="n">
        <v>21</v>
      </c>
      <c r="BX164" s="94" t="s">
        <v>345</v>
      </c>
    </row>
    <row r="165">
      <c r="A165" s="74"/>
      <c r="B165" s="75"/>
      <c r="C165" s="76" t="s">
        <v>323</v>
      </c>
      <c r="D165" s="77" t="s">
        <v>324</v>
      </c>
      <c r="E165" s="75"/>
      <c r="F165" s="78" t="n">
        <v>12.744</v>
      </c>
      <c r="G165" s="75"/>
      <c r="H165" s="75"/>
      <c r="I165" s="75"/>
      <c r="J165" s="75"/>
      <c r="K165" s="79"/>
    </row>
    <row r="166">
      <c r="A166" s="74"/>
      <c r="B166" s="75"/>
      <c r="C166" s="76" t="s">
        <v>341</v>
      </c>
      <c r="D166" s="77" t="s">
        <v>53</v>
      </c>
      <c r="E166" s="75"/>
      <c r="F166" s="78" t="n">
        <v>0.6372</v>
      </c>
      <c r="G166" s="75"/>
      <c r="H166" s="75"/>
      <c r="I166" s="75"/>
      <c r="J166" s="75"/>
      <c r="K166" s="79"/>
    </row>
    <row r="167">
      <c r="A167" s="58"/>
      <c r="B167" s="80" t="s">
        <v>108</v>
      </c>
      <c r="C167" s="59" t="s">
        <v>346</v>
      </c>
      <c r="D167" s="60"/>
      <c r="E167" s="60"/>
      <c r="F167" s="60"/>
      <c r="G167" s="60"/>
      <c r="H167" s="60"/>
      <c r="I167" s="60"/>
      <c r="J167" s="60"/>
      <c r="K167" s="61"/>
      <c r="BX167" s="95" t="s">
        <v>346</v>
      </c>
    </row>
    <row r="168">
      <c r="A168" s="82" t="s">
        <v>347</v>
      </c>
      <c r="B168" s="83" t="s">
        <v>348</v>
      </c>
      <c r="C168" s="84" t="s">
        <v>349</v>
      </c>
      <c r="D168" s="83"/>
      <c r="E168" s="83" t="s">
        <v>130</v>
      </c>
      <c r="F168" s="85" t="n">
        <v>150.5706</v>
      </c>
      <c r="G168" s="85" t="n">
        <v>0</v>
      </c>
      <c r="H168" s="85">
        <f>F168*AO168</f>
      </c>
      <c r="I168" s="85">
        <f>F168*AP168</f>
      </c>
      <c r="J168" s="85">
        <f>F168*G168</f>
      </c>
      <c r="K168" s="86" t="s">
        <v>100</v>
      </c>
      <c r="Z168" s="56">
        <f>IF(AQ168="5",BJ168,0)</f>
      </c>
      <c r="AB168" s="56">
        <f>IF(AQ168="1",BH168,0)</f>
      </c>
      <c r="AC168" s="56">
        <f>IF(AQ168="1",BI168,0)</f>
      </c>
      <c r="AD168" s="56">
        <f>IF(AQ168="7",BH168,0)</f>
      </c>
      <c r="AE168" s="56">
        <f>IF(AQ168="7",BI168,0)</f>
      </c>
      <c r="AF168" s="56">
        <f>IF(AQ168="2",BH168,0)</f>
      </c>
      <c r="AG168" s="56">
        <f>IF(AQ168="2",BI168,0)</f>
      </c>
      <c r="AH168" s="56">
        <f>IF(AQ168="0",BJ168,0)</f>
      </c>
      <c r="AI168" s="28" t="s">
        <v>57</v>
      </c>
      <c r="AJ168" s="56">
        <f>IF(AN168=0,J168,0)</f>
      </c>
      <c r="AK168" s="56">
        <f>IF(AN168=12,J168,0)</f>
      </c>
      <c r="AL168" s="56">
        <f>IF(AN168=21,J168,0)</f>
      </c>
      <c r="AN168" s="56" t="n">
        <v>21</v>
      </c>
      <c r="AO168" s="56">
        <f>G168*0.707615779</f>
      </c>
      <c r="AP168" s="56">
        <f>G168*(1-0.707615779)</f>
      </c>
      <c r="AQ168" s="57" t="s">
        <v>58</v>
      </c>
      <c r="AV168" s="56">
        <f>AW168+AX168</f>
      </c>
      <c r="AW168" s="56">
        <f>F168*AO168</f>
      </c>
      <c r="AX168" s="56">
        <f>F168*AP168</f>
      </c>
      <c r="AY168" s="57" t="s">
        <v>322</v>
      </c>
      <c r="AZ168" s="57" t="s">
        <v>293</v>
      </c>
      <c r="BA168" s="28" t="s">
        <v>64</v>
      </c>
      <c r="BC168" s="56">
        <f>AW168+AX168</f>
      </c>
      <c r="BD168" s="56">
        <f>G168/(100-BE168)*100</f>
      </c>
      <c r="BE168" s="56" t="n">
        <v>0</v>
      </c>
      <c r="BF168" s="56">
        <f>168</f>
      </c>
      <c r="BH168" s="56">
        <f>F168*AO168</f>
      </c>
      <c r="BI168" s="56">
        <f>F168*AP168</f>
      </c>
      <c r="BJ168" s="56">
        <f>F168*G168</f>
      </c>
      <c r="BK168" s="56"/>
      <c r="BL168" s="56" t="n">
        <v>63</v>
      </c>
      <c r="BW168" s="56" t="n">
        <v>21</v>
      </c>
      <c r="BX168" s="14" t="s">
        <v>349</v>
      </c>
    </row>
    <row r="169" customHeight="true" ht="13.5">
      <c r="A169" s="58"/>
      <c r="C169" s="59" t="s">
        <v>350</v>
      </c>
      <c r="D169" s="60"/>
      <c r="E169" s="60"/>
      <c r="F169" s="60"/>
      <c r="G169" s="60"/>
      <c r="H169" s="60"/>
      <c r="I169" s="60"/>
      <c r="J169" s="60"/>
      <c r="K169" s="61"/>
    </row>
    <row r="170">
      <c r="A170" s="68"/>
      <c r="B170" s="69"/>
      <c r="C170" s="70" t="s">
        <v>323</v>
      </c>
      <c r="D170" s="71" t="s">
        <v>324</v>
      </c>
      <c r="E170" s="69"/>
      <c r="F170" s="72" t="n">
        <v>12.744</v>
      </c>
      <c r="G170" s="69"/>
      <c r="H170" s="69"/>
      <c r="I170" s="69"/>
      <c r="J170" s="69"/>
      <c r="K170" s="73"/>
    </row>
    <row r="171">
      <c r="A171" s="74"/>
      <c r="B171" s="75"/>
      <c r="C171" s="76" t="s">
        <v>351</v>
      </c>
      <c r="D171" s="77" t="s">
        <v>352</v>
      </c>
      <c r="E171" s="75"/>
      <c r="F171" s="78" t="n">
        <v>137.8266</v>
      </c>
      <c r="G171" s="75"/>
      <c r="H171" s="75"/>
      <c r="I171" s="75"/>
      <c r="J171" s="75"/>
      <c r="K171" s="79"/>
    </row>
    <row r="172">
      <c r="A172" s="58"/>
      <c r="B172" s="80" t="s">
        <v>108</v>
      </c>
      <c r="C172" s="59" t="s">
        <v>353</v>
      </c>
      <c r="D172" s="60"/>
      <c r="E172" s="60"/>
      <c r="F172" s="60"/>
      <c r="G172" s="60"/>
      <c r="H172" s="60"/>
      <c r="I172" s="60"/>
      <c r="J172" s="60"/>
      <c r="K172" s="61"/>
      <c r="BX172" s="81" t="s">
        <v>353</v>
      </c>
    </row>
    <row r="173">
      <c r="A173" s="82" t="s">
        <v>269</v>
      </c>
      <c r="B173" s="83" t="s">
        <v>354</v>
      </c>
      <c r="C173" s="84" t="s">
        <v>355</v>
      </c>
      <c r="D173" s="83"/>
      <c r="E173" s="83" t="s">
        <v>130</v>
      </c>
      <c r="F173" s="85" t="n">
        <v>137.8266</v>
      </c>
      <c r="G173" s="85" t="n">
        <v>0</v>
      </c>
      <c r="H173" s="85">
        <f>F173*AO173</f>
      </c>
      <c r="I173" s="85">
        <f>F173*AP173</f>
      </c>
      <c r="J173" s="85">
        <f>F173*G173</f>
      </c>
      <c r="K173" s="86" t="s">
        <v>100</v>
      </c>
      <c r="Z173" s="56">
        <f>IF(AQ173="5",BJ173,0)</f>
      </c>
      <c r="AB173" s="56">
        <f>IF(AQ173="1",BH173,0)</f>
      </c>
      <c r="AC173" s="56">
        <f>IF(AQ173="1",BI173,0)</f>
      </c>
      <c r="AD173" s="56">
        <f>IF(AQ173="7",BH173,0)</f>
      </c>
      <c r="AE173" s="56">
        <f>IF(AQ173="7",BI173,0)</f>
      </c>
      <c r="AF173" s="56">
        <f>IF(AQ173="2",BH173,0)</f>
      </c>
      <c r="AG173" s="56">
        <f>IF(AQ173="2",BI173,0)</f>
      </c>
      <c r="AH173" s="56">
        <f>IF(AQ173="0",BJ173,0)</f>
      </c>
      <c r="AI173" s="28" t="s">
        <v>57</v>
      </c>
      <c r="AJ173" s="56">
        <f>IF(AN173=0,J173,0)</f>
      </c>
      <c r="AK173" s="56">
        <f>IF(AN173=12,J173,0)</f>
      </c>
      <c r="AL173" s="56">
        <f>IF(AN173=21,J173,0)</f>
      </c>
      <c r="AN173" s="56" t="n">
        <v>21</v>
      </c>
      <c r="AO173" s="56">
        <f>G173*0.783741649</f>
      </c>
      <c r="AP173" s="56">
        <f>G173*(1-0.783741649)</f>
      </c>
      <c r="AQ173" s="57" t="s">
        <v>58</v>
      </c>
      <c r="AV173" s="56">
        <f>AW173+AX173</f>
      </c>
      <c r="AW173" s="56">
        <f>F173*AO173</f>
      </c>
      <c r="AX173" s="56">
        <f>F173*AP173</f>
      </c>
      <c r="AY173" s="57" t="s">
        <v>322</v>
      </c>
      <c r="AZ173" s="57" t="s">
        <v>293</v>
      </c>
      <c r="BA173" s="28" t="s">
        <v>64</v>
      </c>
      <c r="BC173" s="56">
        <f>AW173+AX173</f>
      </c>
      <c r="BD173" s="56">
        <f>G173/(100-BE173)*100</f>
      </c>
      <c r="BE173" s="56" t="n">
        <v>0</v>
      </c>
      <c r="BF173" s="56">
        <f>173</f>
      </c>
      <c r="BH173" s="56">
        <f>F173*AO173</f>
      </c>
      <c r="BI173" s="56">
        <f>F173*AP173</f>
      </c>
      <c r="BJ173" s="56">
        <f>F173*G173</f>
      </c>
      <c r="BK173" s="56"/>
      <c r="BL173" s="56" t="n">
        <v>63</v>
      </c>
      <c r="BW173" s="56" t="n">
        <v>21</v>
      </c>
      <c r="BX173" s="14" t="s">
        <v>355</v>
      </c>
    </row>
    <row r="174" customHeight="true" ht="67.5">
      <c r="A174" s="58"/>
      <c r="C174" s="59" t="s">
        <v>356</v>
      </c>
      <c r="D174" s="60"/>
      <c r="E174" s="60"/>
      <c r="F174" s="60"/>
      <c r="G174" s="60"/>
      <c r="H174" s="60"/>
      <c r="I174" s="60"/>
      <c r="J174" s="60"/>
      <c r="K174" s="61"/>
    </row>
    <row r="175">
      <c r="A175" s="68"/>
      <c r="B175" s="69"/>
      <c r="C175" s="70" t="s">
        <v>351</v>
      </c>
      <c r="D175" s="71" t="s">
        <v>357</v>
      </c>
      <c r="E175" s="69"/>
      <c r="F175" s="72" t="n">
        <v>137.8266</v>
      </c>
      <c r="G175" s="69"/>
      <c r="H175" s="69"/>
      <c r="I175" s="69"/>
      <c r="J175" s="69"/>
      <c r="K175" s="73"/>
    </row>
    <row r="176">
      <c r="A176" s="58"/>
      <c r="B176" s="80" t="s">
        <v>108</v>
      </c>
      <c r="C176" s="59" t="s">
        <v>358</v>
      </c>
      <c r="D176" s="60"/>
      <c r="E176" s="60"/>
      <c r="F176" s="60"/>
      <c r="G176" s="60"/>
      <c r="H176" s="60"/>
      <c r="I176" s="60"/>
      <c r="J176" s="60"/>
      <c r="K176" s="61"/>
      <c r="BX176" s="81" t="s">
        <v>358</v>
      </c>
    </row>
    <row r="177">
      <c r="A177" s="62" t="s">
        <v>53</v>
      </c>
      <c r="B177" s="63" t="s">
        <v>359</v>
      </c>
      <c r="C177" s="64" t="s">
        <v>360</v>
      </c>
      <c r="D177" s="63"/>
      <c r="E177" s="65" t="s">
        <v>34</v>
      </c>
      <c r="F177" s="65" t="s">
        <v>34</v>
      </c>
      <c r="G177" s="65" t="s">
        <v>34</v>
      </c>
      <c r="H177" s="66">
        <f>SUM(H178:H190)</f>
      </c>
      <c r="I177" s="66">
        <f>SUM(I178:I190)</f>
      </c>
      <c r="J177" s="66">
        <f>SUM(J178:J190)</f>
      </c>
      <c r="K177" s="67" t="s">
        <v>53</v>
      </c>
      <c r="AI177" s="28" t="s">
        <v>57</v>
      </c>
      <c r="AS177" s="2">
        <f>SUM(AJ178:AJ190)</f>
      </c>
      <c r="AT177" s="2">
        <f>SUM(AK178:AK190)</f>
      </c>
      <c r="AU177" s="2">
        <f>SUM(AL178:AL190)</f>
      </c>
    </row>
    <row r="178">
      <c r="A178" s="51" t="s">
        <v>278</v>
      </c>
      <c r="B178" s="52" t="s">
        <v>361</v>
      </c>
      <c r="C178" s="53" t="s">
        <v>362</v>
      </c>
      <c r="D178" s="52"/>
      <c r="E178" s="52" t="s">
        <v>180</v>
      </c>
      <c r="F178" s="54" t="n">
        <v>4</v>
      </c>
      <c r="G178" s="54" t="n">
        <v>0</v>
      </c>
      <c r="H178" s="54">
        <f>F178*AO178</f>
      </c>
      <c r="I178" s="54">
        <f>F178*AP178</f>
      </c>
      <c r="J178" s="54">
        <f>F178*G178</f>
      </c>
      <c r="K178" s="55" t="s">
        <v>100</v>
      </c>
      <c r="Z178" s="56">
        <f>IF(AQ178="5",BJ178,0)</f>
      </c>
      <c r="AB178" s="56">
        <f>IF(AQ178="1",BH178,0)</f>
      </c>
      <c r="AC178" s="56">
        <f>IF(AQ178="1",BI178,0)</f>
      </c>
      <c r="AD178" s="56">
        <f>IF(AQ178="7",BH178,0)</f>
      </c>
      <c r="AE178" s="56">
        <f>IF(AQ178="7",BI178,0)</f>
      </c>
      <c r="AF178" s="56">
        <f>IF(AQ178="2",BH178,0)</f>
      </c>
      <c r="AG178" s="56">
        <f>IF(AQ178="2",BI178,0)</f>
      </c>
      <c r="AH178" s="56">
        <f>IF(AQ178="0",BJ178,0)</f>
      </c>
      <c r="AI178" s="28" t="s">
        <v>57</v>
      </c>
      <c r="AJ178" s="56">
        <f>IF(AN178=0,J178,0)</f>
      </c>
      <c r="AK178" s="56">
        <f>IF(AN178=12,J178,0)</f>
      </c>
      <c r="AL178" s="56">
        <f>IF(AN178=21,J178,0)</f>
      </c>
      <c r="AN178" s="56" t="n">
        <v>21</v>
      </c>
      <c r="AO178" s="56">
        <f>G178*0</f>
      </c>
      <c r="AP178" s="56">
        <f>G178*(1-0)</f>
      </c>
      <c r="AQ178" s="57" t="s">
        <v>58</v>
      </c>
      <c r="AV178" s="56">
        <f>AW178+AX178</f>
      </c>
      <c r="AW178" s="56">
        <f>F178*AO178</f>
      </c>
      <c r="AX178" s="56">
        <f>F178*AP178</f>
      </c>
      <c r="AY178" s="57" t="s">
        <v>363</v>
      </c>
      <c r="AZ178" s="57" t="s">
        <v>293</v>
      </c>
      <c r="BA178" s="28" t="s">
        <v>64</v>
      </c>
      <c r="BC178" s="56">
        <f>AW178+AX178</f>
      </c>
      <c r="BD178" s="56">
        <f>G178/(100-BE178)*100</f>
      </c>
      <c r="BE178" s="56" t="n">
        <v>0</v>
      </c>
      <c r="BF178" s="56">
        <f>178</f>
      </c>
      <c r="BH178" s="56">
        <f>F178*AO178</f>
      </c>
      <c r="BI178" s="56">
        <f>F178*AP178</f>
      </c>
      <c r="BJ178" s="56">
        <f>F178*G178</f>
      </c>
      <c r="BK178" s="56"/>
      <c r="BL178" s="56" t="n">
        <v>64</v>
      </c>
      <c r="BW178" s="56" t="n">
        <v>21</v>
      </c>
      <c r="BX178" s="14" t="s">
        <v>362</v>
      </c>
    </row>
    <row r="179">
      <c r="A179" s="74"/>
      <c r="B179" s="75"/>
      <c r="C179" s="76" t="s">
        <v>76</v>
      </c>
      <c r="D179" s="77" t="s">
        <v>53</v>
      </c>
      <c r="E179" s="75"/>
      <c r="F179" s="78" t="n">
        <v>4</v>
      </c>
      <c r="G179" s="75"/>
      <c r="H179" s="75"/>
      <c r="I179" s="75"/>
      <c r="J179" s="75"/>
      <c r="K179" s="79"/>
    </row>
    <row r="180" ht="24.75">
      <c r="A180" s="58"/>
      <c r="B180" s="80" t="s">
        <v>108</v>
      </c>
      <c r="C180" s="59" t="s">
        <v>364</v>
      </c>
      <c r="D180" s="60"/>
      <c r="E180" s="60"/>
      <c r="F180" s="60"/>
      <c r="G180" s="60"/>
      <c r="H180" s="60"/>
      <c r="I180" s="60"/>
      <c r="J180" s="60"/>
      <c r="K180" s="61"/>
      <c r="BX180" s="81" t="s">
        <v>364</v>
      </c>
    </row>
    <row r="181">
      <c r="A181" s="87" t="s">
        <v>365</v>
      </c>
      <c r="B181" s="88" t="s">
        <v>366</v>
      </c>
      <c r="C181" s="89" t="s">
        <v>367</v>
      </c>
      <c r="D181" s="88"/>
      <c r="E181" s="88" t="s">
        <v>180</v>
      </c>
      <c r="F181" s="90" t="n">
        <v>1</v>
      </c>
      <c r="G181" s="90" t="n">
        <v>0</v>
      </c>
      <c r="H181" s="90">
        <f>F181*AO181</f>
      </c>
      <c r="I181" s="90">
        <f>F181*AP181</f>
      </c>
      <c r="J181" s="90">
        <f>F181*G181</f>
      </c>
      <c r="K181" s="91" t="s">
        <v>100</v>
      </c>
      <c r="Z181" s="56">
        <f>IF(AQ181="5",BJ181,0)</f>
      </c>
      <c r="AB181" s="56">
        <f>IF(AQ181="1",BH181,0)</f>
      </c>
      <c r="AC181" s="56">
        <f>IF(AQ181="1",BI181,0)</f>
      </c>
      <c r="AD181" s="56">
        <f>IF(AQ181="7",BH181,0)</f>
      </c>
      <c r="AE181" s="56">
        <f>IF(AQ181="7",BI181,0)</f>
      </c>
      <c r="AF181" s="56">
        <f>IF(AQ181="2",BH181,0)</f>
      </c>
      <c r="AG181" s="56">
        <f>IF(AQ181="2",BI181,0)</f>
      </c>
      <c r="AH181" s="56">
        <f>IF(AQ181="0",BJ181,0)</f>
      </c>
      <c r="AI181" s="28" t="s">
        <v>57</v>
      </c>
      <c r="AJ181" s="92">
        <f>IF(AN181=0,J181,0)</f>
      </c>
      <c r="AK181" s="92">
        <f>IF(AN181=12,J181,0)</f>
      </c>
      <c r="AL181" s="92">
        <f>IF(AN181=21,J181,0)</f>
      </c>
      <c r="AN181" s="56" t="n">
        <v>21</v>
      </c>
      <c r="AO181" s="56">
        <f>G181*1</f>
      </c>
      <c r="AP181" s="56">
        <f>G181*(1-1)</f>
      </c>
      <c r="AQ181" s="93" t="s">
        <v>58</v>
      </c>
      <c r="AV181" s="56">
        <f>AW181+AX181</f>
      </c>
      <c r="AW181" s="56">
        <f>F181*AO181</f>
      </c>
      <c r="AX181" s="56">
        <f>F181*AP181</f>
      </c>
      <c r="AY181" s="57" t="s">
        <v>363</v>
      </c>
      <c r="AZ181" s="57" t="s">
        <v>293</v>
      </c>
      <c r="BA181" s="28" t="s">
        <v>64</v>
      </c>
      <c r="BC181" s="56">
        <f>AW181+AX181</f>
      </c>
      <c r="BD181" s="56">
        <f>G181/(100-BE181)*100</f>
      </c>
      <c r="BE181" s="56" t="n">
        <v>0</v>
      </c>
      <c r="BF181" s="56">
        <f>181</f>
      </c>
      <c r="BH181" s="92">
        <f>F181*AO181</f>
      </c>
      <c r="BI181" s="92">
        <f>F181*AP181</f>
      </c>
      <c r="BJ181" s="92">
        <f>F181*G181</f>
      </c>
      <c r="BK181" s="92"/>
      <c r="BL181" s="56" t="n">
        <v>64</v>
      </c>
      <c r="BW181" s="56" t="n">
        <v>21</v>
      </c>
      <c r="BX181" s="94" t="s">
        <v>367</v>
      </c>
    </row>
    <row r="182">
      <c r="A182" s="74"/>
      <c r="B182" s="75"/>
      <c r="C182" s="76" t="s">
        <v>58</v>
      </c>
      <c r="D182" s="77" t="s">
        <v>368</v>
      </c>
      <c r="E182" s="75"/>
      <c r="F182" s="78" t="n">
        <v>1</v>
      </c>
      <c r="G182" s="75"/>
      <c r="H182" s="75"/>
      <c r="I182" s="75"/>
      <c r="J182" s="75"/>
      <c r="K182" s="79"/>
    </row>
    <row r="183">
      <c r="A183" s="58"/>
      <c r="B183" s="80" t="s">
        <v>108</v>
      </c>
      <c r="C183" s="59" t="s">
        <v>369</v>
      </c>
      <c r="D183" s="60"/>
      <c r="E183" s="60"/>
      <c r="F183" s="60"/>
      <c r="G183" s="60"/>
      <c r="H183" s="60"/>
      <c r="I183" s="60"/>
      <c r="J183" s="60"/>
      <c r="K183" s="61"/>
      <c r="BX183" s="95" t="s">
        <v>369</v>
      </c>
    </row>
    <row r="184">
      <c r="A184" s="87" t="s">
        <v>370</v>
      </c>
      <c r="B184" s="88" t="s">
        <v>371</v>
      </c>
      <c r="C184" s="89" t="s">
        <v>372</v>
      </c>
      <c r="D184" s="88"/>
      <c r="E184" s="88" t="s">
        <v>180</v>
      </c>
      <c r="F184" s="90" t="n">
        <v>2</v>
      </c>
      <c r="G184" s="90" t="n">
        <v>0</v>
      </c>
      <c r="H184" s="90">
        <f>F184*AO184</f>
      </c>
      <c r="I184" s="90">
        <f>F184*AP184</f>
      </c>
      <c r="J184" s="90">
        <f>F184*G184</f>
      </c>
      <c r="K184" s="91" t="s">
        <v>100</v>
      </c>
      <c r="Z184" s="56">
        <f>IF(AQ184="5",BJ184,0)</f>
      </c>
      <c r="AB184" s="56">
        <f>IF(AQ184="1",BH184,0)</f>
      </c>
      <c r="AC184" s="56">
        <f>IF(AQ184="1",BI184,0)</f>
      </c>
      <c r="AD184" s="56">
        <f>IF(AQ184="7",BH184,0)</f>
      </c>
      <c r="AE184" s="56">
        <f>IF(AQ184="7",BI184,0)</f>
      </c>
      <c r="AF184" s="56">
        <f>IF(AQ184="2",BH184,0)</f>
      </c>
      <c r="AG184" s="56">
        <f>IF(AQ184="2",BI184,0)</f>
      </c>
      <c r="AH184" s="56">
        <f>IF(AQ184="0",BJ184,0)</f>
      </c>
      <c r="AI184" s="28" t="s">
        <v>57</v>
      </c>
      <c r="AJ184" s="92">
        <f>IF(AN184=0,J184,0)</f>
      </c>
      <c r="AK184" s="92">
        <f>IF(AN184=12,J184,0)</f>
      </c>
      <c r="AL184" s="92">
        <f>IF(AN184=21,J184,0)</f>
      </c>
      <c r="AN184" s="56" t="n">
        <v>21</v>
      </c>
      <c r="AO184" s="56">
        <f>G184*1</f>
      </c>
      <c r="AP184" s="56">
        <f>G184*(1-1)</f>
      </c>
      <c r="AQ184" s="93" t="s">
        <v>58</v>
      </c>
      <c r="AV184" s="56">
        <f>AW184+AX184</f>
      </c>
      <c r="AW184" s="56">
        <f>F184*AO184</f>
      </c>
      <c r="AX184" s="56">
        <f>F184*AP184</f>
      </c>
      <c r="AY184" s="57" t="s">
        <v>363</v>
      </c>
      <c r="AZ184" s="57" t="s">
        <v>293</v>
      </c>
      <c r="BA184" s="28" t="s">
        <v>64</v>
      </c>
      <c r="BC184" s="56">
        <f>AW184+AX184</f>
      </c>
      <c r="BD184" s="56">
        <f>G184/(100-BE184)*100</f>
      </c>
      <c r="BE184" s="56" t="n">
        <v>0</v>
      </c>
      <c r="BF184" s="56">
        <f>184</f>
      </c>
      <c r="BH184" s="92">
        <f>F184*AO184</f>
      </c>
      <c r="BI184" s="92">
        <f>F184*AP184</f>
      </c>
      <c r="BJ184" s="92">
        <f>F184*G184</f>
      </c>
      <c r="BK184" s="92"/>
      <c r="BL184" s="56" t="n">
        <v>64</v>
      </c>
      <c r="BW184" s="56" t="n">
        <v>21</v>
      </c>
      <c r="BX184" s="94" t="s">
        <v>372</v>
      </c>
    </row>
    <row r="185">
      <c r="A185" s="74"/>
      <c r="B185" s="75"/>
      <c r="C185" s="76" t="s">
        <v>61</v>
      </c>
      <c r="D185" s="77" t="s">
        <v>373</v>
      </c>
      <c r="E185" s="75"/>
      <c r="F185" s="78" t="n">
        <v>2</v>
      </c>
      <c r="G185" s="75"/>
      <c r="H185" s="75"/>
      <c r="I185" s="75"/>
      <c r="J185" s="75"/>
      <c r="K185" s="79"/>
    </row>
    <row r="186">
      <c r="A186" s="58"/>
      <c r="B186" s="80" t="s">
        <v>108</v>
      </c>
      <c r="C186" s="59" t="s">
        <v>369</v>
      </c>
      <c r="D186" s="60"/>
      <c r="E186" s="60"/>
      <c r="F186" s="60"/>
      <c r="G186" s="60"/>
      <c r="H186" s="60"/>
      <c r="I186" s="60"/>
      <c r="J186" s="60"/>
      <c r="K186" s="61"/>
      <c r="BX186" s="95" t="s">
        <v>369</v>
      </c>
    </row>
    <row r="187">
      <c r="A187" s="87" t="s">
        <v>374</v>
      </c>
      <c r="B187" s="88" t="s">
        <v>375</v>
      </c>
      <c r="C187" s="89" t="s">
        <v>376</v>
      </c>
      <c r="D187" s="88"/>
      <c r="E187" s="88" t="s">
        <v>180</v>
      </c>
      <c r="F187" s="90" t="n">
        <v>1</v>
      </c>
      <c r="G187" s="90" t="n">
        <v>0</v>
      </c>
      <c r="H187" s="90">
        <f>F187*AO187</f>
      </c>
      <c r="I187" s="90">
        <f>F187*AP187</f>
      </c>
      <c r="J187" s="90">
        <f>F187*G187</f>
      </c>
      <c r="K187" s="91" t="s">
        <v>100</v>
      </c>
      <c r="Z187" s="56">
        <f>IF(AQ187="5",BJ187,0)</f>
      </c>
      <c r="AB187" s="56">
        <f>IF(AQ187="1",BH187,0)</f>
      </c>
      <c r="AC187" s="56">
        <f>IF(AQ187="1",BI187,0)</f>
      </c>
      <c r="AD187" s="56">
        <f>IF(AQ187="7",BH187,0)</f>
      </c>
      <c r="AE187" s="56">
        <f>IF(AQ187="7",BI187,0)</f>
      </c>
      <c r="AF187" s="56">
        <f>IF(AQ187="2",BH187,0)</f>
      </c>
      <c r="AG187" s="56">
        <f>IF(AQ187="2",BI187,0)</f>
      </c>
      <c r="AH187" s="56">
        <f>IF(AQ187="0",BJ187,0)</f>
      </c>
      <c r="AI187" s="28" t="s">
        <v>57</v>
      </c>
      <c r="AJ187" s="92">
        <f>IF(AN187=0,J187,0)</f>
      </c>
      <c r="AK187" s="92">
        <f>IF(AN187=12,J187,0)</f>
      </c>
      <c r="AL187" s="92">
        <f>IF(AN187=21,J187,0)</f>
      </c>
      <c r="AN187" s="56" t="n">
        <v>21</v>
      </c>
      <c r="AO187" s="56">
        <f>G187*1</f>
      </c>
      <c r="AP187" s="56">
        <f>G187*(1-1)</f>
      </c>
      <c r="AQ187" s="93" t="s">
        <v>58</v>
      </c>
      <c r="AV187" s="56">
        <f>AW187+AX187</f>
      </c>
      <c r="AW187" s="56">
        <f>F187*AO187</f>
      </c>
      <c r="AX187" s="56">
        <f>F187*AP187</f>
      </c>
      <c r="AY187" s="57" t="s">
        <v>363</v>
      </c>
      <c r="AZ187" s="57" t="s">
        <v>293</v>
      </c>
      <c r="BA187" s="28" t="s">
        <v>64</v>
      </c>
      <c r="BC187" s="56">
        <f>AW187+AX187</f>
      </c>
      <c r="BD187" s="56">
        <f>G187/(100-BE187)*100</f>
      </c>
      <c r="BE187" s="56" t="n">
        <v>0</v>
      </c>
      <c r="BF187" s="56">
        <f>187</f>
      </c>
      <c r="BH187" s="92">
        <f>F187*AO187</f>
      </c>
      <c r="BI187" s="92">
        <f>F187*AP187</f>
      </c>
      <c r="BJ187" s="92">
        <f>F187*G187</f>
      </c>
      <c r="BK187" s="92"/>
      <c r="BL187" s="56" t="n">
        <v>64</v>
      </c>
      <c r="BW187" s="56" t="n">
        <v>21</v>
      </c>
      <c r="BX187" s="94" t="s">
        <v>376</v>
      </c>
    </row>
    <row r="188">
      <c r="A188" s="74"/>
      <c r="B188" s="75"/>
      <c r="C188" s="76" t="s">
        <v>58</v>
      </c>
      <c r="D188" s="77" t="s">
        <v>377</v>
      </c>
      <c r="E188" s="75"/>
      <c r="F188" s="78" t="n">
        <v>1</v>
      </c>
      <c r="G188" s="75"/>
      <c r="H188" s="75"/>
      <c r="I188" s="75"/>
      <c r="J188" s="75"/>
      <c r="K188" s="79"/>
    </row>
    <row r="189">
      <c r="A189" s="58"/>
      <c r="B189" s="80" t="s">
        <v>108</v>
      </c>
      <c r="C189" s="59" t="s">
        <v>369</v>
      </c>
      <c r="D189" s="60"/>
      <c r="E189" s="60"/>
      <c r="F189" s="60"/>
      <c r="G189" s="60"/>
      <c r="H189" s="60"/>
      <c r="I189" s="60"/>
      <c r="J189" s="60"/>
      <c r="K189" s="61"/>
      <c r="BX189" s="95" t="s">
        <v>369</v>
      </c>
    </row>
    <row r="190">
      <c r="A190" s="82" t="s">
        <v>378</v>
      </c>
      <c r="B190" s="83" t="s">
        <v>379</v>
      </c>
      <c r="C190" s="84" t="s">
        <v>380</v>
      </c>
      <c r="D190" s="83"/>
      <c r="E190" s="83" t="s">
        <v>242</v>
      </c>
      <c r="F190" s="85" t="n">
        <v>83.29208</v>
      </c>
      <c r="G190" s="85" t="n">
        <v>0</v>
      </c>
      <c r="H190" s="85">
        <f>F190*AO190</f>
      </c>
      <c r="I190" s="85">
        <f>F190*AP190</f>
      </c>
      <c r="J190" s="85">
        <f>F190*G190</f>
      </c>
      <c r="K190" s="86" t="s">
        <v>100</v>
      </c>
      <c r="Z190" s="56">
        <f>IF(AQ190="5",BJ190,0)</f>
      </c>
      <c r="AB190" s="56">
        <f>IF(AQ190="1",BH190,0)</f>
      </c>
      <c r="AC190" s="56">
        <f>IF(AQ190="1",BI190,0)</f>
      </c>
      <c r="AD190" s="56">
        <f>IF(AQ190="7",BH190,0)</f>
      </c>
      <c r="AE190" s="56">
        <f>IF(AQ190="7",BI190,0)</f>
      </c>
      <c r="AF190" s="56">
        <f>IF(AQ190="2",BH190,0)</f>
      </c>
      <c r="AG190" s="56">
        <f>IF(AQ190="2",BI190,0)</f>
      </c>
      <c r="AH190" s="56">
        <f>IF(AQ190="0",BJ190,0)</f>
      </c>
      <c r="AI190" s="28" t="s">
        <v>57</v>
      </c>
      <c r="AJ190" s="56">
        <f>IF(AN190=0,J190,0)</f>
      </c>
      <c r="AK190" s="56">
        <f>IF(AN190=12,J190,0)</f>
      </c>
      <c r="AL190" s="56">
        <f>IF(AN190=21,J190,0)</f>
      </c>
      <c r="AN190" s="56" t="n">
        <v>21</v>
      </c>
      <c r="AO190" s="56">
        <f>G190*0</f>
      </c>
      <c r="AP190" s="56">
        <f>G190*(1-0)</f>
      </c>
      <c r="AQ190" s="57" t="s">
        <v>79</v>
      </c>
      <c r="AV190" s="56">
        <f>AW190+AX190</f>
      </c>
      <c r="AW190" s="56">
        <f>F190*AO190</f>
      </c>
      <c r="AX190" s="56">
        <f>F190*AP190</f>
      </c>
      <c r="AY190" s="57" t="s">
        <v>363</v>
      </c>
      <c r="AZ190" s="57" t="s">
        <v>293</v>
      </c>
      <c r="BA190" s="28" t="s">
        <v>64</v>
      </c>
      <c r="BC190" s="56">
        <f>AW190+AX190</f>
      </c>
      <c r="BD190" s="56">
        <f>G190/(100-BE190)*100</f>
      </c>
      <c r="BE190" s="56" t="n">
        <v>0</v>
      </c>
      <c r="BF190" s="56">
        <f>190</f>
      </c>
      <c r="BH190" s="56">
        <f>F190*AO190</f>
      </c>
      <c r="BI190" s="56">
        <f>F190*AP190</f>
      </c>
      <c r="BJ190" s="56">
        <f>F190*G190</f>
      </c>
      <c r="BK190" s="56"/>
      <c r="BL190" s="56" t="n">
        <v>64</v>
      </c>
      <c r="BW190" s="56" t="n">
        <v>21</v>
      </c>
      <c r="BX190" s="14" t="s">
        <v>380</v>
      </c>
    </row>
    <row r="191">
      <c r="A191" s="45" t="s">
        <v>53</v>
      </c>
      <c r="B191" s="46" t="s">
        <v>381</v>
      </c>
      <c r="C191" s="47" t="s">
        <v>382</v>
      </c>
      <c r="D191" s="46"/>
      <c r="E191" s="48" t="s">
        <v>34</v>
      </c>
      <c r="F191" s="48" t="s">
        <v>34</v>
      </c>
      <c r="G191" s="48" t="s">
        <v>34</v>
      </c>
      <c r="H191" s="49">
        <f>SUM(H192:H283)</f>
      </c>
      <c r="I191" s="49">
        <f>SUM(I192:I283)</f>
      </c>
      <c r="J191" s="49">
        <f>SUM(J192:J283)</f>
      </c>
      <c r="K191" s="50" t="s">
        <v>53</v>
      </c>
      <c r="AI191" s="28" t="s">
        <v>57</v>
      </c>
      <c r="AS191" s="2">
        <f>SUM(AJ192:AJ283)</f>
      </c>
      <c r="AT191" s="2">
        <f>SUM(AK192:AK283)</f>
      </c>
      <c r="AU191" s="2">
        <f>SUM(AL192:AL283)</f>
      </c>
    </row>
    <row r="192">
      <c r="A192" s="51" t="s">
        <v>383</v>
      </c>
      <c r="B192" s="52" t="s">
        <v>384</v>
      </c>
      <c r="C192" s="53" t="s">
        <v>385</v>
      </c>
      <c r="D192" s="52"/>
      <c r="E192" s="52" t="s">
        <v>130</v>
      </c>
      <c r="F192" s="54" t="n">
        <v>154.142</v>
      </c>
      <c r="G192" s="54" t="n">
        <v>0</v>
      </c>
      <c r="H192" s="54">
        <f>F192*AO192</f>
      </c>
      <c r="I192" s="54">
        <f>F192*AP192</f>
      </c>
      <c r="J192" s="54">
        <f>F192*G192</f>
      </c>
      <c r="K192" s="55" t="s">
        <v>100</v>
      </c>
      <c r="Z192" s="56">
        <f>IF(AQ192="5",BJ192,0)</f>
      </c>
      <c r="AB192" s="56">
        <f>IF(AQ192="1",BH192,0)</f>
      </c>
      <c r="AC192" s="56">
        <f>IF(AQ192="1",BI192,0)</f>
      </c>
      <c r="AD192" s="56">
        <f>IF(AQ192="7",BH192,0)</f>
      </c>
      <c r="AE192" s="56">
        <f>IF(AQ192="7",BI192,0)</f>
      </c>
      <c r="AF192" s="56">
        <f>IF(AQ192="2",BH192,0)</f>
      </c>
      <c r="AG192" s="56">
        <f>IF(AQ192="2",BI192,0)</f>
      </c>
      <c r="AH192" s="56">
        <f>IF(AQ192="0",BJ192,0)</f>
      </c>
      <c r="AI192" s="28" t="s">
        <v>57</v>
      </c>
      <c r="AJ192" s="56">
        <f>IF(AN192=0,J192,0)</f>
      </c>
      <c r="AK192" s="56">
        <f>IF(AN192=12,J192,0)</f>
      </c>
      <c r="AL192" s="56">
        <f>IF(AN192=21,J192,0)</f>
      </c>
      <c r="AN192" s="56" t="n">
        <v>21</v>
      </c>
      <c r="AO192" s="56">
        <f>G192*0</f>
      </c>
      <c r="AP192" s="56">
        <f>G192*(1-0)</f>
      </c>
      <c r="AQ192" s="57" t="s">
        <v>85</v>
      </c>
      <c r="AV192" s="56">
        <f>AW192+AX192</f>
      </c>
      <c r="AW192" s="56">
        <f>F192*AO192</f>
      </c>
      <c r="AX192" s="56">
        <f>F192*AP192</f>
      </c>
      <c r="AY192" s="57" t="s">
        <v>386</v>
      </c>
      <c r="AZ192" s="57" t="s">
        <v>387</v>
      </c>
      <c r="BA192" s="28" t="s">
        <v>64</v>
      </c>
      <c r="BC192" s="56">
        <f>AW192+AX192</f>
      </c>
      <c r="BD192" s="56">
        <f>G192/(100-BE192)*100</f>
      </c>
      <c r="BE192" s="56" t="n">
        <v>0</v>
      </c>
      <c r="BF192" s="56">
        <f>192</f>
      </c>
      <c r="BH192" s="56">
        <f>F192*AO192</f>
      </c>
      <c r="BI192" s="56">
        <f>F192*AP192</f>
      </c>
      <c r="BJ192" s="56">
        <f>F192*G192</f>
      </c>
      <c r="BK192" s="56"/>
      <c r="BL192" s="56" t="n">
        <v>713</v>
      </c>
      <c r="BW192" s="56" t="n">
        <v>21</v>
      </c>
      <c r="BX192" s="14" t="s">
        <v>385</v>
      </c>
    </row>
    <row r="193">
      <c r="A193" s="74"/>
      <c r="B193" s="75"/>
      <c r="C193" s="76" t="s">
        <v>388</v>
      </c>
      <c r="D193" s="77" t="s">
        <v>389</v>
      </c>
      <c r="E193" s="75"/>
      <c r="F193" s="78" t="n">
        <v>154.142</v>
      </c>
      <c r="G193" s="75"/>
      <c r="H193" s="75"/>
      <c r="I193" s="75"/>
      <c r="J193" s="75"/>
      <c r="K193" s="79"/>
    </row>
    <row r="194">
      <c r="A194" s="51" t="s">
        <v>390</v>
      </c>
      <c r="B194" s="52" t="s">
        <v>391</v>
      </c>
      <c r="C194" s="53" t="s">
        <v>392</v>
      </c>
      <c r="D194" s="52"/>
      <c r="E194" s="52" t="s">
        <v>393</v>
      </c>
      <c r="F194" s="54" t="n">
        <v>165.08</v>
      </c>
      <c r="G194" s="54" t="n">
        <v>0</v>
      </c>
      <c r="H194" s="54">
        <f>F194*AO194</f>
      </c>
      <c r="I194" s="54">
        <f>F194*AP194</f>
      </c>
      <c r="J194" s="54">
        <f>F194*G194</f>
      </c>
      <c r="K194" s="55" t="s">
        <v>100</v>
      </c>
      <c r="Z194" s="56">
        <f>IF(AQ194="5",BJ194,0)</f>
      </c>
      <c r="AB194" s="56">
        <f>IF(AQ194="1",BH194,0)</f>
      </c>
      <c r="AC194" s="56">
        <f>IF(AQ194="1",BI194,0)</f>
      </c>
      <c r="AD194" s="56">
        <f>IF(AQ194="7",BH194,0)</f>
      </c>
      <c r="AE194" s="56">
        <f>IF(AQ194="7",BI194,0)</f>
      </c>
      <c r="AF194" s="56">
        <f>IF(AQ194="2",BH194,0)</f>
      </c>
      <c r="AG194" s="56">
        <f>IF(AQ194="2",BI194,0)</f>
      </c>
      <c r="AH194" s="56">
        <f>IF(AQ194="0",BJ194,0)</f>
      </c>
      <c r="AI194" s="28" t="s">
        <v>57</v>
      </c>
      <c r="AJ194" s="56">
        <f>IF(AN194=0,J194,0)</f>
      </c>
      <c r="AK194" s="56">
        <f>IF(AN194=12,J194,0)</f>
      </c>
      <c r="AL194" s="56">
        <f>IF(AN194=21,J194,0)</f>
      </c>
      <c r="AN194" s="56" t="n">
        <v>21</v>
      </c>
      <c r="AO194" s="56">
        <f>G194*0.610944306</f>
      </c>
      <c r="AP194" s="56">
        <f>G194*(1-0.610944306)</f>
      </c>
      <c r="AQ194" s="57" t="s">
        <v>85</v>
      </c>
      <c r="AV194" s="56">
        <f>AW194+AX194</f>
      </c>
      <c r="AW194" s="56">
        <f>F194*AO194</f>
      </c>
      <c r="AX194" s="56">
        <f>F194*AP194</f>
      </c>
      <c r="AY194" s="57" t="s">
        <v>386</v>
      </c>
      <c r="AZ194" s="57" t="s">
        <v>387</v>
      </c>
      <c r="BA194" s="28" t="s">
        <v>64</v>
      </c>
      <c r="BC194" s="56">
        <f>AW194+AX194</f>
      </c>
      <c r="BD194" s="56">
        <f>G194/(100-BE194)*100</f>
      </c>
      <c r="BE194" s="56" t="n">
        <v>0</v>
      </c>
      <c r="BF194" s="56">
        <f>194</f>
      </c>
      <c r="BH194" s="56">
        <f>F194*AO194</f>
      </c>
      <c r="BI194" s="56">
        <f>F194*AP194</f>
      </c>
      <c r="BJ194" s="56">
        <f>F194*G194</f>
      </c>
      <c r="BK194" s="56"/>
      <c r="BL194" s="56" t="n">
        <v>713</v>
      </c>
      <c r="BW194" s="56" t="n">
        <v>21</v>
      </c>
      <c r="BX194" s="14" t="s">
        <v>392</v>
      </c>
    </row>
    <row r="195" customHeight="true" ht="13.5">
      <c r="A195" s="58"/>
      <c r="C195" s="59" t="s">
        <v>394</v>
      </c>
      <c r="D195" s="60"/>
      <c r="E195" s="60"/>
      <c r="F195" s="60"/>
      <c r="G195" s="60"/>
      <c r="H195" s="60"/>
      <c r="I195" s="60"/>
      <c r="J195" s="60"/>
      <c r="K195" s="61"/>
    </row>
    <row r="196">
      <c r="A196" s="68"/>
      <c r="B196" s="69"/>
      <c r="C196" s="70" t="s">
        <v>395</v>
      </c>
      <c r="D196" s="71" t="s">
        <v>396</v>
      </c>
      <c r="E196" s="69"/>
      <c r="F196" s="72" t="n">
        <v>53.7</v>
      </c>
      <c r="G196" s="69"/>
      <c r="H196" s="69"/>
      <c r="I196" s="69"/>
      <c r="J196" s="69"/>
      <c r="K196" s="73"/>
    </row>
    <row r="197">
      <c r="A197" s="74"/>
      <c r="B197" s="75"/>
      <c r="C197" s="76" t="s">
        <v>397</v>
      </c>
      <c r="D197" s="77" t="s">
        <v>398</v>
      </c>
      <c r="E197" s="75"/>
      <c r="F197" s="78" t="n">
        <v>14.84</v>
      </c>
      <c r="G197" s="75"/>
      <c r="H197" s="75"/>
      <c r="I197" s="75"/>
      <c r="J197" s="75"/>
      <c r="K197" s="79"/>
    </row>
    <row r="198">
      <c r="A198" s="74"/>
      <c r="B198" s="75"/>
      <c r="C198" s="76" t="s">
        <v>399</v>
      </c>
      <c r="D198" s="77" t="s">
        <v>400</v>
      </c>
      <c r="E198" s="75"/>
      <c r="F198" s="78" t="n">
        <v>96.54</v>
      </c>
      <c r="G198" s="75"/>
      <c r="H198" s="75"/>
      <c r="I198" s="75"/>
      <c r="J198" s="75"/>
      <c r="K198" s="79"/>
    </row>
    <row r="199">
      <c r="A199" s="51" t="s">
        <v>401</v>
      </c>
      <c r="B199" s="52" t="s">
        <v>402</v>
      </c>
      <c r="C199" s="53" t="s">
        <v>403</v>
      </c>
      <c r="D199" s="52"/>
      <c r="E199" s="52" t="s">
        <v>130</v>
      </c>
      <c r="F199" s="54" t="n">
        <v>12.744</v>
      </c>
      <c r="G199" s="54" t="n">
        <v>0</v>
      </c>
      <c r="H199" s="54">
        <f>F199*AO199</f>
      </c>
      <c r="I199" s="54">
        <f>F199*AP199</f>
      </c>
      <c r="J199" s="54">
        <f>F199*G199</f>
      </c>
      <c r="K199" s="55" t="s">
        <v>100</v>
      </c>
      <c r="Z199" s="56">
        <f>IF(AQ199="5",BJ199,0)</f>
      </c>
      <c r="AB199" s="56">
        <f>IF(AQ199="1",BH199,0)</f>
      </c>
      <c r="AC199" s="56">
        <f>IF(AQ199="1",BI199,0)</f>
      </c>
      <c r="AD199" s="56">
        <f>IF(AQ199="7",BH199,0)</f>
      </c>
      <c r="AE199" s="56">
        <f>IF(AQ199="7",BI199,0)</f>
      </c>
      <c r="AF199" s="56">
        <f>IF(AQ199="2",BH199,0)</f>
      </c>
      <c r="AG199" s="56">
        <f>IF(AQ199="2",BI199,0)</f>
      </c>
      <c r="AH199" s="56">
        <f>IF(AQ199="0",BJ199,0)</f>
      </c>
      <c r="AI199" s="28" t="s">
        <v>57</v>
      </c>
      <c r="AJ199" s="56">
        <f>IF(AN199=0,J199,0)</f>
      </c>
      <c r="AK199" s="56">
        <f>IF(AN199=12,J199,0)</f>
      </c>
      <c r="AL199" s="56">
        <f>IF(AN199=21,J199,0)</f>
      </c>
      <c r="AN199" s="56" t="n">
        <v>21</v>
      </c>
      <c r="AO199" s="56">
        <f>G199*0</f>
      </c>
      <c r="AP199" s="56">
        <f>G199*(1-0)</f>
      </c>
      <c r="AQ199" s="57" t="s">
        <v>85</v>
      </c>
      <c r="AV199" s="56">
        <f>AW199+AX199</f>
      </c>
      <c r="AW199" s="56">
        <f>F199*AO199</f>
      </c>
      <c r="AX199" s="56">
        <f>F199*AP199</f>
      </c>
      <c r="AY199" s="57" t="s">
        <v>386</v>
      </c>
      <c r="AZ199" s="57" t="s">
        <v>387</v>
      </c>
      <c r="BA199" s="28" t="s">
        <v>64</v>
      </c>
      <c r="BC199" s="56">
        <f>AW199+AX199</f>
      </c>
      <c r="BD199" s="56">
        <f>G199/(100-BE199)*100</f>
      </c>
      <c r="BE199" s="56" t="n">
        <v>0</v>
      </c>
      <c r="BF199" s="56">
        <f>199</f>
      </c>
      <c r="BH199" s="56">
        <f>F199*AO199</f>
      </c>
      <c r="BI199" s="56">
        <f>F199*AP199</f>
      </c>
      <c r="BJ199" s="56">
        <f>F199*G199</f>
      </c>
      <c r="BK199" s="56"/>
      <c r="BL199" s="56" t="n">
        <v>713</v>
      </c>
      <c r="BW199" s="56" t="n">
        <v>21</v>
      </c>
      <c r="BX199" s="14" t="s">
        <v>403</v>
      </c>
    </row>
    <row r="200">
      <c r="A200" s="74"/>
      <c r="B200" s="75"/>
      <c r="C200" s="76" t="s">
        <v>404</v>
      </c>
      <c r="D200" s="77" t="s">
        <v>324</v>
      </c>
      <c r="E200" s="75"/>
      <c r="F200" s="78" t="n">
        <v>12.744</v>
      </c>
      <c r="G200" s="75"/>
      <c r="H200" s="75"/>
      <c r="I200" s="75"/>
      <c r="J200" s="75"/>
      <c r="K200" s="79"/>
    </row>
    <row r="201">
      <c r="A201" s="58"/>
      <c r="B201" s="80" t="s">
        <v>108</v>
      </c>
      <c r="C201" s="59" t="s">
        <v>405</v>
      </c>
      <c r="D201" s="60"/>
      <c r="E201" s="60"/>
      <c r="F201" s="60"/>
      <c r="G201" s="60"/>
      <c r="H201" s="60"/>
      <c r="I201" s="60"/>
      <c r="J201" s="60"/>
      <c r="K201" s="61"/>
      <c r="BX201" s="81" t="s">
        <v>405</v>
      </c>
    </row>
    <row r="202">
      <c r="A202" s="87" t="s">
        <v>406</v>
      </c>
      <c r="B202" s="88" t="s">
        <v>407</v>
      </c>
      <c r="C202" s="89" t="s">
        <v>408</v>
      </c>
      <c r="D202" s="88"/>
      <c r="E202" s="88" t="s">
        <v>130</v>
      </c>
      <c r="F202" s="90" t="n">
        <v>15.2928</v>
      </c>
      <c r="G202" s="90" t="n">
        <v>0</v>
      </c>
      <c r="H202" s="90">
        <f>F202*AO202</f>
      </c>
      <c r="I202" s="90">
        <f>F202*AP202</f>
      </c>
      <c r="J202" s="90">
        <f>F202*G202</f>
      </c>
      <c r="K202" s="91" t="s">
        <v>100</v>
      </c>
      <c r="Z202" s="56">
        <f>IF(AQ202="5",BJ202,0)</f>
      </c>
      <c r="AB202" s="56">
        <f>IF(AQ202="1",BH202,0)</f>
      </c>
      <c r="AC202" s="56">
        <f>IF(AQ202="1",BI202,0)</f>
      </c>
      <c r="AD202" s="56">
        <f>IF(AQ202="7",BH202,0)</f>
      </c>
      <c r="AE202" s="56">
        <f>IF(AQ202="7",BI202,0)</f>
      </c>
      <c r="AF202" s="56">
        <f>IF(AQ202="2",BH202,0)</f>
      </c>
      <c r="AG202" s="56">
        <f>IF(AQ202="2",BI202,0)</f>
      </c>
      <c r="AH202" s="56">
        <f>IF(AQ202="0",BJ202,0)</f>
      </c>
      <c r="AI202" s="28" t="s">
        <v>57</v>
      </c>
      <c r="AJ202" s="92">
        <f>IF(AN202=0,J202,0)</f>
      </c>
      <c r="AK202" s="92">
        <f>IF(AN202=12,J202,0)</f>
      </c>
      <c r="AL202" s="92">
        <f>IF(AN202=21,J202,0)</f>
      </c>
      <c r="AN202" s="56" t="n">
        <v>21</v>
      </c>
      <c r="AO202" s="56">
        <f>G202*1</f>
      </c>
      <c r="AP202" s="56">
        <f>G202*(1-1)</f>
      </c>
      <c r="AQ202" s="93" t="s">
        <v>85</v>
      </c>
      <c r="AV202" s="56">
        <f>AW202+AX202</f>
      </c>
      <c r="AW202" s="56">
        <f>F202*AO202</f>
      </c>
      <c r="AX202" s="56">
        <f>F202*AP202</f>
      </c>
      <c r="AY202" s="57" t="s">
        <v>386</v>
      </c>
      <c r="AZ202" s="57" t="s">
        <v>387</v>
      </c>
      <c r="BA202" s="28" t="s">
        <v>64</v>
      </c>
      <c r="BC202" s="56">
        <f>AW202+AX202</f>
      </c>
      <c r="BD202" s="56">
        <f>G202/(100-BE202)*100</f>
      </c>
      <c r="BE202" s="56" t="n">
        <v>0</v>
      </c>
      <c r="BF202" s="56">
        <f>202</f>
      </c>
      <c r="BH202" s="92">
        <f>F202*AO202</f>
      </c>
      <c r="BI202" s="92">
        <f>F202*AP202</f>
      </c>
      <c r="BJ202" s="92">
        <f>F202*G202</f>
      </c>
      <c r="BK202" s="92"/>
      <c r="BL202" s="56" t="n">
        <v>713</v>
      </c>
      <c r="BW202" s="56" t="n">
        <v>21</v>
      </c>
      <c r="BX202" s="94" t="s">
        <v>408</v>
      </c>
    </row>
    <row r="203">
      <c r="A203" s="74"/>
      <c r="B203" s="75"/>
      <c r="C203" s="76" t="s">
        <v>404</v>
      </c>
      <c r="D203" s="77" t="s">
        <v>324</v>
      </c>
      <c r="E203" s="75"/>
      <c r="F203" s="78" t="n">
        <v>12.744</v>
      </c>
      <c r="G203" s="75"/>
      <c r="H203" s="75"/>
      <c r="I203" s="75"/>
      <c r="J203" s="75"/>
      <c r="K203" s="79"/>
    </row>
    <row r="204">
      <c r="A204" s="74"/>
      <c r="B204" s="75"/>
      <c r="C204" s="76" t="s">
        <v>409</v>
      </c>
      <c r="D204" s="77" t="s">
        <v>53</v>
      </c>
      <c r="E204" s="75"/>
      <c r="F204" s="78" t="n">
        <v>2.5488</v>
      </c>
      <c r="G204" s="75"/>
      <c r="H204" s="75"/>
      <c r="I204" s="75"/>
      <c r="J204" s="75"/>
      <c r="K204" s="79"/>
    </row>
    <row r="205" ht="48.75">
      <c r="A205" s="58"/>
      <c r="B205" s="80" t="s">
        <v>108</v>
      </c>
      <c r="C205" s="59" t="s">
        <v>410</v>
      </c>
      <c r="D205" s="60"/>
      <c r="E205" s="60"/>
      <c r="F205" s="60"/>
      <c r="G205" s="60"/>
      <c r="H205" s="60"/>
      <c r="I205" s="60"/>
      <c r="J205" s="60"/>
      <c r="K205" s="61"/>
      <c r="BX205" s="95" t="s">
        <v>410</v>
      </c>
    </row>
    <row r="206">
      <c r="A206" s="82" t="s">
        <v>411</v>
      </c>
      <c r="B206" s="83" t="s">
        <v>412</v>
      </c>
      <c r="C206" s="84" t="s">
        <v>413</v>
      </c>
      <c r="D206" s="83"/>
      <c r="E206" s="83" t="s">
        <v>130</v>
      </c>
      <c r="F206" s="85" t="n">
        <v>137.8266</v>
      </c>
      <c r="G206" s="85" t="n">
        <v>0</v>
      </c>
      <c r="H206" s="85">
        <f>F206*AO206</f>
      </c>
      <c r="I206" s="85">
        <f>F206*AP206</f>
      </c>
      <c r="J206" s="85">
        <f>F206*G206</f>
      </c>
      <c r="K206" s="86" t="s">
        <v>100</v>
      </c>
      <c r="Z206" s="56">
        <f>IF(AQ206="5",BJ206,0)</f>
      </c>
      <c r="AB206" s="56">
        <f>IF(AQ206="1",BH206,0)</f>
      </c>
      <c r="AC206" s="56">
        <f>IF(AQ206="1",BI206,0)</f>
      </c>
      <c r="AD206" s="56">
        <f>IF(AQ206="7",BH206,0)</f>
      </c>
      <c r="AE206" s="56">
        <f>IF(AQ206="7",BI206,0)</f>
      </c>
      <c r="AF206" s="56">
        <f>IF(AQ206="2",BH206,0)</f>
      </c>
      <c r="AG206" s="56">
        <f>IF(AQ206="2",BI206,0)</f>
      </c>
      <c r="AH206" s="56">
        <f>IF(AQ206="0",BJ206,0)</f>
      </c>
      <c r="AI206" s="28" t="s">
        <v>57</v>
      </c>
      <c r="AJ206" s="56">
        <f>IF(AN206=0,J206,0)</f>
      </c>
      <c r="AK206" s="56">
        <f>IF(AN206=12,J206,0)</f>
      </c>
      <c r="AL206" s="56">
        <f>IF(AN206=21,J206,0)</f>
      </c>
      <c r="AN206" s="56" t="n">
        <v>21</v>
      </c>
      <c r="AO206" s="56">
        <f>G206*0</f>
      </c>
      <c r="AP206" s="56">
        <f>G206*(1-0)</f>
      </c>
      <c r="AQ206" s="57" t="s">
        <v>85</v>
      </c>
      <c r="AV206" s="56">
        <f>AW206+AX206</f>
      </c>
      <c r="AW206" s="56">
        <f>F206*AO206</f>
      </c>
      <c r="AX206" s="56">
        <f>F206*AP206</f>
      </c>
      <c r="AY206" s="57" t="s">
        <v>386</v>
      </c>
      <c r="AZ206" s="57" t="s">
        <v>387</v>
      </c>
      <c r="BA206" s="28" t="s">
        <v>64</v>
      </c>
      <c r="BC206" s="56">
        <f>AW206+AX206</f>
      </c>
      <c r="BD206" s="56">
        <f>G206/(100-BE206)*100</f>
      </c>
      <c r="BE206" s="56" t="n">
        <v>0</v>
      </c>
      <c r="BF206" s="56">
        <f>206</f>
      </c>
      <c r="BH206" s="56">
        <f>F206*AO206</f>
      </c>
      <c r="BI206" s="56">
        <f>F206*AP206</f>
      </c>
      <c r="BJ206" s="56">
        <f>F206*G206</f>
      </c>
      <c r="BK206" s="56"/>
      <c r="BL206" s="56" t="n">
        <v>713</v>
      </c>
      <c r="BW206" s="56" t="n">
        <v>21</v>
      </c>
      <c r="BX206" s="14" t="s">
        <v>413</v>
      </c>
    </row>
    <row r="207" customHeight="true" ht="13.5">
      <c r="A207" s="58"/>
      <c r="C207" s="59" t="s">
        <v>414</v>
      </c>
      <c r="D207" s="60"/>
      <c r="E207" s="60"/>
      <c r="F207" s="60"/>
      <c r="G207" s="60"/>
      <c r="H207" s="60"/>
      <c r="I207" s="60"/>
      <c r="J207" s="60"/>
      <c r="K207" s="61"/>
    </row>
    <row r="208">
      <c r="A208" s="68"/>
      <c r="B208" s="69"/>
      <c r="C208" s="70" t="s">
        <v>415</v>
      </c>
      <c r="D208" s="71" t="s">
        <v>416</v>
      </c>
      <c r="E208" s="69"/>
      <c r="F208" s="72" t="n">
        <v>7.889</v>
      </c>
      <c r="G208" s="69"/>
      <c r="H208" s="69"/>
      <c r="I208" s="69"/>
      <c r="J208" s="69"/>
      <c r="K208" s="73"/>
    </row>
    <row r="209">
      <c r="A209" s="74"/>
      <c r="B209" s="75"/>
      <c r="C209" s="76" t="s">
        <v>417</v>
      </c>
      <c r="D209" s="77" t="s">
        <v>418</v>
      </c>
      <c r="E209" s="75"/>
      <c r="F209" s="78" t="n">
        <v>8.9665</v>
      </c>
      <c r="G209" s="75"/>
      <c r="H209" s="75"/>
      <c r="I209" s="75"/>
      <c r="J209" s="75"/>
      <c r="K209" s="79"/>
    </row>
    <row r="210">
      <c r="A210" s="74"/>
      <c r="B210" s="75"/>
      <c r="C210" s="76" t="s">
        <v>419</v>
      </c>
      <c r="D210" s="77" t="s">
        <v>420</v>
      </c>
      <c r="E210" s="75"/>
      <c r="F210" s="78" t="n">
        <v>87.538</v>
      </c>
      <c r="G210" s="75"/>
      <c r="H210" s="75"/>
      <c r="I210" s="75"/>
      <c r="J210" s="75"/>
      <c r="K210" s="79"/>
    </row>
    <row r="211">
      <c r="A211" s="74"/>
      <c r="B211" s="75"/>
      <c r="C211" s="76" t="s">
        <v>421</v>
      </c>
      <c r="D211" s="77" t="s">
        <v>422</v>
      </c>
      <c r="E211" s="75"/>
      <c r="F211" s="78" t="n">
        <v>24.739</v>
      </c>
      <c r="G211" s="75"/>
      <c r="H211" s="75"/>
      <c r="I211" s="75"/>
      <c r="J211" s="75"/>
      <c r="K211" s="79"/>
    </row>
    <row r="212">
      <c r="A212" s="74"/>
      <c r="B212" s="75"/>
      <c r="C212" s="76" t="s">
        <v>423</v>
      </c>
      <c r="D212" s="77" t="s">
        <v>424</v>
      </c>
      <c r="E212" s="75"/>
      <c r="F212" s="78" t="n">
        <v>8.6941</v>
      </c>
      <c r="G212" s="75"/>
      <c r="H212" s="75"/>
      <c r="I212" s="75"/>
      <c r="J212" s="75"/>
      <c r="K212" s="79"/>
    </row>
    <row r="213" ht="24.75">
      <c r="A213" s="58"/>
      <c r="B213" s="80" t="s">
        <v>108</v>
      </c>
      <c r="C213" s="59" t="s">
        <v>425</v>
      </c>
      <c r="D213" s="60"/>
      <c r="E213" s="60"/>
      <c r="F213" s="60"/>
      <c r="G213" s="60"/>
      <c r="H213" s="60"/>
      <c r="I213" s="60"/>
      <c r="J213" s="60"/>
      <c r="K213" s="61"/>
      <c r="BX213" s="81" t="s">
        <v>425</v>
      </c>
    </row>
    <row r="214">
      <c r="A214" s="87" t="s">
        <v>426</v>
      </c>
      <c r="B214" s="88" t="s">
        <v>427</v>
      </c>
      <c r="C214" s="89" t="s">
        <v>428</v>
      </c>
      <c r="D214" s="88"/>
      <c r="E214" s="88" t="s">
        <v>130</v>
      </c>
      <c r="F214" s="90" t="n">
        <v>8.28345</v>
      </c>
      <c r="G214" s="90" t="n">
        <v>0</v>
      </c>
      <c r="H214" s="90">
        <f>F214*AO214</f>
      </c>
      <c r="I214" s="90">
        <f>F214*AP214</f>
      </c>
      <c r="J214" s="90">
        <f>F214*G214</f>
      </c>
      <c r="K214" s="91" t="s">
        <v>100</v>
      </c>
      <c r="Z214" s="56">
        <f>IF(AQ214="5",BJ214,0)</f>
      </c>
      <c r="AB214" s="56">
        <f>IF(AQ214="1",BH214,0)</f>
      </c>
      <c r="AC214" s="56">
        <f>IF(AQ214="1",BI214,0)</f>
      </c>
      <c r="AD214" s="56">
        <f>IF(AQ214="7",BH214,0)</f>
      </c>
      <c r="AE214" s="56">
        <f>IF(AQ214="7",BI214,0)</f>
      </c>
      <c r="AF214" s="56">
        <f>IF(AQ214="2",BH214,0)</f>
      </c>
      <c r="AG214" s="56">
        <f>IF(AQ214="2",BI214,0)</f>
      </c>
      <c r="AH214" s="56">
        <f>IF(AQ214="0",BJ214,0)</f>
      </c>
      <c r="AI214" s="28" t="s">
        <v>57</v>
      </c>
      <c r="AJ214" s="92">
        <f>IF(AN214=0,J214,0)</f>
      </c>
      <c r="AK214" s="92">
        <f>IF(AN214=12,J214,0)</f>
      </c>
      <c r="AL214" s="92">
        <f>IF(AN214=21,J214,0)</f>
      </c>
      <c r="AN214" s="56" t="n">
        <v>21</v>
      </c>
      <c r="AO214" s="56">
        <f>G214*1</f>
      </c>
      <c r="AP214" s="56">
        <f>G214*(1-1)</f>
      </c>
      <c r="AQ214" s="93" t="s">
        <v>85</v>
      </c>
      <c r="AV214" s="56">
        <f>AW214+AX214</f>
      </c>
      <c r="AW214" s="56">
        <f>F214*AO214</f>
      </c>
      <c r="AX214" s="56">
        <f>F214*AP214</f>
      </c>
      <c r="AY214" s="57" t="s">
        <v>386</v>
      </c>
      <c r="AZ214" s="57" t="s">
        <v>387</v>
      </c>
      <c r="BA214" s="28" t="s">
        <v>64</v>
      </c>
      <c r="BC214" s="56">
        <f>AW214+AX214</f>
      </c>
      <c r="BD214" s="56">
        <f>G214/(100-BE214)*100</f>
      </c>
      <c r="BE214" s="56" t="n">
        <v>0</v>
      </c>
      <c r="BF214" s="56">
        <f>214</f>
      </c>
      <c r="BH214" s="92">
        <f>F214*AO214</f>
      </c>
      <c r="BI214" s="92">
        <f>F214*AP214</f>
      </c>
      <c r="BJ214" s="92">
        <f>F214*G214</f>
      </c>
      <c r="BK214" s="92"/>
      <c r="BL214" s="56" t="n">
        <v>713</v>
      </c>
      <c r="BW214" s="56" t="n">
        <v>21</v>
      </c>
      <c r="BX214" s="94" t="s">
        <v>428</v>
      </c>
    </row>
    <row r="215">
      <c r="A215" s="74"/>
      <c r="B215" s="75"/>
      <c r="C215" s="76" t="s">
        <v>415</v>
      </c>
      <c r="D215" s="77" t="s">
        <v>416</v>
      </c>
      <c r="E215" s="75"/>
      <c r="F215" s="78" t="n">
        <v>7.889</v>
      </c>
      <c r="G215" s="75"/>
      <c r="H215" s="75"/>
      <c r="I215" s="75"/>
      <c r="J215" s="75"/>
      <c r="K215" s="79"/>
    </row>
    <row r="216">
      <c r="A216" s="74"/>
      <c r="B216" s="75"/>
      <c r="C216" s="76" t="s">
        <v>429</v>
      </c>
      <c r="D216" s="77" t="s">
        <v>53</v>
      </c>
      <c r="E216" s="75"/>
      <c r="F216" s="78" t="n">
        <v>0.39445</v>
      </c>
      <c r="G216" s="75"/>
      <c r="H216" s="75"/>
      <c r="I216" s="75"/>
      <c r="J216" s="75"/>
      <c r="K216" s="79"/>
    </row>
    <row r="217" ht="48.75">
      <c r="A217" s="58"/>
      <c r="B217" s="80" t="s">
        <v>108</v>
      </c>
      <c r="C217" s="59" t="s">
        <v>430</v>
      </c>
      <c r="D217" s="60"/>
      <c r="E217" s="60"/>
      <c r="F217" s="60"/>
      <c r="G217" s="60"/>
      <c r="H217" s="60"/>
      <c r="I217" s="60"/>
      <c r="J217" s="60"/>
      <c r="K217" s="61"/>
      <c r="BX217" s="95" t="s">
        <v>430</v>
      </c>
    </row>
    <row r="218">
      <c r="A218" s="87" t="s">
        <v>431</v>
      </c>
      <c r="B218" s="88" t="s">
        <v>432</v>
      </c>
      <c r="C218" s="89" t="s">
        <v>433</v>
      </c>
      <c r="D218" s="88"/>
      <c r="E218" s="88" t="s">
        <v>130</v>
      </c>
      <c r="F218" s="90" t="n">
        <v>136.43448</v>
      </c>
      <c r="G218" s="90" t="n">
        <v>0</v>
      </c>
      <c r="H218" s="90">
        <f>F218*AO218</f>
      </c>
      <c r="I218" s="90">
        <f>F218*AP218</f>
      </c>
      <c r="J218" s="90">
        <f>F218*G218</f>
      </c>
      <c r="K218" s="91" t="s">
        <v>100</v>
      </c>
      <c r="Z218" s="56">
        <f>IF(AQ218="5",BJ218,0)</f>
      </c>
      <c r="AB218" s="56">
        <f>IF(AQ218="1",BH218,0)</f>
      </c>
      <c r="AC218" s="56">
        <f>IF(AQ218="1",BI218,0)</f>
      </c>
      <c r="AD218" s="56">
        <f>IF(AQ218="7",BH218,0)</f>
      </c>
      <c r="AE218" s="56">
        <f>IF(AQ218="7",BI218,0)</f>
      </c>
      <c r="AF218" s="56">
        <f>IF(AQ218="2",BH218,0)</f>
      </c>
      <c r="AG218" s="56">
        <f>IF(AQ218="2",BI218,0)</f>
      </c>
      <c r="AH218" s="56">
        <f>IF(AQ218="0",BJ218,0)</f>
      </c>
      <c r="AI218" s="28" t="s">
        <v>57</v>
      </c>
      <c r="AJ218" s="92">
        <f>IF(AN218=0,J218,0)</f>
      </c>
      <c r="AK218" s="92">
        <f>IF(AN218=12,J218,0)</f>
      </c>
      <c r="AL218" s="92">
        <f>IF(AN218=21,J218,0)</f>
      </c>
      <c r="AN218" s="56" t="n">
        <v>21</v>
      </c>
      <c r="AO218" s="56">
        <f>G218*1</f>
      </c>
      <c r="AP218" s="56">
        <f>G218*(1-1)</f>
      </c>
      <c r="AQ218" s="93" t="s">
        <v>85</v>
      </c>
      <c r="AV218" s="56">
        <f>AW218+AX218</f>
      </c>
      <c r="AW218" s="56">
        <f>F218*AO218</f>
      </c>
      <c r="AX218" s="56">
        <f>F218*AP218</f>
      </c>
      <c r="AY218" s="57" t="s">
        <v>386</v>
      </c>
      <c r="AZ218" s="57" t="s">
        <v>387</v>
      </c>
      <c r="BA218" s="28" t="s">
        <v>64</v>
      </c>
      <c r="BC218" s="56">
        <f>AW218+AX218</f>
      </c>
      <c r="BD218" s="56">
        <f>G218/(100-BE218)*100</f>
      </c>
      <c r="BE218" s="56" t="n">
        <v>0</v>
      </c>
      <c r="BF218" s="56">
        <f>218</f>
      </c>
      <c r="BH218" s="92">
        <f>F218*AO218</f>
      </c>
      <c r="BI218" s="92">
        <f>F218*AP218</f>
      </c>
      <c r="BJ218" s="92">
        <f>F218*G218</f>
      </c>
      <c r="BK218" s="92"/>
      <c r="BL218" s="56" t="n">
        <v>713</v>
      </c>
      <c r="BW218" s="56" t="n">
        <v>21</v>
      </c>
      <c r="BX218" s="94" t="s">
        <v>433</v>
      </c>
    </row>
    <row r="219">
      <c r="A219" s="74"/>
      <c r="B219" s="75"/>
      <c r="C219" s="76" t="s">
        <v>434</v>
      </c>
      <c r="D219" s="77" t="s">
        <v>435</v>
      </c>
      <c r="E219" s="75"/>
      <c r="F219" s="78" t="n">
        <v>129.9376</v>
      </c>
      <c r="G219" s="75"/>
      <c r="H219" s="75"/>
      <c r="I219" s="75"/>
      <c r="J219" s="75"/>
      <c r="K219" s="79"/>
    </row>
    <row r="220">
      <c r="A220" s="74"/>
      <c r="B220" s="75"/>
      <c r="C220" s="76" t="s">
        <v>436</v>
      </c>
      <c r="D220" s="77" t="s">
        <v>53</v>
      </c>
      <c r="E220" s="75"/>
      <c r="F220" s="78" t="n">
        <v>6.49688</v>
      </c>
      <c r="G220" s="75"/>
      <c r="H220" s="75"/>
      <c r="I220" s="75"/>
      <c r="J220" s="75"/>
      <c r="K220" s="79"/>
    </row>
    <row r="221" ht="48.75">
      <c r="A221" s="58"/>
      <c r="B221" s="80" t="s">
        <v>108</v>
      </c>
      <c r="C221" s="59" t="s">
        <v>437</v>
      </c>
      <c r="D221" s="60"/>
      <c r="E221" s="60"/>
      <c r="F221" s="60"/>
      <c r="G221" s="60"/>
      <c r="H221" s="60"/>
      <c r="I221" s="60"/>
      <c r="J221" s="60"/>
      <c r="K221" s="61"/>
      <c r="BX221" s="95" t="s">
        <v>437</v>
      </c>
    </row>
    <row r="222">
      <c r="A222" s="82" t="s">
        <v>438</v>
      </c>
      <c r="B222" s="83" t="s">
        <v>439</v>
      </c>
      <c r="C222" s="84" t="s">
        <v>440</v>
      </c>
      <c r="D222" s="83"/>
      <c r="E222" s="83" t="s">
        <v>130</v>
      </c>
      <c r="F222" s="85" t="n">
        <v>137.8266</v>
      </c>
      <c r="G222" s="85" t="n">
        <v>0</v>
      </c>
      <c r="H222" s="85">
        <f>F222*AO222</f>
      </c>
      <c r="I222" s="85">
        <f>F222*AP222</f>
      </c>
      <c r="J222" s="85">
        <f>F222*G222</f>
      </c>
      <c r="K222" s="86" t="s">
        <v>100</v>
      </c>
      <c r="Z222" s="56">
        <f>IF(AQ222="5",BJ222,0)</f>
      </c>
      <c r="AB222" s="56">
        <f>IF(AQ222="1",BH222,0)</f>
      </c>
      <c r="AC222" s="56">
        <f>IF(AQ222="1",BI222,0)</f>
      </c>
      <c r="AD222" s="56">
        <f>IF(AQ222="7",BH222,0)</f>
      </c>
      <c r="AE222" s="56">
        <f>IF(AQ222="7",BI222,0)</f>
      </c>
      <c r="AF222" s="56">
        <f>IF(AQ222="2",BH222,0)</f>
      </c>
      <c r="AG222" s="56">
        <f>IF(AQ222="2",BI222,0)</f>
      </c>
      <c r="AH222" s="56">
        <f>IF(AQ222="0",BJ222,0)</f>
      </c>
      <c r="AI222" s="28" t="s">
        <v>57</v>
      </c>
      <c r="AJ222" s="56">
        <f>IF(AN222=0,J222,0)</f>
      </c>
      <c r="AK222" s="56">
        <f>IF(AN222=12,J222,0)</f>
      </c>
      <c r="AL222" s="56">
        <f>IF(AN222=21,J222,0)</f>
      </c>
      <c r="AN222" s="56" t="n">
        <v>21</v>
      </c>
      <c r="AO222" s="56">
        <f>G222*0.180135392</f>
      </c>
      <c r="AP222" s="56">
        <f>G222*(1-0.180135392)</f>
      </c>
      <c r="AQ222" s="57" t="s">
        <v>85</v>
      </c>
      <c r="AV222" s="56">
        <f>AW222+AX222</f>
      </c>
      <c r="AW222" s="56">
        <f>F222*AO222</f>
      </c>
      <c r="AX222" s="56">
        <f>F222*AP222</f>
      </c>
      <c r="AY222" s="57" t="s">
        <v>386</v>
      </c>
      <c r="AZ222" s="57" t="s">
        <v>387</v>
      </c>
      <c r="BA222" s="28" t="s">
        <v>64</v>
      </c>
      <c r="BC222" s="56">
        <f>AW222+AX222</f>
      </c>
      <c r="BD222" s="56">
        <f>G222/(100-BE222)*100</f>
      </c>
      <c r="BE222" s="56" t="n">
        <v>0</v>
      </c>
      <c r="BF222" s="56">
        <f>222</f>
      </c>
      <c r="BH222" s="56">
        <f>F222*AO222</f>
      </c>
      <c r="BI222" s="56">
        <f>F222*AP222</f>
      </c>
      <c r="BJ222" s="56">
        <f>F222*G222</f>
      </c>
      <c r="BK222" s="56"/>
      <c r="BL222" s="56" t="n">
        <v>713</v>
      </c>
      <c r="BW222" s="56" t="n">
        <v>21</v>
      </c>
      <c r="BX222" s="14" t="s">
        <v>440</v>
      </c>
    </row>
    <row r="223">
      <c r="A223" s="74"/>
      <c r="B223" s="75"/>
      <c r="C223" s="76" t="s">
        <v>351</v>
      </c>
      <c r="D223" s="77" t="s">
        <v>441</v>
      </c>
      <c r="E223" s="75"/>
      <c r="F223" s="78" t="n">
        <v>137.8266</v>
      </c>
      <c r="G223" s="75"/>
      <c r="H223" s="75"/>
      <c r="I223" s="75"/>
      <c r="J223" s="75"/>
      <c r="K223" s="79"/>
    </row>
    <row r="224">
      <c r="A224" s="51" t="s">
        <v>442</v>
      </c>
      <c r="B224" s="52" t="s">
        <v>412</v>
      </c>
      <c r="C224" s="53" t="s">
        <v>413</v>
      </c>
      <c r="D224" s="52"/>
      <c r="E224" s="52" t="s">
        <v>130</v>
      </c>
      <c r="F224" s="54" t="n">
        <v>12.744</v>
      </c>
      <c r="G224" s="54" t="n">
        <v>0</v>
      </c>
      <c r="H224" s="54">
        <f>F224*AO224</f>
      </c>
      <c r="I224" s="54">
        <f>F224*AP224</f>
      </c>
      <c r="J224" s="54">
        <f>F224*G224</f>
      </c>
      <c r="K224" s="55" t="s">
        <v>100</v>
      </c>
      <c r="Z224" s="56">
        <f>IF(AQ224="5",BJ224,0)</f>
      </c>
      <c r="AB224" s="56">
        <f>IF(AQ224="1",BH224,0)</f>
      </c>
      <c r="AC224" s="56">
        <f>IF(AQ224="1",BI224,0)</f>
      </c>
      <c r="AD224" s="56">
        <f>IF(AQ224="7",BH224,0)</f>
      </c>
      <c r="AE224" s="56">
        <f>IF(AQ224="7",BI224,0)</f>
      </c>
      <c r="AF224" s="56">
        <f>IF(AQ224="2",BH224,0)</f>
      </c>
      <c r="AG224" s="56">
        <f>IF(AQ224="2",BI224,0)</f>
      </c>
      <c r="AH224" s="56">
        <f>IF(AQ224="0",BJ224,0)</f>
      </c>
      <c r="AI224" s="28" t="s">
        <v>57</v>
      </c>
      <c r="AJ224" s="56">
        <f>IF(AN224=0,J224,0)</f>
      </c>
      <c r="AK224" s="56">
        <f>IF(AN224=12,J224,0)</f>
      </c>
      <c r="AL224" s="56">
        <f>IF(AN224=21,J224,0)</f>
      </c>
      <c r="AN224" s="56" t="n">
        <v>21</v>
      </c>
      <c r="AO224" s="56">
        <f>G224*0</f>
      </c>
      <c r="AP224" s="56">
        <f>G224*(1-0)</f>
      </c>
      <c r="AQ224" s="57" t="s">
        <v>85</v>
      </c>
      <c r="AV224" s="56">
        <f>AW224+AX224</f>
      </c>
      <c r="AW224" s="56">
        <f>F224*AO224</f>
      </c>
      <c r="AX224" s="56">
        <f>F224*AP224</f>
      </c>
      <c r="AY224" s="57" t="s">
        <v>386</v>
      </c>
      <c r="AZ224" s="57" t="s">
        <v>387</v>
      </c>
      <c r="BA224" s="28" t="s">
        <v>64</v>
      </c>
      <c r="BC224" s="56">
        <f>AW224+AX224</f>
      </c>
      <c r="BD224" s="56">
        <f>G224/(100-BE224)*100</f>
      </c>
      <c r="BE224" s="56" t="n">
        <v>0</v>
      </c>
      <c r="BF224" s="56">
        <f>224</f>
      </c>
      <c r="BH224" s="56">
        <f>F224*AO224</f>
      </c>
      <c r="BI224" s="56">
        <f>F224*AP224</f>
      </c>
      <c r="BJ224" s="56">
        <f>F224*G224</f>
      </c>
      <c r="BK224" s="56"/>
      <c r="BL224" s="56" t="n">
        <v>713</v>
      </c>
      <c r="BW224" s="56" t="n">
        <v>21</v>
      </c>
      <c r="BX224" s="14" t="s">
        <v>413</v>
      </c>
    </row>
    <row r="225" customHeight="true" ht="13.5">
      <c r="A225" s="58"/>
      <c r="C225" s="59" t="s">
        <v>414</v>
      </c>
      <c r="D225" s="60"/>
      <c r="E225" s="60"/>
      <c r="F225" s="60"/>
      <c r="G225" s="60"/>
      <c r="H225" s="60"/>
      <c r="I225" s="60"/>
      <c r="J225" s="60"/>
      <c r="K225" s="61"/>
    </row>
    <row r="226">
      <c r="A226" s="68"/>
      <c r="B226" s="69"/>
      <c r="C226" s="70" t="s">
        <v>323</v>
      </c>
      <c r="D226" s="71" t="s">
        <v>324</v>
      </c>
      <c r="E226" s="69"/>
      <c r="F226" s="72" t="n">
        <v>12.744</v>
      </c>
      <c r="G226" s="69"/>
      <c r="H226" s="69"/>
      <c r="I226" s="69"/>
      <c r="J226" s="69"/>
      <c r="K226" s="73"/>
    </row>
    <row r="227" ht="24.75">
      <c r="A227" s="58"/>
      <c r="B227" s="80" t="s">
        <v>108</v>
      </c>
      <c r="C227" s="59" t="s">
        <v>425</v>
      </c>
      <c r="D227" s="60"/>
      <c r="E227" s="60"/>
      <c r="F227" s="60"/>
      <c r="G227" s="60"/>
      <c r="H227" s="60"/>
      <c r="I227" s="60"/>
      <c r="J227" s="60"/>
      <c r="K227" s="61"/>
      <c r="BX227" s="81" t="s">
        <v>425</v>
      </c>
    </row>
    <row r="228">
      <c r="A228" s="87" t="s">
        <v>443</v>
      </c>
      <c r="B228" s="88" t="s">
        <v>444</v>
      </c>
      <c r="C228" s="89" t="s">
        <v>445</v>
      </c>
      <c r="D228" s="88"/>
      <c r="E228" s="88" t="s">
        <v>99</v>
      </c>
      <c r="F228" s="90" t="n">
        <v>0.93668</v>
      </c>
      <c r="G228" s="90" t="n">
        <v>0</v>
      </c>
      <c r="H228" s="90">
        <f>F228*AO228</f>
      </c>
      <c r="I228" s="90">
        <f>F228*AP228</f>
      </c>
      <c r="J228" s="90">
        <f>F228*G228</f>
      </c>
      <c r="K228" s="91" t="s">
        <v>100</v>
      </c>
      <c r="Z228" s="56">
        <f>IF(AQ228="5",BJ228,0)</f>
      </c>
      <c r="AB228" s="56">
        <f>IF(AQ228="1",BH228,0)</f>
      </c>
      <c r="AC228" s="56">
        <f>IF(AQ228="1",BI228,0)</f>
      </c>
      <c r="AD228" s="56">
        <f>IF(AQ228="7",BH228,0)</f>
      </c>
      <c r="AE228" s="56">
        <f>IF(AQ228="7",BI228,0)</f>
      </c>
      <c r="AF228" s="56">
        <f>IF(AQ228="2",BH228,0)</f>
      </c>
      <c r="AG228" s="56">
        <f>IF(AQ228="2",BI228,0)</f>
      </c>
      <c r="AH228" s="56">
        <f>IF(AQ228="0",BJ228,0)</f>
      </c>
      <c r="AI228" s="28" t="s">
        <v>57</v>
      </c>
      <c r="AJ228" s="92">
        <f>IF(AN228=0,J228,0)</f>
      </c>
      <c r="AK228" s="92">
        <f>IF(AN228=12,J228,0)</f>
      </c>
      <c r="AL228" s="92">
        <f>IF(AN228=21,J228,0)</f>
      </c>
      <c r="AN228" s="56" t="n">
        <v>21</v>
      </c>
      <c r="AO228" s="56">
        <f>G228*1</f>
      </c>
      <c r="AP228" s="56">
        <f>G228*(1-1)</f>
      </c>
      <c r="AQ228" s="93" t="s">
        <v>85</v>
      </c>
      <c r="AV228" s="56">
        <f>AW228+AX228</f>
      </c>
      <c r="AW228" s="56">
        <f>F228*AO228</f>
      </c>
      <c r="AX228" s="56">
        <f>F228*AP228</f>
      </c>
      <c r="AY228" s="57" t="s">
        <v>386</v>
      </c>
      <c r="AZ228" s="57" t="s">
        <v>387</v>
      </c>
      <c r="BA228" s="28" t="s">
        <v>64</v>
      </c>
      <c r="BC228" s="56">
        <f>AW228+AX228</f>
      </c>
      <c r="BD228" s="56">
        <f>G228/(100-BE228)*100</f>
      </c>
      <c r="BE228" s="56" t="n">
        <v>0</v>
      </c>
      <c r="BF228" s="56">
        <f>228</f>
      </c>
      <c r="BH228" s="92">
        <f>F228*AO228</f>
      </c>
      <c r="BI228" s="92">
        <f>F228*AP228</f>
      </c>
      <c r="BJ228" s="92">
        <f>F228*G228</f>
      </c>
      <c r="BK228" s="92"/>
      <c r="BL228" s="56" t="n">
        <v>713</v>
      </c>
      <c r="BW228" s="56" t="n">
        <v>21</v>
      </c>
      <c r="BX228" s="94" t="s">
        <v>445</v>
      </c>
    </row>
    <row r="229">
      <c r="A229" s="74"/>
      <c r="B229" s="75"/>
      <c r="C229" s="76" t="s">
        <v>446</v>
      </c>
      <c r="D229" s="77" t="s">
        <v>324</v>
      </c>
      <c r="E229" s="75"/>
      <c r="F229" s="78" t="n">
        <v>0.89208</v>
      </c>
      <c r="G229" s="75"/>
      <c r="H229" s="75"/>
      <c r="I229" s="75"/>
      <c r="J229" s="75"/>
      <c r="K229" s="79"/>
    </row>
    <row r="230">
      <c r="A230" s="74"/>
      <c r="B230" s="75"/>
      <c r="C230" s="76" t="s">
        <v>447</v>
      </c>
      <c r="D230" s="77" t="s">
        <v>53</v>
      </c>
      <c r="E230" s="75"/>
      <c r="F230" s="78" t="n">
        <v>0.0446</v>
      </c>
      <c r="G230" s="75"/>
      <c r="H230" s="75"/>
      <c r="I230" s="75"/>
      <c r="J230" s="75"/>
      <c r="K230" s="79"/>
    </row>
    <row r="231" ht="48.75">
      <c r="A231" s="58"/>
      <c r="B231" s="80" t="s">
        <v>108</v>
      </c>
      <c r="C231" s="59" t="s">
        <v>448</v>
      </c>
      <c r="D231" s="60"/>
      <c r="E231" s="60"/>
      <c r="F231" s="60"/>
      <c r="G231" s="60"/>
      <c r="H231" s="60"/>
      <c r="I231" s="60"/>
      <c r="J231" s="60"/>
      <c r="K231" s="61"/>
      <c r="BX231" s="95" t="s">
        <v>448</v>
      </c>
    </row>
    <row r="232">
      <c r="A232" s="82" t="s">
        <v>287</v>
      </c>
      <c r="B232" s="83" t="s">
        <v>449</v>
      </c>
      <c r="C232" s="84" t="s">
        <v>450</v>
      </c>
      <c r="D232" s="83"/>
      <c r="E232" s="83" t="s">
        <v>130</v>
      </c>
      <c r="F232" s="85" t="n">
        <v>218.34208</v>
      </c>
      <c r="G232" s="85" t="n">
        <v>0</v>
      </c>
      <c r="H232" s="85">
        <f>F232*AO232</f>
      </c>
      <c r="I232" s="85">
        <f>F232*AP232</f>
      </c>
      <c r="J232" s="85">
        <f>F232*G232</f>
      </c>
      <c r="K232" s="86" t="s">
        <v>100</v>
      </c>
      <c r="Z232" s="56">
        <f>IF(AQ232="5",BJ232,0)</f>
      </c>
      <c r="AB232" s="56">
        <f>IF(AQ232="1",BH232,0)</f>
      </c>
      <c r="AC232" s="56">
        <f>IF(AQ232="1",BI232,0)</f>
      </c>
      <c r="AD232" s="56">
        <f>IF(AQ232="7",BH232,0)</f>
      </c>
      <c r="AE232" s="56">
        <f>IF(AQ232="7",BI232,0)</f>
      </c>
      <c r="AF232" s="56">
        <f>IF(AQ232="2",BH232,0)</f>
      </c>
      <c r="AG232" s="56">
        <f>IF(AQ232="2",BI232,0)</f>
      </c>
      <c r="AH232" s="56">
        <f>IF(AQ232="0",BJ232,0)</f>
      </c>
      <c r="AI232" s="28" t="s">
        <v>57</v>
      </c>
      <c r="AJ232" s="56">
        <f>IF(AN232=0,J232,0)</f>
      </c>
      <c r="AK232" s="56">
        <f>IF(AN232=12,J232,0)</f>
      </c>
      <c r="AL232" s="56">
        <f>IF(AN232=21,J232,0)</f>
      </c>
      <c r="AN232" s="56" t="n">
        <v>21</v>
      </c>
      <c r="AO232" s="56">
        <f>G232*0.061391947</f>
      </c>
      <c r="AP232" s="56">
        <f>G232*(1-0.061391947)</f>
      </c>
      <c r="AQ232" s="57" t="s">
        <v>85</v>
      </c>
      <c r="AV232" s="56">
        <f>AW232+AX232</f>
      </c>
      <c r="AW232" s="56">
        <f>F232*AO232</f>
      </c>
      <c r="AX232" s="56">
        <f>F232*AP232</f>
      </c>
      <c r="AY232" s="57" t="s">
        <v>386</v>
      </c>
      <c r="AZ232" s="57" t="s">
        <v>387</v>
      </c>
      <c r="BA232" s="28" t="s">
        <v>64</v>
      </c>
      <c r="BC232" s="56">
        <f>AW232+AX232</f>
      </c>
      <c r="BD232" s="56">
        <f>G232/(100-BE232)*100</f>
      </c>
      <c r="BE232" s="56" t="n">
        <v>0</v>
      </c>
      <c r="BF232" s="56">
        <f>232</f>
      </c>
      <c r="BH232" s="56">
        <f>F232*AO232</f>
      </c>
      <c r="BI232" s="56">
        <f>F232*AP232</f>
      </c>
      <c r="BJ232" s="56">
        <f>F232*G232</f>
      </c>
      <c r="BK232" s="56"/>
      <c r="BL232" s="56" t="n">
        <v>713</v>
      </c>
      <c r="BW232" s="56" t="n">
        <v>21</v>
      </c>
      <c r="BX232" s="14" t="s">
        <v>450</v>
      </c>
    </row>
    <row r="233" customHeight="true" ht="13.5">
      <c r="A233" s="58"/>
      <c r="C233" s="59" t="s">
        <v>451</v>
      </c>
      <c r="D233" s="60"/>
      <c r="E233" s="60"/>
      <c r="F233" s="60"/>
      <c r="G233" s="60"/>
      <c r="H233" s="60"/>
      <c r="I233" s="60"/>
      <c r="J233" s="60"/>
      <c r="K233" s="61"/>
    </row>
    <row r="234">
      <c r="A234" s="68"/>
      <c r="B234" s="69"/>
      <c r="C234" s="70" t="s">
        <v>452</v>
      </c>
      <c r="D234" s="71" t="s">
        <v>453</v>
      </c>
      <c r="E234" s="69"/>
      <c r="F234" s="72" t="n">
        <v>97.05525</v>
      </c>
      <c r="G234" s="69"/>
      <c r="H234" s="69"/>
      <c r="I234" s="69"/>
      <c r="J234" s="69"/>
      <c r="K234" s="73"/>
    </row>
    <row r="235">
      <c r="A235" s="74"/>
      <c r="B235" s="75"/>
      <c r="C235" s="76" t="s">
        <v>454</v>
      </c>
      <c r="D235" s="77" t="s">
        <v>455</v>
      </c>
      <c r="E235" s="75"/>
      <c r="F235" s="78" t="n">
        <v>45.3675</v>
      </c>
      <c r="G235" s="75"/>
      <c r="H235" s="75"/>
      <c r="I235" s="75"/>
      <c r="J235" s="75"/>
      <c r="K235" s="79"/>
    </row>
    <row r="236">
      <c r="A236" s="74"/>
      <c r="B236" s="75"/>
      <c r="C236" s="76" t="s">
        <v>456</v>
      </c>
      <c r="D236" s="77" t="s">
        <v>457</v>
      </c>
      <c r="E236" s="75"/>
      <c r="F236" s="78" t="n">
        <v>73.70318</v>
      </c>
      <c r="G236" s="75"/>
      <c r="H236" s="75"/>
      <c r="I236" s="75"/>
      <c r="J236" s="75"/>
      <c r="K236" s="79"/>
    </row>
    <row r="237">
      <c r="A237" s="74"/>
      <c r="B237" s="75"/>
      <c r="C237" s="76" t="s">
        <v>458</v>
      </c>
      <c r="D237" s="77" t="s">
        <v>457</v>
      </c>
      <c r="E237" s="75"/>
      <c r="F237" s="78" t="n">
        <v>34.87375</v>
      </c>
      <c r="G237" s="75"/>
      <c r="H237" s="75"/>
      <c r="I237" s="75"/>
      <c r="J237" s="75"/>
      <c r="K237" s="79"/>
    </row>
    <row r="238">
      <c r="A238" s="74"/>
      <c r="B238" s="75"/>
      <c r="C238" s="76" t="s">
        <v>459</v>
      </c>
      <c r="D238" s="77" t="s">
        <v>159</v>
      </c>
      <c r="E238" s="75"/>
      <c r="F238" s="78" t="n">
        <v>-34.622</v>
      </c>
      <c r="G238" s="75"/>
      <c r="H238" s="75"/>
      <c r="I238" s="75"/>
      <c r="J238" s="75"/>
      <c r="K238" s="79"/>
    </row>
    <row r="239">
      <c r="A239" s="74"/>
      <c r="B239" s="75"/>
      <c r="C239" s="76" t="s">
        <v>460</v>
      </c>
      <c r="D239" s="77" t="s">
        <v>461</v>
      </c>
      <c r="E239" s="75"/>
      <c r="F239" s="78" t="n">
        <v>1.9644</v>
      </c>
      <c r="G239" s="75"/>
      <c r="H239" s="75"/>
      <c r="I239" s="75"/>
      <c r="J239" s="75"/>
      <c r="K239" s="79"/>
    </row>
    <row r="240">
      <c r="A240" s="96" t="s">
        <v>308</v>
      </c>
      <c r="B240" s="97" t="s">
        <v>462</v>
      </c>
      <c r="C240" s="98" t="s">
        <v>463</v>
      </c>
      <c r="D240" s="97"/>
      <c r="E240" s="97" t="s">
        <v>130</v>
      </c>
      <c r="F240" s="99" t="n">
        <v>222.70892</v>
      </c>
      <c r="G240" s="99" t="n">
        <v>0</v>
      </c>
      <c r="H240" s="99">
        <f>F240*AO240</f>
      </c>
      <c r="I240" s="99">
        <f>F240*AP240</f>
      </c>
      <c r="J240" s="99">
        <f>F240*G240</f>
      </c>
      <c r="K240" s="100" t="s">
        <v>100</v>
      </c>
      <c r="Z240" s="56">
        <f>IF(AQ240="5",BJ240,0)</f>
      </c>
      <c r="AB240" s="56">
        <f>IF(AQ240="1",BH240,0)</f>
      </c>
      <c r="AC240" s="56">
        <f>IF(AQ240="1",BI240,0)</f>
      </c>
      <c r="AD240" s="56">
        <f>IF(AQ240="7",BH240,0)</f>
      </c>
      <c r="AE240" s="56">
        <f>IF(AQ240="7",BI240,0)</f>
      </c>
      <c r="AF240" s="56">
        <f>IF(AQ240="2",BH240,0)</f>
      </c>
      <c r="AG240" s="56">
        <f>IF(AQ240="2",BI240,0)</f>
      </c>
      <c r="AH240" s="56">
        <f>IF(AQ240="0",BJ240,0)</f>
      </c>
      <c r="AI240" s="28" t="s">
        <v>57</v>
      </c>
      <c r="AJ240" s="92">
        <f>IF(AN240=0,J240,0)</f>
      </c>
      <c r="AK240" s="92">
        <f>IF(AN240=12,J240,0)</f>
      </c>
      <c r="AL240" s="92">
        <f>IF(AN240=21,J240,0)</f>
      </c>
      <c r="AN240" s="56" t="n">
        <v>21</v>
      </c>
      <c r="AO240" s="56">
        <f>G240*1</f>
      </c>
      <c r="AP240" s="56">
        <f>G240*(1-1)</f>
      </c>
      <c r="AQ240" s="93" t="s">
        <v>85</v>
      </c>
      <c r="AV240" s="56">
        <f>AW240+AX240</f>
      </c>
      <c r="AW240" s="56">
        <f>F240*AO240</f>
      </c>
      <c r="AX240" s="56">
        <f>F240*AP240</f>
      </c>
      <c r="AY240" s="57" t="s">
        <v>386</v>
      </c>
      <c r="AZ240" s="57" t="s">
        <v>387</v>
      </c>
      <c r="BA240" s="28" t="s">
        <v>64</v>
      </c>
      <c r="BC240" s="56">
        <f>AW240+AX240</f>
      </c>
      <c r="BD240" s="56">
        <f>G240/(100-BE240)*100</f>
      </c>
      <c r="BE240" s="56" t="n">
        <v>0</v>
      </c>
      <c r="BF240" s="56">
        <f>240</f>
      </c>
      <c r="BH240" s="92">
        <f>F240*AO240</f>
      </c>
      <c r="BI240" s="92">
        <f>F240*AP240</f>
      </c>
      <c r="BJ240" s="92">
        <f>F240*G240</f>
      </c>
      <c r="BK240" s="92"/>
      <c r="BL240" s="56" t="n">
        <v>713</v>
      </c>
      <c r="BW240" s="56" t="n">
        <v>21</v>
      </c>
      <c r="BX240" s="94" t="s">
        <v>463</v>
      </c>
    </row>
    <row r="241">
      <c r="A241" s="74"/>
      <c r="B241" s="75"/>
      <c r="C241" s="76" t="s">
        <v>464</v>
      </c>
      <c r="D241" s="77" t="s">
        <v>465</v>
      </c>
      <c r="E241" s="75"/>
      <c r="F241" s="78" t="n">
        <v>218.34208</v>
      </c>
      <c r="G241" s="75"/>
      <c r="H241" s="75"/>
      <c r="I241" s="75"/>
      <c r="J241" s="75"/>
      <c r="K241" s="79"/>
    </row>
    <row r="242">
      <c r="A242" s="74"/>
      <c r="B242" s="75"/>
      <c r="C242" s="76" t="s">
        <v>466</v>
      </c>
      <c r="D242" s="77" t="s">
        <v>53</v>
      </c>
      <c r="E242" s="75"/>
      <c r="F242" s="78" t="n">
        <v>4.36684</v>
      </c>
      <c r="G242" s="75"/>
      <c r="H242" s="75"/>
      <c r="I242" s="75"/>
      <c r="J242" s="75"/>
      <c r="K242" s="79"/>
    </row>
    <row r="243">
      <c r="A243" s="58"/>
      <c r="B243" s="80" t="s">
        <v>108</v>
      </c>
      <c r="C243" s="59" t="s">
        <v>467</v>
      </c>
      <c r="D243" s="60"/>
      <c r="E243" s="60"/>
      <c r="F243" s="60"/>
      <c r="G243" s="60"/>
      <c r="H243" s="60"/>
      <c r="I243" s="60"/>
      <c r="J243" s="60"/>
      <c r="K243" s="61"/>
      <c r="BX243" s="95" t="s">
        <v>467</v>
      </c>
    </row>
    <row r="244">
      <c r="A244" s="82" t="s">
        <v>468</v>
      </c>
      <c r="B244" s="83" t="s">
        <v>469</v>
      </c>
      <c r="C244" s="84" t="s">
        <v>470</v>
      </c>
      <c r="D244" s="83"/>
      <c r="E244" s="83" t="s">
        <v>130</v>
      </c>
      <c r="F244" s="85" t="n">
        <v>265.628</v>
      </c>
      <c r="G244" s="85" t="n">
        <v>0</v>
      </c>
      <c r="H244" s="85">
        <f>F244*AO244</f>
      </c>
      <c r="I244" s="85">
        <f>F244*AP244</f>
      </c>
      <c r="J244" s="85">
        <f>F244*G244</f>
      </c>
      <c r="K244" s="86" t="s">
        <v>100</v>
      </c>
      <c r="Z244" s="56">
        <f>IF(AQ244="5",BJ244,0)</f>
      </c>
      <c r="AB244" s="56">
        <f>IF(AQ244="1",BH244,0)</f>
      </c>
      <c r="AC244" s="56">
        <f>IF(AQ244="1",BI244,0)</f>
      </c>
      <c r="AD244" s="56">
        <f>IF(AQ244="7",BH244,0)</f>
      </c>
      <c r="AE244" s="56">
        <f>IF(AQ244="7",BI244,0)</f>
      </c>
      <c r="AF244" s="56">
        <f>IF(AQ244="2",BH244,0)</f>
      </c>
      <c r="AG244" s="56">
        <f>IF(AQ244="2",BI244,0)</f>
      </c>
      <c r="AH244" s="56">
        <f>IF(AQ244="0",BJ244,0)</f>
      </c>
      <c r="AI244" s="28" t="s">
        <v>57</v>
      </c>
      <c r="AJ244" s="56">
        <f>IF(AN244=0,J244,0)</f>
      </c>
      <c r="AK244" s="56">
        <f>IF(AN244=12,J244,0)</f>
      </c>
      <c r="AL244" s="56">
        <f>IF(AN244=21,J244,0)</f>
      </c>
      <c r="AN244" s="56" t="n">
        <v>21</v>
      </c>
      <c r="AO244" s="56">
        <f>G244*0</f>
      </c>
      <c r="AP244" s="56">
        <f>G244*(1-0)</f>
      </c>
      <c r="AQ244" s="57" t="s">
        <v>85</v>
      </c>
      <c r="AV244" s="56">
        <f>AW244+AX244</f>
      </c>
      <c r="AW244" s="56">
        <f>F244*AO244</f>
      </c>
      <c r="AX244" s="56">
        <f>F244*AP244</f>
      </c>
      <c r="AY244" s="57" t="s">
        <v>386</v>
      </c>
      <c r="AZ244" s="57" t="s">
        <v>387</v>
      </c>
      <c r="BA244" s="28" t="s">
        <v>64</v>
      </c>
      <c r="BC244" s="56">
        <f>AW244+AX244</f>
      </c>
      <c r="BD244" s="56">
        <f>G244/(100-BE244)*100</f>
      </c>
      <c r="BE244" s="56" t="n">
        <v>0</v>
      </c>
      <c r="BF244" s="56">
        <f>244</f>
      </c>
      <c r="BH244" s="56">
        <f>F244*AO244</f>
      </c>
      <c r="BI244" s="56">
        <f>F244*AP244</f>
      </c>
      <c r="BJ244" s="56">
        <f>F244*G244</f>
      </c>
      <c r="BK244" s="56"/>
      <c r="BL244" s="56" t="n">
        <v>713</v>
      </c>
      <c r="BW244" s="56" t="n">
        <v>21</v>
      </c>
      <c r="BX244" s="14" t="s">
        <v>470</v>
      </c>
    </row>
    <row r="245" customHeight="true" ht="13.5">
      <c r="A245" s="58"/>
      <c r="C245" s="59" t="s">
        <v>471</v>
      </c>
      <c r="D245" s="60"/>
      <c r="E245" s="60"/>
      <c r="F245" s="60"/>
      <c r="G245" s="60"/>
      <c r="H245" s="60"/>
      <c r="I245" s="60"/>
      <c r="J245" s="60"/>
      <c r="K245" s="61"/>
    </row>
    <row r="246">
      <c r="A246" s="68"/>
      <c r="B246" s="69"/>
      <c r="C246" s="70" t="s">
        <v>472</v>
      </c>
      <c r="D246" s="71" t="s">
        <v>473</v>
      </c>
      <c r="E246" s="69"/>
      <c r="F246" s="72" t="n">
        <v>300.25</v>
      </c>
      <c r="G246" s="69"/>
      <c r="H246" s="69"/>
      <c r="I246" s="69"/>
      <c r="J246" s="69"/>
      <c r="K246" s="73"/>
    </row>
    <row r="247">
      <c r="A247" s="74"/>
      <c r="B247" s="75"/>
      <c r="C247" s="76" t="s">
        <v>459</v>
      </c>
      <c r="D247" s="77" t="s">
        <v>159</v>
      </c>
      <c r="E247" s="75"/>
      <c r="F247" s="78" t="n">
        <v>-34.622</v>
      </c>
      <c r="G247" s="75"/>
      <c r="H247" s="75"/>
      <c r="I247" s="75"/>
      <c r="J247" s="75"/>
      <c r="K247" s="79"/>
    </row>
    <row r="248">
      <c r="A248" s="58"/>
      <c r="B248" s="80" t="s">
        <v>108</v>
      </c>
      <c r="C248" s="59" t="s">
        <v>474</v>
      </c>
      <c r="D248" s="60"/>
      <c r="E248" s="60"/>
      <c r="F248" s="60"/>
      <c r="G248" s="60"/>
      <c r="H248" s="60"/>
      <c r="I248" s="60"/>
      <c r="J248" s="60"/>
      <c r="K248" s="61"/>
      <c r="BX248" s="81" t="s">
        <v>474</v>
      </c>
    </row>
    <row r="249">
      <c r="A249" s="87" t="s">
        <v>317</v>
      </c>
      <c r="B249" s="88" t="s">
        <v>475</v>
      </c>
      <c r="C249" s="89" t="s">
        <v>476</v>
      </c>
      <c r="D249" s="88"/>
      <c r="E249" s="88" t="s">
        <v>130</v>
      </c>
      <c r="F249" s="90" t="n">
        <v>270.94056</v>
      </c>
      <c r="G249" s="90" t="n">
        <v>0</v>
      </c>
      <c r="H249" s="90">
        <f>F249*AO249</f>
      </c>
      <c r="I249" s="90">
        <f>F249*AP249</f>
      </c>
      <c r="J249" s="90">
        <f>F249*G249</f>
      </c>
      <c r="K249" s="91" t="s">
        <v>100</v>
      </c>
      <c r="Z249" s="56">
        <f>IF(AQ249="5",BJ249,0)</f>
      </c>
      <c r="AB249" s="56">
        <f>IF(AQ249="1",BH249,0)</f>
      </c>
      <c r="AC249" s="56">
        <f>IF(AQ249="1",BI249,0)</f>
      </c>
      <c r="AD249" s="56">
        <f>IF(AQ249="7",BH249,0)</f>
      </c>
      <c r="AE249" s="56">
        <f>IF(AQ249="7",BI249,0)</f>
      </c>
      <c r="AF249" s="56">
        <f>IF(AQ249="2",BH249,0)</f>
      </c>
      <c r="AG249" s="56">
        <f>IF(AQ249="2",BI249,0)</f>
      </c>
      <c r="AH249" s="56">
        <f>IF(AQ249="0",BJ249,0)</f>
      </c>
      <c r="AI249" s="28" t="s">
        <v>57</v>
      </c>
      <c r="AJ249" s="92">
        <f>IF(AN249=0,J249,0)</f>
      </c>
      <c r="AK249" s="92">
        <f>IF(AN249=12,J249,0)</f>
      </c>
      <c r="AL249" s="92">
        <f>IF(AN249=21,J249,0)</f>
      </c>
      <c r="AN249" s="56" t="n">
        <v>21</v>
      </c>
      <c r="AO249" s="56">
        <f>G249*1</f>
      </c>
      <c r="AP249" s="56">
        <f>G249*(1-1)</f>
      </c>
      <c r="AQ249" s="93" t="s">
        <v>85</v>
      </c>
      <c r="AV249" s="56">
        <f>AW249+AX249</f>
      </c>
      <c r="AW249" s="56">
        <f>F249*AO249</f>
      </c>
      <c r="AX249" s="56">
        <f>F249*AP249</f>
      </c>
      <c r="AY249" s="57" t="s">
        <v>386</v>
      </c>
      <c r="AZ249" s="57" t="s">
        <v>387</v>
      </c>
      <c r="BA249" s="28" t="s">
        <v>64</v>
      </c>
      <c r="BC249" s="56">
        <f>AW249+AX249</f>
      </c>
      <c r="BD249" s="56">
        <f>G249/(100-BE249)*100</f>
      </c>
      <c r="BE249" s="56" t="n">
        <v>0</v>
      </c>
      <c r="BF249" s="56">
        <f>249</f>
      </c>
      <c r="BH249" s="92">
        <f>F249*AO249</f>
      </c>
      <c r="BI249" s="92">
        <f>F249*AP249</f>
      </c>
      <c r="BJ249" s="92">
        <f>F249*G249</f>
      </c>
      <c r="BK249" s="92"/>
      <c r="BL249" s="56" t="n">
        <v>713</v>
      </c>
      <c r="BW249" s="56" t="n">
        <v>21</v>
      </c>
      <c r="BX249" s="94" t="s">
        <v>476</v>
      </c>
    </row>
    <row r="250">
      <c r="A250" s="74"/>
      <c r="B250" s="75"/>
      <c r="C250" s="76" t="s">
        <v>477</v>
      </c>
      <c r="D250" s="77" t="s">
        <v>478</v>
      </c>
      <c r="E250" s="75"/>
      <c r="F250" s="78" t="n">
        <v>265.628</v>
      </c>
      <c r="G250" s="75"/>
      <c r="H250" s="75"/>
      <c r="I250" s="75"/>
      <c r="J250" s="75"/>
      <c r="K250" s="79"/>
    </row>
    <row r="251">
      <c r="A251" s="74"/>
      <c r="B251" s="75"/>
      <c r="C251" s="76" t="s">
        <v>479</v>
      </c>
      <c r="D251" s="77" t="s">
        <v>53</v>
      </c>
      <c r="E251" s="75"/>
      <c r="F251" s="78" t="n">
        <v>5.31256</v>
      </c>
      <c r="G251" s="75"/>
      <c r="H251" s="75"/>
      <c r="I251" s="75"/>
      <c r="J251" s="75"/>
      <c r="K251" s="79"/>
    </row>
    <row r="252" ht="24.75">
      <c r="A252" s="58"/>
      <c r="B252" s="80" t="s">
        <v>108</v>
      </c>
      <c r="C252" s="59" t="s">
        <v>480</v>
      </c>
      <c r="D252" s="60"/>
      <c r="E252" s="60"/>
      <c r="F252" s="60"/>
      <c r="G252" s="60"/>
      <c r="H252" s="60"/>
      <c r="I252" s="60"/>
      <c r="J252" s="60"/>
      <c r="K252" s="61"/>
      <c r="BX252" s="95" t="s">
        <v>480</v>
      </c>
    </row>
    <row r="253">
      <c r="A253" s="82" t="s">
        <v>359</v>
      </c>
      <c r="B253" s="83" t="s">
        <v>449</v>
      </c>
      <c r="C253" s="84" t="s">
        <v>481</v>
      </c>
      <c r="D253" s="83"/>
      <c r="E253" s="83" t="s">
        <v>130</v>
      </c>
      <c r="F253" s="85" t="n">
        <v>22.834</v>
      </c>
      <c r="G253" s="85" t="n">
        <v>0</v>
      </c>
      <c r="H253" s="85">
        <f>F253*AO253</f>
      </c>
      <c r="I253" s="85">
        <f>F253*AP253</f>
      </c>
      <c r="J253" s="85">
        <f>F253*G253</f>
      </c>
      <c r="K253" s="86" t="s">
        <v>100</v>
      </c>
      <c r="Z253" s="56">
        <f>IF(AQ253="5",BJ253,0)</f>
      </c>
      <c r="AB253" s="56">
        <f>IF(AQ253="1",BH253,0)</f>
      </c>
      <c r="AC253" s="56">
        <f>IF(AQ253="1",BI253,0)</f>
      </c>
      <c r="AD253" s="56">
        <f>IF(AQ253="7",BH253,0)</f>
      </c>
      <c r="AE253" s="56">
        <f>IF(AQ253="7",BI253,0)</f>
      </c>
      <c r="AF253" s="56">
        <f>IF(AQ253="2",BH253,0)</f>
      </c>
      <c r="AG253" s="56">
        <f>IF(AQ253="2",BI253,0)</f>
      </c>
      <c r="AH253" s="56">
        <f>IF(AQ253="0",BJ253,0)</f>
      </c>
      <c r="AI253" s="28" t="s">
        <v>57</v>
      </c>
      <c r="AJ253" s="56">
        <f>IF(AN253=0,J253,0)</f>
      </c>
      <c r="AK253" s="56">
        <f>IF(AN253=12,J253,0)</f>
      </c>
      <c r="AL253" s="56">
        <f>IF(AN253=21,J253,0)</f>
      </c>
      <c r="AN253" s="56" t="n">
        <v>21</v>
      </c>
      <c r="AO253" s="56">
        <f>G253*0.061392069</f>
      </c>
      <c r="AP253" s="56">
        <f>G253*(1-0.061392069)</f>
      </c>
      <c r="AQ253" s="57" t="s">
        <v>85</v>
      </c>
      <c r="AV253" s="56">
        <f>AW253+AX253</f>
      </c>
      <c r="AW253" s="56">
        <f>F253*AO253</f>
      </c>
      <c r="AX253" s="56">
        <f>F253*AP253</f>
      </c>
      <c r="AY253" s="57" t="s">
        <v>386</v>
      </c>
      <c r="AZ253" s="57" t="s">
        <v>387</v>
      </c>
      <c r="BA253" s="28" t="s">
        <v>64</v>
      </c>
      <c r="BC253" s="56">
        <f>AW253+AX253</f>
      </c>
      <c r="BD253" s="56">
        <f>G253/(100-BE253)*100</f>
      </c>
      <c r="BE253" s="56" t="n">
        <v>0</v>
      </c>
      <c r="BF253" s="56">
        <f>253</f>
      </c>
      <c r="BH253" s="56">
        <f>F253*AO253</f>
      </c>
      <c r="BI253" s="56">
        <f>F253*AP253</f>
      </c>
      <c r="BJ253" s="56">
        <f>F253*G253</f>
      </c>
      <c r="BK253" s="56"/>
      <c r="BL253" s="56" t="n">
        <v>713</v>
      </c>
      <c r="BW253" s="56" t="n">
        <v>21</v>
      </c>
      <c r="BX253" s="14" t="s">
        <v>481</v>
      </c>
    </row>
    <row r="254" customHeight="true" ht="13.5">
      <c r="A254" s="58"/>
      <c r="C254" s="59" t="s">
        <v>451</v>
      </c>
      <c r="D254" s="60"/>
      <c r="E254" s="60"/>
      <c r="F254" s="60"/>
      <c r="G254" s="60"/>
      <c r="H254" s="60"/>
      <c r="I254" s="60"/>
      <c r="J254" s="60"/>
      <c r="K254" s="61"/>
    </row>
    <row r="255">
      <c r="A255" s="68"/>
      <c r="B255" s="69"/>
      <c r="C255" s="70" t="s">
        <v>482</v>
      </c>
      <c r="D255" s="71" t="s">
        <v>483</v>
      </c>
      <c r="E255" s="69"/>
      <c r="F255" s="72" t="n">
        <v>29.591</v>
      </c>
      <c r="G255" s="69"/>
      <c r="H255" s="69"/>
      <c r="I255" s="69"/>
      <c r="J255" s="69"/>
      <c r="K255" s="73"/>
    </row>
    <row r="256">
      <c r="A256" s="74"/>
      <c r="B256" s="75"/>
      <c r="C256" s="76" t="s">
        <v>484</v>
      </c>
      <c r="D256" s="77" t="s">
        <v>485</v>
      </c>
      <c r="E256" s="75"/>
      <c r="F256" s="78" t="n">
        <v>-6.757</v>
      </c>
      <c r="G256" s="75"/>
      <c r="H256" s="75"/>
      <c r="I256" s="75"/>
      <c r="J256" s="75"/>
      <c r="K256" s="79"/>
    </row>
    <row r="257">
      <c r="A257" s="96" t="s">
        <v>486</v>
      </c>
      <c r="B257" s="97" t="s">
        <v>487</v>
      </c>
      <c r="C257" s="98" t="s">
        <v>488</v>
      </c>
      <c r="D257" s="97"/>
      <c r="E257" s="97" t="s">
        <v>130</v>
      </c>
      <c r="F257" s="99" t="n">
        <v>23.29068</v>
      </c>
      <c r="G257" s="99" t="n">
        <v>0</v>
      </c>
      <c r="H257" s="99">
        <f>F257*AO257</f>
      </c>
      <c r="I257" s="99">
        <f>F257*AP257</f>
      </c>
      <c r="J257" s="99">
        <f>F257*G257</f>
      </c>
      <c r="K257" s="100" t="s">
        <v>100</v>
      </c>
      <c r="Z257" s="56">
        <f>IF(AQ257="5",BJ257,0)</f>
      </c>
      <c r="AB257" s="56">
        <f>IF(AQ257="1",BH257,0)</f>
      </c>
      <c r="AC257" s="56">
        <f>IF(AQ257="1",BI257,0)</f>
      </c>
      <c r="AD257" s="56">
        <f>IF(AQ257="7",BH257,0)</f>
      </c>
      <c r="AE257" s="56">
        <f>IF(AQ257="7",BI257,0)</f>
      </c>
      <c r="AF257" s="56">
        <f>IF(AQ257="2",BH257,0)</f>
      </c>
      <c r="AG257" s="56">
        <f>IF(AQ257="2",BI257,0)</f>
      </c>
      <c r="AH257" s="56">
        <f>IF(AQ257="0",BJ257,0)</f>
      </c>
      <c r="AI257" s="28" t="s">
        <v>57</v>
      </c>
      <c r="AJ257" s="92">
        <f>IF(AN257=0,J257,0)</f>
      </c>
      <c r="AK257" s="92">
        <f>IF(AN257=12,J257,0)</f>
      </c>
      <c r="AL257" s="92">
        <f>IF(AN257=21,J257,0)</f>
      </c>
      <c r="AN257" s="56" t="n">
        <v>21</v>
      </c>
      <c r="AO257" s="56">
        <f>G257*1</f>
      </c>
      <c r="AP257" s="56">
        <f>G257*(1-1)</f>
      </c>
      <c r="AQ257" s="93" t="s">
        <v>85</v>
      </c>
      <c r="AV257" s="56">
        <f>AW257+AX257</f>
      </c>
      <c r="AW257" s="56">
        <f>F257*AO257</f>
      </c>
      <c r="AX257" s="56">
        <f>F257*AP257</f>
      </c>
      <c r="AY257" s="57" t="s">
        <v>386</v>
      </c>
      <c r="AZ257" s="57" t="s">
        <v>387</v>
      </c>
      <c r="BA257" s="28" t="s">
        <v>64</v>
      </c>
      <c r="BC257" s="56">
        <f>AW257+AX257</f>
      </c>
      <c r="BD257" s="56">
        <f>G257/(100-BE257)*100</f>
      </c>
      <c r="BE257" s="56" t="n">
        <v>0</v>
      </c>
      <c r="BF257" s="56">
        <f>257</f>
      </c>
      <c r="BH257" s="92">
        <f>F257*AO257</f>
      </c>
      <c r="BI257" s="92">
        <f>F257*AP257</f>
      </c>
      <c r="BJ257" s="92">
        <f>F257*G257</f>
      </c>
      <c r="BK257" s="92"/>
      <c r="BL257" s="56" t="n">
        <v>713</v>
      </c>
      <c r="BW257" s="56" t="n">
        <v>21</v>
      </c>
      <c r="BX257" s="94" t="s">
        <v>488</v>
      </c>
    </row>
    <row r="258">
      <c r="A258" s="74"/>
      <c r="B258" s="75"/>
      <c r="C258" s="76" t="s">
        <v>489</v>
      </c>
      <c r="D258" s="77" t="s">
        <v>490</v>
      </c>
      <c r="E258" s="75"/>
      <c r="F258" s="78" t="n">
        <v>22.834</v>
      </c>
      <c r="G258" s="75"/>
      <c r="H258" s="75"/>
      <c r="I258" s="75"/>
      <c r="J258" s="75"/>
      <c r="K258" s="79"/>
    </row>
    <row r="259">
      <c r="A259" s="74"/>
      <c r="B259" s="75"/>
      <c r="C259" s="76" t="s">
        <v>491</v>
      </c>
      <c r="D259" s="77" t="s">
        <v>53</v>
      </c>
      <c r="E259" s="75"/>
      <c r="F259" s="78" t="n">
        <v>0.45668</v>
      </c>
      <c r="G259" s="75"/>
      <c r="H259" s="75"/>
      <c r="I259" s="75"/>
      <c r="J259" s="75"/>
      <c r="K259" s="79"/>
    </row>
    <row r="260" ht="48.75">
      <c r="A260" s="58"/>
      <c r="B260" s="80" t="s">
        <v>108</v>
      </c>
      <c r="C260" s="59" t="s">
        <v>492</v>
      </c>
      <c r="D260" s="60"/>
      <c r="E260" s="60"/>
      <c r="F260" s="60"/>
      <c r="G260" s="60"/>
      <c r="H260" s="60"/>
      <c r="I260" s="60"/>
      <c r="J260" s="60"/>
      <c r="K260" s="61"/>
      <c r="BX260" s="95" t="s">
        <v>492</v>
      </c>
    </row>
    <row r="261">
      <c r="A261" s="82" t="s">
        <v>493</v>
      </c>
      <c r="B261" s="83" t="s">
        <v>494</v>
      </c>
      <c r="C261" s="84" t="s">
        <v>495</v>
      </c>
      <c r="D261" s="83"/>
      <c r="E261" s="83" t="s">
        <v>130</v>
      </c>
      <c r="F261" s="85" t="n">
        <v>262.5319</v>
      </c>
      <c r="G261" s="85" t="n">
        <v>0</v>
      </c>
      <c r="H261" s="85">
        <f>F261*AO261</f>
      </c>
      <c r="I261" s="85">
        <f>F261*AP261</f>
      </c>
      <c r="J261" s="85">
        <f>F261*G261</f>
      </c>
      <c r="K261" s="86" t="s">
        <v>100</v>
      </c>
      <c r="Z261" s="56">
        <f>IF(AQ261="5",BJ261,0)</f>
      </c>
      <c r="AB261" s="56">
        <f>IF(AQ261="1",BH261,0)</f>
      </c>
      <c r="AC261" s="56">
        <f>IF(AQ261="1",BI261,0)</f>
      </c>
      <c r="AD261" s="56">
        <f>IF(AQ261="7",BH261,0)</f>
      </c>
      <c r="AE261" s="56">
        <f>IF(AQ261="7",BI261,0)</f>
      </c>
      <c r="AF261" s="56">
        <f>IF(AQ261="2",BH261,0)</f>
      </c>
      <c r="AG261" s="56">
        <f>IF(AQ261="2",BI261,0)</f>
      </c>
      <c r="AH261" s="56">
        <f>IF(AQ261="0",BJ261,0)</f>
      </c>
      <c r="AI261" s="28" t="s">
        <v>57</v>
      </c>
      <c r="AJ261" s="56">
        <f>IF(AN261=0,J261,0)</f>
      </c>
      <c r="AK261" s="56">
        <f>IF(AN261=12,J261,0)</f>
      </c>
      <c r="AL261" s="56">
        <f>IF(AN261=21,J261,0)</f>
      </c>
      <c r="AN261" s="56" t="n">
        <v>21</v>
      </c>
      <c r="AO261" s="56">
        <f>G261*0.540982818</f>
      </c>
      <c r="AP261" s="56">
        <f>G261*(1-0.540982818)</f>
      </c>
      <c r="AQ261" s="57" t="s">
        <v>85</v>
      </c>
      <c r="AV261" s="56">
        <f>AW261+AX261</f>
      </c>
      <c r="AW261" s="56">
        <f>F261*AO261</f>
      </c>
      <c r="AX261" s="56">
        <f>F261*AP261</f>
      </c>
      <c r="AY261" s="57" t="s">
        <v>386</v>
      </c>
      <c r="AZ261" s="57" t="s">
        <v>387</v>
      </c>
      <c r="BA261" s="28" t="s">
        <v>64</v>
      </c>
      <c r="BC261" s="56">
        <f>AW261+AX261</f>
      </c>
      <c r="BD261" s="56">
        <f>G261/(100-BE261)*100</f>
      </c>
      <c r="BE261" s="56" t="n">
        <v>0</v>
      </c>
      <c r="BF261" s="56">
        <f>261</f>
      </c>
      <c r="BH261" s="56">
        <f>F261*AO261</f>
      </c>
      <c r="BI261" s="56">
        <f>F261*AP261</f>
      </c>
      <c r="BJ261" s="56">
        <f>F261*G261</f>
      </c>
      <c r="BK261" s="56"/>
      <c r="BL261" s="56" t="n">
        <v>713</v>
      </c>
      <c r="BW261" s="56" t="n">
        <v>21</v>
      </c>
      <c r="BX261" s="14" t="s">
        <v>495</v>
      </c>
    </row>
    <row r="262" customHeight="true" ht="27">
      <c r="A262" s="58"/>
      <c r="C262" s="59" t="s">
        <v>496</v>
      </c>
      <c r="D262" s="60"/>
      <c r="E262" s="60"/>
      <c r="F262" s="60"/>
      <c r="G262" s="60"/>
      <c r="H262" s="60"/>
      <c r="I262" s="60"/>
      <c r="J262" s="60"/>
      <c r="K262" s="61"/>
    </row>
    <row r="263">
      <c r="A263" s="68"/>
      <c r="B263" s="69"/>
      <c r="C263" s="70" t="s">
        <v>497</v>
      </c>
      <c r="D263" s="71" t="s">
        <v>498</v>
      </c>
      <c r="E263" s="69"/>
      <c r="F263" s="72" t="n">
        <v>247.915</v>
      </c>
      <c r="G263" s="69"/>
      <c r="H263" s="69"/>
      <c r="I263" s="69"/>
      <c r="J263" s="69"/>
      <c r="K263" s="73"/>
    </row>
    <row r="264">
      <c r="A264" s="74"/>
      <c r="B264" s="75"/>
      <c r="C264" s="76" t="s">
        <v>167</v>
      </c>
      <c r="D264" s="77" t="s">
        <v>168</v>
      </c>
      <c r="E264" s="75"/>
      <c r="F264" s="78" t="n">
        <v>14.6169</v>
      </c>
      <c r="G264" s="75"/>
      <c r="H264" s="75"/>
      <c r="I264" s="75"/>
      <c r="J264" s="75"/>
      <c r="K264" s="79"/>
    </row>
    <row r="265">
      <c r="A265" s="58"/>
      <c r="B265" s="80" t="s">
        <v>108</v>
      </c>
      <c r="C265" s="59" t="s">
        <v>499</v>
      </c>
      <c r="D265" s="60"/>
      <c r="E265" s="60"/>
      <c r="F265" s="60"/>
      <c r="G265" s="60"/>
      <c r="H265" s="60"/>
      <c r="I265" s="60"/>
      <c r="J265" s="60"/>
      <c r="K265" s="61"/>
      <c r="BX265" s="81" t="s">
        <v>499</v>
      </c>
    </row>
    <row r="266">
      <c r="A266" s="82" t="s">
        <v>500</v>
      </c>
      <c r="B266" s="83" t="s">
        <v>501</v>
      </c>
      <c r="C266" s="84" t="s">
        <v>502</v>
      </c>
      <c r="D266" s="83"/>
      <c r="E266" s="83" t="s">
        <v>130</v>
      </c>
      <c r="F266" s="85" t="n">
        <v>197.11915</v>
      </c>
      <c r="G266" s="85" t="n">
        <v>0</v>
      </c>
      <c r="H266" s="85">
        <f>F266*AO266</f>
      </c>
      <c r="I266" s="85">
        <f>F266*AP266</f>
      </c>
      <c r="J266" s="85">
        <f>F266*G266</f>
      </c>
      <c r="K266" s="86" t="s">
        <v>100</v>
      </c>
      <c r="Z266" s="56">
        <f>IF(AQ266="5",BJ266,0)</f>
      </c>
      <c r="AB266" s="56">
        <f>IF(AQ266="1",BH266,0)</f>
      </c>
      <c r="AC266" s="56">
        <f>IF(AQ266="1",BI266,0)</f>
      </c>
      <c r="AD266" s="56">
        <f>IF(AQ266="7",BH266,0)</f>
      </c>
      <c r="AE266" s="56">
        <f>IF(AQ266="7",BI266,0)</f>
      </c>
      <c r="AF266" s="56">
        <f>IF(AQ266="2",BH266,0)</f>
      </c>
      <c r="AG266" s="56">
        <f>IF(AQ266="2",BI266,0)</f>
      </c>
      <c r="AH266" s="56">
        <f>IF(AQ266="0",BJ266,0)</f>
      </c>
      <c r="AI266" s="28" t="s">
        <v>57</v>
      </c>
      <c r="AJ266" s="56">
        <f>IF(AN266=0,J266,0)</f>
      </c>
      <c r="AK266" s="56">
        <f>IF(AN266=12,J266,0)</f>
      </c>
      <c r="AL266" s="56">
        <f>IF(AN266=21,J266,0)</f>
      </c>
      <c r="AN266" s="56" t="n">
        <v>21</v>
      </c>
      <c r="AO266" s="56">
        <f>G266*0.070547169</f>
      </c>
      <c r="AP266" s="56">
        <f>G266*(1-0.070547169)</f>
      </c>
      <c r="AQ266" s="57" t="s">
        <v>85</v>
      </c>
      <c r="AV266" s="56">
        <f>AW266+AX266</f>
      </c>
      <c r="AW266" s="56">
        <f>F266*AO266</f>
      </c>
      <c r="AX266" s="56">
        <f>F266*AP266</f>
      </c>
      <c r="AY266" s="57" t="s">
        <v>386</v>
      </c>
      <c r="AZ266" s="57" t="s">
        <v>387</v>
      </c>
      <c r="BA266" s="28" t="s">
        <v>64</v>
      </c>
      <c r="BC266" s="56">
        <f>AW266+AX266</f>
      </c>
      <c r="BD266" s="56">
        <f>G266/(100-BE266)*100</f>
      </c>
      <c r="BE266" s="56" t="n">
        <v>0</v>
      </c>
      <c r="BF266" s="56">
        <f>266</f>
      </c>
      <c r="BH266" s="56">
        <f>F266*AO266</f>
      </c>
      <c r="BI266" s="56">
        <f>F266*AP266</f>
      </c>
      <c r="BJ266" s="56">
        <f>F266*G266</f>
      </c>
      <c r="BK266" s="56"/>
      <c r="BL266" s="56" t="n">
        <v>713</v>
      </c>
      <c r="BW266" s="56" t="n">
        <v>21</v>
      </c>
      <c r="BX266" s="14" t="s">
        <v>502</v>
      </c>
    </row>
    <row r="267">
      <c r="A267" s="74"/>
      <c r="B267" s="75"/>
      <c r="C267" s="76" t="s">
        <v>173</v>
      </c>
      <c r="D267" s="77" t="s">
        <v>503</v>
      </c>
      <c r="E267" s="75"/>
      <c r="F267" s="78" t="n">
        <v>55.1496</v>
      </c>
      <c r="G267" s="75"/>
      <c r="H267" s="75"/>
      <c r="I267" s="75"/>
      <c r="J267" s="75"/>
      <c r="K267" s="79"/>
    </row>
    <row r="268">
      <c r="A268" s="74"/>
      <c r="B268" s="75"/>
      <c r="C268" s="76" t="s">
        <v>504</v>
      </c>
      <c r="D268" s="77" t="s">
        <v>505</v>
      </c>
      <c r="E268" s="75"/>
      <c r="F268" s="78" t="n">
        <v>76.76001</v>
      </c>
      <c r="G268" s="75"/>
      <c r="H268" s="75"/>
      <c r="I268" s="75"/>
      <c r="J268" s="75"/>
      <c r="K268" s="79"/>
    </row>
    <row r="269">
      <c r="A269" s="74"/>
      <c r="B269" s="75"/>
      <c r="C269" s="76" t="s">
        <v>506</v>
      </c>
      <c r="D269" s="77" t="s">
        <v>507</v>
      </c>
      <c r="E269" s="75"/>
      <c r="F269" s="78" t="n">
        <v>50.59264</v>
      </c>
      <c r="G269" s="75"/>
      <c r="H269" s="75"/>
      <c r="I269" s="75"/>
      <c r="J269" s="75"/>
      <c r="K269" s="79"/>
    </row>
    <row r="270">
      <c r="A270" s="74"/>
      <c r="B270" s="75"/>
      <c r="C270" s="76" t="s">
        <v>167</v>
      </c>
      <c r="D270" s="77" t="s">
        <v>168</v>
      </c>
      <c r="E270" s="75"/>
      <c r="F270" s="78" t="n">
        <v>14.6169</v>
      </c>
      <c r="G270" s="75"/>
      <c r="H270" s="75"/>
      <c r="I270" s="75"/>
      <c r="J270" s="75"/>
      <c r="K270" s="79"/>
    </row>
    <row r="271" ht="24.75">
      <c r="A271" s="58"/>
      <c r="B271" s="80" t="s">
        <v>108</v>
      </c>
      <c r="C271" s="59" t="s">
        <v>508</v>
      </c>
      <c r="D271" s="60"/>
      <c r="E271" s="60"/>
      <c r="F271" s="60"/>
      <c r="G271" s="60"/>
      <c r="H271" s="60"/>
      <c r="I271" s="60"/>
      <c r="J271" s="60"/>
      <c r="K271" s="61"/>
      <c r="BX271" s="81" t="s">
        <v>508</v>
      </c>
    </row>
    <row r="272">
      <c r="A272" s="87" t="s">
        <v>509</v>
      </c>
      <c r="B272" s="88" t="s">
        <v>510</v>
      </c>
      <c r="C272" s="89" t="s">
        <v>511</v>
      </c>
      <c r="D272" s="88"/>
      <c r="E272" s="88" t="s">
        <v>130</v>
      </c>
      <c r="F272" s="90" t="n">
        <v>206.97511</v>
      </c>
      <c r="G272" s="90" t="n">
        <v>0</v>
      </c>
      <c r="H272" s="90">
        <f>F272*AO272</f>
      </c>
      <c r="I272" s="90">
        <f>F272*AP272</f>
      </c>
      <c r="J272" s="90">
        <f>F272*G272</f>
      </c>
      <c r="K272" s="91" t="s">
        <v>100</v>
      </c>
      <c r="Z272" s="56">
        <f>IF(AQ272="5",BJ272,0)</f>
      </c>
      <c r="AB272" s="56">
        <f>IF(AQ272="1",BH272,0)</f>
      </c>
      <c r="AC272" s="56">
        <f>IF(AQ272="1",BI272,0)</f>
      </c>
      <c r="AD272" s="56">
        <f>IF(AQ272="7",BH272,0)</f>
      </c>
      <c r="AE272" s="56">
        <f>IF(AQ272="7",BI272,0)</f>
      </c>
      <c r="AF272" s="56">
        <f>IF(AQ272="2",BH272,0)</f>
      </c>
      <c r="AG272" s="56">
        <f>IF(AQ272="2",BI272,0)</f>
      </c>
      <c r="AH272" s="56">
        <f>IF(AQ272="0",BJ272,0)</f>
      </c>
      <c r="AI272" s="28" t="s">
        <v>57</v>
      </c>
      <c r="AJ272" s="92">
        <f>IF(AN272=0,J272,0)</f>
      </c>
      <c r="AK272" s="92">
        <f>IF(AN272=12,J272,0)</f>
      </c>
      <c r="AL272" s="92">
        <f>IF(AN272=21,J272,0)</f>
      </c>
      <c r="AN272" s="56" t="n">
        <v>21</v>
      </c>
      <c r="AO272" s="56">
        <f>G272*1</f>
      </c>
      <c r="AP272" s="56">
        <f>G272*(1-1)</f>
      </c>
      <c r="AQ272" s="93" t="s">
        <v>85</v>
      </c>
      <c r="AV272" s="56">
        <f>AW272+AX272</f>
      </c>
      <c r="AW272" s="56">
        <f>F272*AO272</f>
      </c>
      <c r="AX272" s="56">
        <f>F272*AP272</f>
      </c>
      <c r="AY272" s="57" t="s">
        <v>386</v>
      </c>
      <c r="AZ272" s="57" t="s">
        <v>387</v>
      </c>
      <c r="BA272" s="28" t="s">
        <v>64</v>
      </c>
      <c r="BC272" s="56">
        <f>AW272+AX272</f>
      </c>
      <c r="BD272" s="56">
        <f>G272/(100-BE272)*100</f>
      </c>
      <c r="BE272" s="56" t="n">
        <v>0</v>
      </c>
      <c r="BF272" s="56">
        <f>272</f>
      </c>
      <c r="BH272" s="92">
        <f>F272*AO272</f>
      </c>
      <c r="BI272" s="92">
        <f>F272*AP272</f>
      </c>
      <c r="BJ272" s="92">
        <f>F272*G272</f>
      </c>
      <c r="BK272" s="92"/>
      <c r="BL272" s="56" t="n">
        <v>713</v>
      </c>
      <c r="BW272" s="56" t="n">
        <v>21</v>
      </c>
      <c r="BX272" s="94" t="s">
        <v>511</v>
      </c>
    </row>
    <row r="273">
      <c r="A273" s="74"/>
      <c r="B273" s="75"/>
      <c r="C273" s="76" t="s">
        <v>512</v>
      </c>
      <c r="D273" s="77" t="s">
        <v>53</v>
      </c>
      <c r="E273" s="75"/>
      <c r="F273" s="78" t="n">
        <v>197.11915</v>
      </c>
      <c r="G273" s="75"/>
      <c r="H273" s="75"/>
      <c r="I273" s="75"/>
      <c r="J273" s="75"/>
      <c r="K273" s="79"/>
    </row>
    <row r="274">
      <c r="A274" s="74"/>
      <c r="B274" s="75"/>
      <c r="C274" s="76" t="s">
        <v>513</v>
      </c>
      <c r="D274" s="77" t="s">
        <v>53</v>
      </c>
      <c r="E274" s="75"/>
      <c r="F274" s="78" t="n">
        <v>9.85596</v>
      </c>
      <c r="G274" s="75"/>
      <c r="H274" s="75"/>
      <c r="I274" s="75"/>
      <c r="J274" s="75"/>
      <c r="K274" s="79"/>
    </row>
    <row r="275" ht="48.75">
      <c r="A275" s="58"/>
      <c r="B275" s="80" t="s">
        <v>108</v>
      </c>
      <c r="C275" s="59" t="s">
        <v>514</v>
      </c>
      <c r="D275" s="60"/>
      <c r="E275" s="60"/>
      <c r="F275" s="60"/>
      <c r="G275" s="60"/>
      <c r="H275" s="60"/>
      <c r="I275" s="60"/>
      <c r="J275" s="60"/>
      <c r="K275" s="61"/>
      <c r="BX275" s="95" t="s">
        <v>514</v>
      </c>
    </row>
    <row r="276">
      <c r="A276" s="82" t="s">
        <v>515</v>
      </c>
      <c r="B276" s="83" t="s">
        <v>516</v>
      </c>
      <c r="C276" s="84" t="s">
        <v>517</v>
      </c>
      <c r="D276" s="83"/>
      <c r="E276" s="83" t="s">
        <v>130</v>
      </c>
      <c r="F276" s="85" t="n">
        <v>14.6169</v>
      </c>
      <c r="G276" s="85" t="n">
        <v>0</v>
      </c>
      <c r="H276" s="85">
        <f>F276*AO276</f>
      </c>
      <c r="I276" s="85">
        <f>F276*AP276</f>
      </c>
      <c r="J276" s="85">
        <f>F276*G276</f>
      </c>
      <c r="K276" s="86" t="s">
        <v>100</v>
      </c>
      <c r="Z276" s="56">
        <f>IF(AQ276="5",BJ276,0)</f>
      </c>
      <c r="AB276" s="56">
        <f>IF(AQ276="1",BH276,0)</f>
      </c>
      <c r="AC276" s="56">
        <f>IF(AQ276="1",BI276,0)</f>
      </c>
      <c r="AD276" s="56">
        <f>IF(AQ276="7",BH276,0)</f>
      </c>
      <c r="AE276" s="56">
        <f>IF(AQ276="7",BI276,0)</f>
      </c>
      <c r="AF276" s="56">
        <f>IF(AQ276="2",BH276,0)</f>
      </c>
      <c r="AG276" s="56">
        <f>IF(AQ276="2",BI276,0)</f>
      </c>
      <c r="AH276" s="56">
        <f>IF(AQ276="0",BJ276,0)</f>
      </c>
      <c r="AI276" s="28" t="s">
        <v>57</v>
      </c>
      <c r="AJ276" s="56">
        <f>IF(AN276=0,J276,0)</f>
      </c>
      <c r="AK276" s="56">
        <f>IF(AN276=12,J276,0)</f>
      </c>
      <c r="AL276" s="56">
        <f>IF(AN276=21,J276,0)</f>
      </c>
      <c r="AN276" s="56" t="n">
        <v>21</v>
      </c>
      <c r="AO276" s="56">
        <f>G276*0</f>
      </c>
      <c r="AP276" s="56">
        <f>G276*(1-0)</f>
      </c>
      <c r="AQ276" s="57" t="s">
        <v>85</v>
      </c>
      <c r="AV276" s="56">
        <f>AW276+AX276</f>
      </c>
      <c r="AW276" s="56">
        <f>F276*AO276</f>
      </c>
      <c r="AX276" s="56">
        <f>F276*AP276</f>
      </c>
      <c r="AY276" s="57" t="s">
        <v>386</v>
      </c>
      <c r="AZ276" s="57" t="s">
        <v>387</v>
      </c>
      <c r="BA276" s="28" t="s">
        <v>64</v>
      </c>
      <c r="BC276" s="56">
        <f>AW276+AX276</f>
      </c>
      <c r="BD276" s="56">
        <f>G276/(100-BE276)*100</f>
      </c>
      <c r="BE276" s="56" t="n">
        <v>0</v>
      </c>
      <c r="BF276" s="56">
        <f>276</f>
      </c>
      <c r="BH276" s="56">
        <f>F276*AO276</f>
      </c>
      <c r="BI276" s="56">
        <f>F276*AP276</f>
      </c>
      <c r="BJ276" s="56">
        <f>F276*G276</f>
      </c>
      <c r="BK276" s="56"/>
      <c r="BL276" s="56" t="n">
        <v>713</v>
      </c>
      <c r="BW276" s="56" t="n">
        <v>21</v>
      </c>
      <c r="BX276" s="14" t="s">
        <v>517</v>
      </c>
    </row>
    <row r="277">
      <c r="A277" s="74"/>
      <c r="B277" s="75"/>
      <c r="C277" s="76" t="s">
        <v>167</v>
      </c>
      <c r="D277" s="77" t="s">
        <v>168</v>
      </c>
      <c r="E277" s="75"/>
      <c r="F277" s="78" t="n">
        <v>14.6169</v>
      </c>
      <c r="G277" s="75"/>
      <c r="H277" s="75"/>
      <c r="I277" s="75"/>
      <c r="J277" s="75"/>
      <c r="K277" s="79"/>
    </row>
    <row r="278">
      <c r="A278" s="51" t="s">
        <v>518</v>
      </c>
      <c r="B278" s="52" t="s">
        <v>519</v>
      </c>
      <c r="C278" s="53" t="s">
        <v>520</v>
      </c>
      <c r="D278" s="52"/>
      <c r="E278" s="52" t="s">
        <v>130</v>
      </c>
      <c r="F278" s="54" t="n">
        <v>54.7668</v>
      </c>
      <c r="G278" s="54" t="n">
        <v>0</v>
      </c>
      <c r="H278" s="54">
        <f>F278*AO278</f>
      </c>
      <c r="I278" s="54">
        <f>F278*AP278</f>
      </c>
      <c r="J278" s="54">
        <f>F278*G278</f>
      </c>
      <c r="K278" s="55" t="s">
        <v>100</v>
      </c>
      <c r="Z278" s="56">
        <f>IF(AQ278="5",BJ278,0)</f>
      </c>
      <c r="AB278" s="56">
        <f>IF(AQ278="1",BH278,0)</f>
      </c>
      <c r="AC278" s="56">
        <f>IF(AQ278="1",BI278,0)</f>
      </c>
      <c r="AD278" s="56">
        <f>IF(AQ278="7",BH278,0)</f>
      </c>
      <c r="AE278" s="56">
        <f>IF(AQ278="7",BI278,0)</f>
      </c>
      <c r="AF278" s="56">
        <f>IF(AQ278="2",BH278,0)</f>
      </c>
      <c r="AG278" s="56">
        <f>IF(AQ278="2",BI278,0)</f>
      </c>
      <c r="AH278" s="56">
        <f>IF(AQ278="0",BJ278,0)</f>
      </c>
      <c r="AI278" s="28" t="s">
        <v>57</v>
      </c>
      <c r="AJ278" s="56">
        <f>IF(AN278=0,J278,0)</f>
      </c>
      <c r="AK278" s="56">
        <f>IF(AN278=12,J278,0)</f>
      </c>
      <c r="AL278" s="56">
        <f>IF(AN278=21,J278,0)</f>
      </c>
      <c r="AN278" s="56" t="n">
        <v>21</v>
      </c>
      <c r="AO278" s="56">
        <f>G278*0.372502402</f>
      </c>
      <c r="AP278" s="56">
        <f>G278*(1-0.372502402)</f>
      </c>
      <c r="AQ278" s="57" t="s">
        <v>85</v>
      </c>
      <c r="AV278" s="56">
        <f>AW278+AX278</f>
      </c>
      <c r="AW278" s="56">
        <f>F278*AO278</f>
      </c>
      <c r="AX278" s="56">
        <f>F278*AP278</f>
      </c>
      <c r="AY278" s="57" t="s">
        <v>386</v>
      </c>
      <c r="AZ278" s="57" t="s">
        <v>387</v>
      </c>
      <c r="BA278" s="28" t="s">
        <v>64</v>
      </c>
      <c r="BC278" s="56">
        <f>AW278+AX278</f>
      </c>
      <c r="BD278" s="56">
        <f>G278/(100-BE278)*100</f>
      </c>
      <c r="BE278" s="56" t="n">
        <v>0</v>
      </c>
      <c r="BF278" s="56">
        <f>278</f>
      </c>
      <c r="BH278" s="56">
        <f>F278*AO278</f>
      </c>
      <c r="BI278" s="56">
        <f>F278*AP278</f>
      </c>
      <c r="BJ278" s="56">
        <f>F278*G278</f>
      </c>
      <c r="BK278" s="56"/>
      <c r="BL278" s="56" t="n">
        <v>713</v>
      </c>
      <c r="BW278" s="56" t="n">
        <v>21</v>
      </c>
      <c r="BX278" s="14" t="s">
        <v>520</v>
      </c>
    </row>
    <row r="279" customHeight="true" ht="13.5">
      <c r="A279" s="58"/>
      <c r="C279" s="59" t="s">
        <v>521</v>
      </c>
      <c r="D279" s="60"/>
      <c r="E279" s="60"/>
      <c r="F279" s="60"/>
      <c r="G279" s="60"/>
      <c r="H279" s="60"/>
      <c r="I279" s="60"/>
      <c r="J279" s="60"/>
      <c r="K279" s="61"/>
    </row>
    <row r="280">
      <c r="A280" s="68"/>
      <c r="B280" s="69"/>
      <c r="C280" s="70" t="s">
        <v>522</v>
      </c>
      <c r="D280" s="71" t="s">
        <v>523</v>
      </c>
      <c r="E280" s="69"/>
      <c r="F280" s="72" t="n">
        <v>43.2376</v>
      </c>
      <c r="G280" s="69"/>
      <c r="H280" s="69"/>
      <c r="I280" s="69"/>
      <c r="J280" s="69"/>
      <c r="K280" s="73"/>
    </row>
    <row r="281">
      <c r="A281" s="74"/>
      <c r="B281" s="75"/>
      <c r="C281" s="76" t="s">
        <v>524</v>
      </c>
      <c r="D281" s="77" t="s">
        <v>525</v>
      </c>
      <c r="E281" s="75"/>
      <c r="F281" s="78" t="n">
        <v>11.5292</v>
      </c>
      <c r="G281" s="75"/>
      <c r="H281" s="75"/>
      <c r="I281" s="75"/>
      <c r="J281" s="75"/>
      <c r="K281" s="79"/>
    </row>
    <row r="282" ht="48.75">
      <c r="A282" s="58"/>
      <c r="B282" s="80" t="s">
        <v>108</v>
      </c>
      <c r="C282" s="59" t="s">
        <v>526</v>
      </c>
      <c r="D282" s="60"/>
      <c r="E282" s="60"/>
      <c r="F282" s="60"/>
      <c r="G282" s="60"/>
      <c r="H282" s="60"/>
      <c r="I282" s="60"/>
      <c r="J282" s="60"/>
      <c r="K282" s="61"/>
      <c r="BX282" s="81" t="s">
        <v>526</v>
      </c>
    </row>
    <row r="283">
      <c r="A283" s="82" t="s">
        <v>527</v>
      </c>
      <c r="B283" s="83" t="s">
        <v>528</v>
      </c>
      <c r="C283" s="84" t="s">
        <v>529</v>
      </c>
      <c r="D283" s="83"/>
      <c r="E283" s="83" t="s">
        <v>242</v>
      </c>
      <c r="F283" s="85" t="n">
        <v>6.77703</v>
      </c>
      <c r="G283" s="85" t="n">
        <v>0</v>
      </c>
      <c r="H283" s="85">
        <f>F283*AO283</f>
      </c>
      <c r="I283" s="85">
        <f>F283*AP283</f>
      </c>
      <c r="J283" s="85">
        <f>F283*G283</f>
      </c>
      <c r="K283" s="86" t="s">
        <v>100</v>
      </c>
      <c r="Z283" s="56">
        <f>IF(AQ283="5",BJ283,0)</f>
      </c>
      <c r="AB283" s="56">
        <f>IF(AQ283="1",BH283,0)</f>
      </c>
      <c r="AC283" s="56">
        <f>IF(AQ283="1",BI283,0)</f>
      </c>
      <c r="AD283" s="56">
        <f>IF(AQ283="7",BH283,0)</f>
      </c>
      <c r="AE283" s="56">
        <f>IF(AQ283="7",BI283,0)</f>
      </c>
      <c r="AF283" s="56">
        <f>IF(AQ283="2",BH283,0)</f>
      </c>
      <c r="AG283" s="56">
        <f>IF(AQ283="2",BI283,0)</f>
      </c>
      <c r="AH283" s="56">
        <f>IF(AQ283="0",BJ283,0)</f>
      </c>
      <c r="AI283" s="28" t="s">
        <v>57</v>
      </c>
      <c r="AJ283" s="56">
        <f>IF(AN283=0,J283,0)</f>
      </c>
      <c r="AK283" s="56">
        <f>IF(AN283=12,J283,0)</f>
      </c>
      <c r="AL283" s="56">
        <f>IF(AN283=21,J283,0)</f>
      </c>
      <c r="AN283" s="56" t="n">
        <v>21</v>
      </c>
      <c r="AO283" s="56">
        <f>G283*0</f>
      </c>
      <c r="AP283" s="56">
        <f>G283*(1-0)</f>
      </c>
      <c r="AQ283" s="57" t="s">
        <v>79</v>
      </c>
      <c r="AV283" s="56">
        <f>AW283+AX283</f>
      </c>
      <c r="AW283" s="56">
        <f>F283*AO283</f>
      </c>
      <c r="AX283" s="56">
        <f>F283*AP283</f>
      </c>
      <c r="AY283" s="57" t="s">
        <v>386</v>
      </c>
      <c r="AZ283" s="57" t="s">
        <v>387</v>
      </c>
      <c r="BA283" s="28" t="s">
        <v>64</v>
      </c>
      <c r="BC283" s="56">
        <f>AW283+AX283</f>
      </c>
      <c r="BD283" s="56">
        <f>G283/(100-BE283)*100</f>
      </c>
      <c r="BE283" s="56" t="n">
        <v>0</v>
      </c>
      <c r="BF283" s="56">
        <f>283</f>
      </c>
      <c r="BH283" s="56">
        <f>F283*AO283</f>
      </c>
      <c r="BI283" s="56">
        <f>F283*AP283</f>
      </c>
      <c r="BJ283" s="56">
        <f>F283*G283</f>
      </c>
      <c r="BK283" s="56"/>
      <c r="BL283" s="56" t="n">
        <v>713</v>
      </c>
      <c r="BW283" s="56" t="n">
        <v>21</v>
      </c>
      <c r="BX283" s="14" t="s">
        <v>529</v>
      </c>
    </row>
    <row r="284">
      <c r="A284" s="45" t="s">
        <v>53</v>
      </c>
      <c r="B284" s="46" t="s">
        <v>530</v>
      </c>
      <c r="C284" s="47" t="s">
        <v>531</v>
      </c>
      <c r="D284" s="46"/>
      <c r="E284" s="48" t="s">
        <v>34</v>
      </c>
      <c r="F284" s="48" t="s">
        <v>34</v>
      </c>
      <c r="G284" s="48" t="s">
        <v>34</v>
      </c>
      <c r="H284" s="49">
        <f>SUM(H285:H426)</f>
      </c>
      <c r="I284" s="49">
        <f>SUM(I285:I426)</f>
      </c>
      <c r="J284" s="49">
        <f>SUM(J285:J426)</f>
      </c>
      <c r="K284" s="50" t="s">
        <v>53</v>
      </c>
      <c r="AI284" s="28" t="s">
        <v>57</v>
      </c>
      <c r="AS284" s="2">
        <f>SUM(AJ285:AJ426)</f>
      </c>
      <c r="AT284" s="2">
        <f>SUM(AK285:AK426)</f>
      </c>
      <c r="AU284" s="2">
        <f>SUM(AL285:AL426)</f>
      </c>
    </row>
    <row r="285">
      <c r="A285" s="51" t="s">
        <v>532</v>
      </c>
      <c r="B285" s="52" t="s">
        <v>533</v>
      </c>
      <c r="C285" s="53" t="s">
        <v>534</v>
      </c>
      <c r="D285" s="52"/>
      <c r="E285" s="52" t="s">
        <v>130</v>
      </c>
      <c r="F285" s="54" t="n">
        <v>336.06</v>
      </c>
      <c r="G285" s="54" t="n">
        <v>0</v>
      </c>
      <c r="H285" s="54">
        <f>F285*AO285</f>
      </c>
      <c r="I285" s="54">
        <f>F285*AP285</f>
      </c>
      <c r="J285" s="54">
        <f>F285*G285</f>
      </c>
      <c r="K285" s="55" t="s">
        <v>100</v>
      </c>
      <c r="Z285" s="56">
        <f>IF(AQ285="5",BJ285,0)</f>
      </c>
      <c r="AB285" s="56">
        <f>IF(AQ285="1",BH285,0)</f>
      </c>
      <c r="AC285" s="56">
        <f>IF(AQ285="1",BI285,0)</f>
      </c>
      <c r="AD285" s="56">
        <f>IF(AQ285="7",BH285,0)</f>
      </c>
      <c r="AE285" s="56">
        <f>IF(AQ285="7",BI285,0)</f>
      </c>
      <c r="AF285" s="56">
        <f>IF(AQ285="2",BH285,0)</f>
      </c>
      <c r="AG285" s="56">
        <f>IF(AQ285="2",BI285,0)</f>
      </c>
      <c r="AH285" s="56">
        <f>IF(AQ285="0",BJ285,0)</f>
      </c>
      <c r="AI285" s="28" t="s">
        <v>57</v>
      </c>
      <c r="AJ285" s="56">
        <f>IF(AN285=0,J285,0)</f>
      </c>
      <c r="AK285" s="56">
        <f>IF(AN285=12,J285,0)</f>
      </c>
      <c r="AL285" s="56">
        <f>IF(AN285=21,J285,0)</f>
      </c>
      <c r="AN285" s="56" t="n">
        <v>21</v>
      </c>
      <c r="AO285" s="56">
        <f>G285*0</f>
      </c>
      <c r="AP285" s="56">
        <f>G285*(1-0)</f>
      </c>
      <c r="AQ285" s="57" t="s">
        <v>85</v>
      </c>
      <c r="AV285" s="56">
        <f>AW285+AX285</f>
      </c>
      <c r="AW285" s="56">
        <f>F285*AO285</f>
      </c>
      <c r="AX285" s="56">
        <f>F285*AP285</f>
      </c>
      <c r="AY285" s="57" t="s">
        <v>535</v>
      </c>
      <c r="AZ285" s="57" t="s">
        <v>536</v>
      </c>
      <c r="BA285" s="28" t="s">
        <v>64</v>
      </c>
      <c r="BC285" s="56">
        <f>AW285+AX285</f>
      </c>
      <c r="BD285" s="56">
        <f>G285/(100-BE285)*100</f>
      </c>
      <c r="BE285" s="56" t="n">
        <v>0</v>
      </c>
      <c r="BF285" s="56">
        <f>285</f>
      </c>
      <c r="BH285" s="56">
        <f>F285*AO285</f>
      </c>
      <c r="BI285" s="56">
        <f>F285*AP285</f>
      </c>
      <c r="BJ285" s="56">
        <f>F285*G285</f>
      </c>
      <c r="BK285" s="56"/>
      <c r="BL285" s="56" t="n">
        <v>762</v>
      </c>
      <c r="BW285" s="56" t="n">
        <v>21</v>
      </c>
      <c r="BX285" s="14" t="s">
        <v>534</v>
      </c>
    </row>
    <row r="286">
      <c r="A286" s="74"/>
      <c r="B286" s="75"/>
      <c r="C286" s="76" t="s">
        <v>537</v>
      </c>
      <c r="D286" s="77" t="s">
        <v>538</v>
      </c>
      <c r="E286" s="75"/>
      <c r="F286" s="78" t="n">
        <v>336.06</v>
      </c>
      <c r="G286" s="75"/>
      <c r="H286" s="75"/>
      <c r="I286" s="75"/>
      <c r="J286" s="75"/>
      <c r="K286" s="79"/>
    </row>
    <row r="287">
      <c r="A287" s="51" t="s">
        <v>539</v>
      </c>
      <c r="B287" s="52" t="s">
        <v>540</v>
      </c>
      <c r="C287" s="53" t="s">
        <v>541</v>
      </c>
      <c r="D287" s="52"/>
      <c r="E287" s="52" t="s">
        <v>130</v>
      </c>
      <c r="F287" s="54" t="n">
        <v>244.16</v>
      </c>
      <c r="G287" s="54" t="n">
        <v>0</v>
      </c>
      <c r="H287" s="54">
        <f>F287*AO287</f>
      </c>
      <c r="I287" s="54">
        <f>F287*AP287</f>
      </c>
      <c r="J287" s="54">
        <f>F287*G287</f>
      </c>
      <c r="K287" s="55" t="s">
        <v>100</v>
      </c>
      <c r="Z287" s="56">
        <f>IF(AQ287="5",BJ287,0)</f>
      </c>
      <c r="AB287" s="56">
        <f>IF(AQ287="1",BH287,0)</f>
      </c>
      <c r="AC287" s="56">
        <f>IF(AQ287="1",BI287,0)</f>
      </c>
      <c r="AD287" s="56">
        <f>IF(AQ287="7",BH287,0)</f>
      </c>
      <c r="AE287" s="56">
        <f>IF(AQ287="7",BI287,0)</f>
      </c>
      <c r="AF287" s="56">
        <f>IF(AQ287="2",BH287,0)</f>
      </c>
      <c r="AG287" s="56">
        <f>IF(AQ287="2",BI287,0)</f>
      </c>
      <c r="AH287" s="56">
        <f>IF(AQ287="0",BJ287,0)</f>
      </c>
      <c r="AI287" s="28" t="s">
        <v>57</v>
      </c>
      <c r="AJ287" s="56">
        <f>IF(AN287=0,J287,0)</f>
      </c>
      <c r="AK287" s="56">
        <f>IF(AN287=12,J287,0)</f>
      </c>
      <c r="AL287" s="56">
        <f>IF(AN287=21,J287,0)</f>
      </c>
      <c r="AN287" s="56" t="n">
        <v>21</v>
      </c>
      <c r="AO287" s="56">
        <f>G287*0</f>
      </c>
      <c r="AP287" s="56">
        <f>G287*(1-0)</f>
      </c>
      <c r="AQ287" s="57" t="s">
        <v>85</v>
      </c>
      <c r="AV287" s="56">
        <f>AW287+AX287</f>
      </c>
      <c r="AW287" s="56">
        <f>F287*AO287</f>
      </c>
      <c r="AX287" s="56">
        <f>F287*AP287</f>
      </c>
      <c r="AY287" s="57" t="s">
        <v>535</v>
      </c>
      <c r="AZ287" s="57" t="s">
        <v>536</v>
      </c>
      <c r="BA287" s="28" t="s">
        <v>64</v>
      </c>
      <c r="BC287" s="56">
        <f>AW287+AX287</f>
      </c>
      <c r="BD287" s="56">
        <f>G287/(100-BE287)*100</f>
      </c>
      <c r="BE287" s="56" t="n">
        <v>0</v>
      </c>
      <c r="BF287" s="56">
        <f>287</f>
      </c>
      <c r="BH287" s="56">
        <f>F287*AO287</f>
      </c>
      <c r="BI287" s="56">
        <f>F287*AP287</f>
      </c>
      <c r="BJ287" s="56">
        <f>F287*G287</f>
      </c>
      <c r="BK287" s="56"/>
      <c r="BL287" s="56" t="n">
        <v>762</v>
      </c>
      <c r="BW287" s="56" t="n">
        <v>21</v>
      </c>
      <c r="BX287" s="14" t="s">
        <v>541</v>
      </c>
    </row>
    <row r="288" customHeight="true" ht="13.5">
      <c r="A288" s="58"/>
      <c r="C288" s="59" t="s">
        <v>542</v>
      </c>
      <c r="D288" s="60"/>
      <c r="E288" s="60"/>
      <c r="F288" s="60"/>
      <c r="G288" s="60"/>
      <c r="H288" s="60"/>
      <c r="I288" s="60"/>
      <c r="J288" s="60"/>
      <c r="K288" s="61"/>
    </row>
    <row r="289">
      <c r="A289" s="68"/>
      <c r="B289" s="69"/>
      <c r="C289" s="70" t="s">
        <v>543</v>
      </c>
      <c r="D289" s="71" t="s">
        <v>544</v>
      </c>
      <c r="E289" s="69"/>
      <c r="F289" s="72" t="n">
        <v>244.16</v>
      </c>
      <c r="G289" s="69"/>
      <c r="H289" s="69"/>
      <c r="I289" s="69"/>
      <c r="J289" s="69"/>
      <c r="K289" s="73"/>
    </row>
    <row r="290" ht="24.75">
      <c r="A290" s="58"/>
      <c r="B290" s="80" t="s">
        <v>108</v>
      </c>
      <c r="C290" s="59" t="s">
        <v>545</v>
      </c>
      <c r="D290" s="60"/>
      <c r="E290" s="60"/>
      <c r="F290" s="60"/>
      <c r="G290" s="60"/>
      <c r="H290" s="60"/>
      <c r="I290" s="60"/>
      <c r="J290" s="60"/>
      <c r="K290" s="61"/>
      <c r="BX290" s="81" t="s">
        <v>545</v>
      </c>
    </row>
    <row r="291">
      <c r="A291" s="82" t="s">
        <v>546</v>
      </c>
      <c r="B291" s="83" t="s">
        <v>547</v>
      </c>
      <c r="C291" s="84" t="s">
        <v>548</v>
      </c>
      <c r="D291" s="83"/>
      <c r="E291" s="83" t="s">
        <v>130</v>
      </c>
      <c r="F291" s="85" t="n">
        <v>154.142</v>
      </c>
      <c r="G291" s="85" t="n">
        <v>0</v>
      </c>
      <c r="H291" s="85">
        <f>F291*AO291</f>
      </c>
      <c r="I291" s="85">
        <f>F291*AP291</f>
      </c>
      <c r="J291" s="85">
        <f>F291*G291</f>
      </c>
      <c r="K291" s="86" t="s">
        <v>100</v>
      </c>
      <c r="Z291" s="56">
        <f>IF(AQ291="5",BJ291,0)</f>
      </c>
      <c r="AB291" s="56">
        <f>IF(AQ291="1",BH291,0)</f>
      </c>
      <c r="AC291" s="56">
        <f>IF(AQ291="1",BI291,0)</f>
      </c>
      <c r="AD291" s="56">
        <f>IF(AQ291="7",BH291,0)</f>
      </c>
      <c r="AE291" s="56">
        <f>IF(AQ291="7",BI291,0)</f>
      </c>
      <c r="AF291" s="56">
        <f>IF(AQ291="2",BH291,0)</f>
      </c>
      <c r="AG291" s="56">
        <f>IF(AQ291="2",BI291,0)</f>
      </c>
      <c r="AH291" s="56">
        <f>IF(AQ291="0",BJ291,0)</f>
      </c>
      <c r="AI291" s="28" t="s">
        <v>57</v>
      </c>
      <c r="AJ291" s="56">
        <f>IF(AN291=0,J291,0)</f>
      </c>
      <c r="AK291" s="56">
        <f>IF(AN291=12,J291,0)</f>
      </c>
      <c r="AL291" s="56">
        <f>IF(AN291=21,J291,0)</f>
      </c>
      <c r="AN291" s="56" t="n">
        <v>21</v>
      </c>
      <c r="AO291" s="56">
        <f>G291*0</f>
      </c>
      <c r="AP291" s="56">
        <f>G291*(1-0)</f>
      </c>
      <c r="AQ291" s="57" t="s">
        <v>85</v>
      </c>
      <c r="AV291" s="56">
        <f>AW291+AX291</f>
      </c>
      <c r="AW291" s="56">
        <f>F291*AO291</f>
      </c>
      <c r="AX291" s="56">
        <f>F291*AP291</f>
      </c>
      <c r="AY291" s="57" t="s">
        <v>535</v>
      </c>
      <c r="AZ291" s="57" t="s">
        <v>536</v>
      </c>
      <c r="BA291" s="28" t="s">
        <v>64</v>
      </c>
      <c r="BC291" s="56">
        <f>AW291+AX291</f>
      </c>
      <c r="BD291" s="56">
        <f>G291/(100-BE291)*100</f>
      </c>
      <c r="BE291" s="56" t="n">
        <v>0</v>
      </c>
      <c r="BF291" s="56">
        <f>291</f>
      </c>
      <c r="BH291" s="56">
        <f>F291*AO291</f>
      </c>
      <c r="BI291" s="56">
        <f>F291*AP291</f>
      </c>
      <c r="BJ291" s="56">
        <f>F291*G291</f>
      </c>
      <c r="BK291" s="56"/>
      <c r="BL291" s="56" t="n">
        <v>762</v>
      </c>
      <c r="BW291" s="56" t="n">
        <v>21</v>
      </c>
      <c r="BX291" s="14" t="s">
        <v>548</v>
      </c>
    </row>
    <row r="292" customHeight="true" ht="13.5">
      <c r="A292" s="58"/>
      <c r="C292" s="59" t="s">
        <v>549</v>
      </c>
      <c r="D292" s="60"/>
      <c r="E292" s="60"/>
      <c r="F292" s="60"/>
      <c r="G292" s="60"/>
      <c r="H292" s="60"/>
      <c r="I292" s="60"/>
      <c r="J292" s="60"/>
      <c r="K292" s="61"/>
    </row>
    <row r="293">
      <c r="A293" s="68"/>
      <c r="B293" s="69"/>
      <c r="C293" s="70" t="s">
        <v>550</v>
      </c>
      <c r="D293" s="71" t="s">
        <v>551</v>
      </c>
      <c r="E293" s="69"/>
      <c r="F293" s="72" t="n">
        <v>154.142</v>
      </c>
      <c r="G293" s="69"/>
      <c r="H293" s="69"/>
      <c r="I293" s="69"/>
      <c r="J293" s="69"/>
      <c r="K293" s="73"/>
    </row>
    <row r="294">
      <c r="A294" s="58"/>
      <c r="B294" s="80" t="s">
        <v>108</v>
      </c>
      <c r="C294" s="59" t="s">
        <v>552</v>
      </c>
      <c r="D294" s="60"/>
      <c r="E294" s="60"/>
      <c r="F294" s="60"/>
      <c r="G294" s="60"/>
      <c r="H294" s="60"/>
      <c r="I294" s="60"/>
      <c r="J294" s="60"/>
      <c r="K294" s="61"/>
      <c r="BX294" s="81" t="s">
        <v>552</v>
      </c>
    </row>
    <row r="295">
      <c r="A295" s="82" t="s">
        <v>553</v>
      </c>
      <c r="B295" s="83" t="s">
        <v>554</v>
      </c>
      <c r="C295" s="84" t="s">
        <v>555</v>
      </c>
      <c r="D295" s="83"/>
      <c r="E295" s="83" t="s">
        <v>130</v>
      </c>
      <c r="F295" s="85" t="n">
        <v>5.4075</v>
      </c>
      <c r="G295" s="85" t="n">
        <v>0</v>
      </c>
      <c r="H295" s="85">
        <f>F295*AO295</f>
      </c>
      <c r="I295" s="85">
        <f>F295*AP295</f>
      </c>
      <c r="J295" s="85">
        <f>F295*G295</f>
      </c>
      <c r="K295" s="86" t="s">
        <v>100</v>
      </c>
      <c r="Z295" s="56">
        <f>IF(AQ295="5",BJ295,0)</f>
      </c>
      <c r="AB295" s="56">
        <f>IF(AQ295="1",BH295,0)</f>
      </c>
      <c r="AC295" s="56">
        <f>IF(AQ295="1",BI295,0)</f>
      </c>
      <c r="AD295" s="56">
        <f>IF(AQ295="7",BH295,0)</f>
      </c>
      <c r="AE295" s="56">
        <f>IF(AQ295="7",BI295,0)</f>
      </c>
      <c r="AF295" s="56">
        <f>IF(AQ295="2",BH295,0)</f>
      </c>
      <c r="AG295" s="56">
        <f>IF(AQ295="2",BI295,0)</f>
      </c>
      <c r="AH295" s="56">
        <f>IF(AQ295="0",BJ295,0)</f>
      </c>
      <c r="AI295" s="28" t="s">
        <v>57</v>
      </c>
      <c r="AJ295" s="56">
        <f>IF(AN295=0,J295,0)</f>
      </c>
      <c r="AK295" s="56">
        <f>IF(AN295=12,J295,0)</f>
      </c>
      <c r="AL295" s="56">
        <f>IF(AN295=21,J295,0)</f>
      </c>
      <c r="AN295" s="56" t="n">
        <v>21</v>
      </c>
      <c r="AO295" s="56">
        <f>G295*0</f>
      </c>
      <c r="AP295" s="56">
        <f>G295*(1-0)</f>
      </c>
      <c r="AQ295" s="57" t="s">
        <v>85</v>
      </c>
      <c r="AV295" s="56">
        <f>AW295+AX295</f>
      </c>
      <c r="AW295" s="56">
        <f>F295*AO295</f>
      </c>
      <c r="AX295" s="56">
        <f>F295*AP295</f>
      </c>
      <c r="AY295" s="57" t="s">
        <v>535</v>
      </c>
      <c r="AZ295" s="57" t="s">
        <v>536</v>
      </c>
      <c r="BA295" s="28" t="s">
        <v>64</v>
      </c>
      <c r="BC295" s="56">
        <f>AW295+AX295</f>
      </c>
      <c r="BD295" s="56">
        <f>G295/(100-BE295)*100</f>
      </c>
      <c r="BE295" s="56" t="n">
        <v>0</v>
      </c>
      <c r="BF295" s="56">
        <f>295</f>
      </c>
      <c r="BH295" s="56">
        <f>F295*AO295</f>
      </c>
      <c r="BI295" s="56">
        <f>F295*AP295</f>
      </c>
      <c r="BJ295" s="56">
        <f>F295*G295</f>
      </c>
      <c r="BK295" s="56"/>
      <c r="BL295" s="56" t="n">
        <v>762</v>
      </c>
      <c r="BW295" s="56" t="n">
        <v>21</v>
      </c>
      <c r="BX295" s="14" t="s">
        <v>555</v>
      </c>
    </row>
    <row r="296">
      <c r="A296" s="74"/>
      <c r="B296" s="75"/>
      <c r="C296" s="76" t="s">
        <v>556</v>
      </c>
      <c r="D296" s="77" t="s">
        <v>557</v>
      </c>
      <c r="E296" s="75"/>
      <c r="F296" s="78" t="n">
        <v>5.4075</v>
      </c>
      <c r="G296" s="75"/>
      <c r="H296" s="75"/>
      <c r="I296" s="75"/>
      <c r="J296" s="75"/>
      <c r="K296" s="79"/>
    </row>
    <row r="297">
      <c r="A297" s="51" t="s">
        <v>558</v>
      </c>
      <c r="B297" s="52" t="s">
        <v>559</v>
      </c>
      <c r="C297" s="53" t="s">
        <v>560</v>
      </c>
      <c r="D297" s="52"/>
      <c r="E297" s="52" t="s">
        <v>180</v>
      </c>
      <c r="F297" s="54" t="n">
        <v>22</v>
      </c>
      <c r="G297" s="54" t="n">
        <v>0</v>
      </c>
      <c r="H297" s="54">
        <f>F297*AO297</f>
      </c>
      <c r="I297" s="54">
        <f>F297*AP297</f>
      </c>
      <c r="J297" s="54">
        <f>F297*G297</f>
      </c>
      <c r="K297" s="55" t="s">
        <v>100</v>
      </c>
      <c r="Z297" s="56">
        <f>IF(AQ297="5",BJ297,0)</f>
      </c>
      <c r="AB297" s="56">
        <f>IF(AQ297="1",BH297,0)</f>
      </c>
      <c r="AC297" s="56">
        <f>IF(AQ297="1",BI297,0)</f>
      </c>
      <c r="AD297" s="56">
        <f>IF(AQ297="7",BH297,0)</f>
      </c>
      <c r="AE297" s="56">
        <f>IF(AQ297="7",BI297,0)</f>
      </c>
      <c r="AF297" s="56">
        <f>IF(AQ297="2",BH297,0)</f>
      </c>
      <c r="AG297" s="56">
        <f>IF(AQ297="2",BI297,0)</f>
      </c>
      <c r="AH297" s="56">
        <f>IF(AQ297="0",BJ297,0)</f>
      </c>
      <c r="AI297" s="28" t="s">
        <v>57</v>
      </c>
      <c r="AJ297" s="56">
        <f>IF(AN297=0,J297,0)</f>
      </c>
      <c r="AK297" s="56">
        <f>IF(AN297=12,J297,0)</f>
      </c>
      <c r="AL297" s="56">
        <f>IF(AN297=21,J297,0)</f>
      </c>
      <c r="AN297" s="56" t="n">
        <v>21</v>
      </c>
      <c r="AO297" s="56">
        <f>G297*0</f>
      </c>
      <c r="AP297" s="56">
        <f>G297*(1-0)</f>
      </c>
      <c r="AQ297" s="57" t="s">
        <v>85</v>
      </c>
      <c r="AV297" s="56">
        <f>AW297+AX297</f>
      </c>
      <c r="AW297" s="56">
        <f>F297*AO297</f>
      </c>
      <c r="AX297" s="56">
        <f>F297*AP297</f>
      </c>
      <c r="AY297" s="57" t="s">
        <v>535</v>
      </c>
      <c r="AZ297" s="57" t="s">
        <v>536</v>
      </c>
      <c r="BA297" s="28" t="s">
        <v>64</v>
      </c>
      <c r="BC297" s="56">
        <f>AW297+AX297</f>
      </c>
      <c r="BD297" s="56">
        <f>G297/(100-BE297)*100</f>
      </c>
      <c r="BE297" s="56" t="n">
        <v>0</v>
      </c>
      <c r="BF297" s="56">
        <f>297</f>
      </c>
      <c r="BH297" s="56">
        <f>F297*AO297</f>
      </c>
      <c r="BI297" s="56">
        <f>F297*AP297</f>
      </c>
      <c r="BJ297" s="56">
        <f>F297*G297</f>
      </c>
      <c r="BK297" s="56"/>
      <c r="BL297" s="56" t="n">
        <v>762</v>
      </c>
      <c r="BW297" s="56" t="n">
        <v>21</v>
      </c>
      <c r="BX297" s="14" t="s">
        <v>560</v>
      </c>
    </row>
    <row r="298" customHeight="true" ht="13.5">
      <c r="A298" s="58"/>
      <c r="C298" s="59" t="s">
        <v>561</v>
      </c>
      <c r="D298" s="60"/>
      <c r="E298" s="60"/>
      <c r="F298" s="60"/>
      <c r="G298" s="60"/>
      <c r="H298" s="60"/>
      <c r="I298" s="60"/>
      <c r="J298" s="60"/>
      <c r="K298" s="61"/>
    </row>
    <row r="299">
      <c r="A299" s="68"/>
      <c r="B299" s="69"/>
      <c r="C299" s="70" t="s">
        <v>192</v>
      </c>
      <c r="D299" s="71" t="s">
        <v>562</v>
      </c>
      <c r="E299" s="69"/>
      <c r="F299" s="72" t="n">
        <v>22</v>
      </c>
      <c r="G299" s="69"/>
      <c r="H299" s="69"/>
      <c r="I299" s="69"/>
      <c r="J299" s="69"/>
      <c r="K299" s="73"/>
    </row>
    <row r="300">
      <c r="A300" s="101"/>
      <c r="B300" s="102" t="s">
        <v>108</v>
      </c>
      <c r="C300" s="103" t="s">
        <v>563</v>
      </c>
      <c r="D300" s="104"/>
      <c r="E300" s="104"/>
      <c r="F300" s="104"/>
      <c r="G300" s="104"/>
      <c r="H300" s="104"/>
      <c r="I300" s="104"/>
      <c r="J300" s="104"/>
      <c r="K300" s="105"/>
      <c r="BX300" s="81" t="s">
        <v>563</v>
      </c>
    </row>
    <row r="301" customHeight="true" ht="27">
      <c r="A301" s="106"/>
      <c r="B301" s="107" t="s">
        <v>267</v>
      </c>
      <c r="C301" s="108" t="s">
        <v>564</v>
      </c>
      <c r="D301" s="109"/>
      <c r="E301" s="109"/>
      <c r="F301" s="109"/>
      <c r="G301" s="109"/>
      <c r="H301" s="109"/>
      <c r="I301" s="109"/>
      <c r="J301" s="109"/>
      <c r="K301" s="110"/>
    </row>
    <row r="302">
      <c r="A302" s="87" t="s">
        <v>565</v>
      </c>
      <c r="B302" s="88" t="s">
        <v>566</v>
      </c>
      <c r="C302" s="89" t="s">
        <v>567</v>
      </c>
      <c r="D302" s="88"/>
      <c r="E302" s="88" t="s">
        <v>393</v>
      </c>
      <c r="F302" s="90" t="n">
        <v>9.9</v>
      </c>
      <c r="G302" s="90" t="n">
        <v>0</v>
      </c>
      <c r="H302" s="90">
        <f>F302*AO302</f>
      </c>
      <c r="I302" s="90">
        <f>F302*AP302</f>
      </c>
      <c r="J302" s="90">
        <f>F302*G302</f>
      </c>
      <c r="K302" s="91" t="s">
        <v>100</v>
      </c>
      <c r="Z302" s="56">
        <f>IF(AQ302="5",BJ302,0)</f>
      </c>
      <c r="AB302" s="56">
        <f>IF(AQ302="1",BH302,0)</f>
      </c>
      <c r="AC302" s="56">
        <f>IF(AQ302="1",BI302,0)</f>
      </c>
      <c r="AD302" s="56">
        <f>IF(AQ302="7",BH302,0)</f>
      </c>
      <c r="AE302" s="56">
        <f>IF(AQ302="7",BI302,0)</f>
      </c>
      <c r="AF302" s="56">
        <f>IF(AQ302="2",BH302,0)</f>
      </c>
      <c r="AG302" s="56">
        <f>IF(AQ302="2",BI302,0)</f>
      </c>
      <c r="AH302" s="56">
        <f>IF(AQ302="0",BJ302,0)</f>
      </c>
      <c r="AI302" s="28" t="s">
        <v>57</v>
      </c>
      <c r="AJ302" s="92">
        <f>IF(AN302=0,J302,0)</f>
      </c>
      <c r="AK302" s="92">
        <f>IF(AN302=12,J302,0)</f>
      </c>
      <c r="AL302" s="92">
        <f>IF(AN302=21,J302,0)</f>
      </c>
      <c r="AN302" s="56" t="n">
        <v>21</v>
      </c>
      <c r="AO302" s="56">
        <f>G302*1</f>
      </c>
      <c r="AP302" s="56">
        <f>G302*(1-1)</f>
      </c>
      <c r="AQ302" s="93" t="s">
        <v>85</v>
      </c>
      <c r="AV302" s="56">
        <f>AW302+AX302</f>
      </c>
      <c r="AW302" s="56">
        <f>F302*AO302</f>
      </c>
      <c r="AX302" s="56">
        <f>F302*AP302</f>
      </c>
      <c r="AY302" s="57" t="s">
        <v>535</v>
      </c>
      <c r="AZ302" s="57" t="s">
        <v>536</v>
      </c>
      <c r="BA302" s="28" t="s">
        <v>64</v>
      </c>
      <c r="BC302" s="56">
        <f>AW302+AX302</f>
      </c>
      <c r="BD302" s="56">
        <f>G302/(100-BE302)*100</f>
      </c>
      <c r="BE302" s="56" t="n">
        <v>0</v>
      </c>
      <c r="BF302" s="56">
        <f>302</f>
      </c>
      <c r="BH302" s="92">
        <f>F302*AO302</f>
      </c>
      <c r="BI302" s="92">
        <f>F302*AP302</f>
      </c>
      <c r="BJ302" s="92">
        <f>F302*G302</f>
      </c>
      <c r="BK302" s="92"/>
      <c r="BL302" s="56" t="n">
        <v>762</v>
      </c>
      <c r="BW302" s="56" t="n">
        <v>21</v>
      </c>
      <c r="BX302" s="94" t="s">
        <v>567</v>
      </c>
    </row>
    <row r="303">
      <c r="A303" s="74"/>
      <c r="B303" s="75"/>
      <c r="C303" s="76" t="s">
        <v>568</v>
      </c>
      <c r="D303" s="77" t="s">
        <v>276</v>
      </c>
      <c r="E303" s="75"/>
      <c r="F303" s="78" t="n">
        <v>9.9</v>
      </c>
      <c r="G303" s="75"/>
      <c r="H303" s="75"/>
      <c r="I303" s="75"/>
      <c r="J303" s="75"/>
      <c r="K303" s="79"/>
    </row>
    <row r="304">
      <c r="A304" s="96" t="s">
        <v>569</v>
      </c>
      <c r="B304" s="97" t="s">
        <v>570</v>
      </c>
      <c r="C304" s="98" t="s">
        <v>571</v>
      </c>
      <c r="D304" s="97"/>
      <c r="E304" s="97" t="s">
        <v>242</v>
      </c>
      <c r="F304" s="99" t="n">
        <v>0.09891</v>
      </c>
      <c r="G304" s="99" t="n">
        <v>0</v>
      </c>
      <c r="H304" s="99">
        <f>F304*AO304</f>
      </c>
      <c r="I304" s="99">
        <f>F304*AP304</f>
      </c>
      <c r="J304" s="99">
        <f>F304*G304</f>
      </c>
      <c r="K304" s="100" t="s">
        <v>100</v>
      </c>
      <c r="Z304" s="56">
        <f>IF(AQ304="5",BJ304,0)</f>
      </c>
      <c r="AB304" s="56">
        <f>IF(AQ304="1",BH304,0)</f>
      </c>
      <c r="AC304" s="56">
        <f>IF(AQ304="1",BI304,0)</f>
      </c>
      <c r="AD304" s="56">
        <f>IF(AQ304="7",BH304,0)</f>
      </c>
      <c r="AE304" s="56">
        <f>IF(AQ304="7",BI304,0)</f>
      </c>
      <c r="AF304" s="56">
        <f>IF(AQ304="2",BH304,0)</f>
      </c>
      <c r="AG304" s="56">
        <f>IF(AQ304="2",BI304,0)</f>
      </c>
      <c r="AH304" s="56">
        <f>IF(AQ304="0",BJ304,0)</f>
      </c>
      <c r="AI304" s="28" t="s">
        <v>57</v>
      </c>
      <c r="AJ304" s="92">
        <f>IF(AN304=0,J304,0)</f>
      </c>
      <c r="AK304" s="92">
        <f>IF(AN304=12,J304,0)</f>
      </c>
      <c r="AL304" s="92">
        <f>IF(AN304=21,J304,0)</f>
      </c>
      <c r="AN304" s="56" t="n">
        <v>21</v>
      </c>
      <c r="AO304" s="56">
        <f>G304*1</f>
      </c>
      <c r="AP304" s="56">
        <f>G304*(1-1)</f>
      </c>
      <c r="AQ304" s="93" t="s">
        <v>85</v>
      </c>
      <c r="AV304" s="56">
        <f>AW304+AX304</f>
      </c>
      <c r="AW304" s="56">
        <f>F304*AO304</f>
      </c>
      <c r="AX304" s="56">
        <f>F304*AP304</f>
      </c>
      <c r="AY304" s="57" t="s">
        <v>535</v>
      </c>
      <c r="AZ304" s="57" t="s">
        <v>536</v>
      </c>
      <c r="BA304" s="28" t="s">
        <v>64</v>
      </c>
      <c r="BC304" s="56">
        <f>AW304+AX304</f>
      </c>
      <c r="BD304" s="56">
        <f>G304/(100-BE304)*100</f>
      </c>
      <c r="BE304" s="56" t="n">
        <v>0</v>
      </c>
      <c r="BF304" s="56">
        <f>304</f>
      </c>
      <c r="BH304" s="92">
        <f>F304*AO304</f>
      </c>
      <c r="BI304" s="92">
        <f>F304*AP304</f>
      </c>
      <c r="BJ304" s="92">
        <f>F304*G304</f>
      </c>
      <c r="BK304" s="92"/>
      <c r="BL304" s="56" t="n">
        <v>762</v>
      </c>
      <c r="BW304" s="56" t="n">
        <v>21</v>
      </c>
      <c r="BX304" s="94" t="s">
        <v>571</v>
      </c>
    </row>
    <row r="305">
      <c r="A305" s="74"/>
      <c r="B305" s="75"/>
      <c r="C305" s="76" t="s">
        <v>572</v>
      </c>
      <c r="D305" s="77" t="s">
        <v>53</v>
      </c>
      <c r="E305" s="75"/>
      <c r="F305" s="78" t="n">
        <v>0.0942</v>
      </c>
      <c r="G305" s="75"/>
      <c r="H305" s="75"/>
      <c r="I305" s="75"/>
      <c r="J305" s="75"/>
      <c r="K305" s="79"/>
    </row>
    <row r="306">
      <c r="A306" s="74"/>
      <c r="B306" s="75"/>
      <c r="C306" s="76" t="s">
        <v>573</v>
      </c>
      <c r="D306" s="77" t="s">
        <v>53</v>
      </c>
      <c r="E306" s="75"/>
      <c r="F306" s="78" t="n">
        <v>0.00471</v>
      </c>
      <c r="G306" s="75"/>
      <c r="H306" s="75"/>
      <c r="I306" s="75"/>
      <c r="J306" s="75"/>
      <c r="K306" s="79"/>
    </row>
    <row r="307">
      <c r="A307" s="58"/>
      <c r="B307" s="80" t="s">
        <v>108</v>
      </c>
      <c r="C307" s="59" t="s">
        <v>574</v>
      </c>
      <c r="D307" s="60"/>
      <c r="E307" s="60"/>
      <c r="F307" s="60"/>
      <c r="G307" s="60"/>
      <c r="H307" s="60"/>
      <c r="I307" s="60"/>
      <c r="J307" s="60"/>
      <c r="K307" s="61"/>
      <c r="BX307" s="95" t="s">
        <v>574</v>
      </c>
    </row>
    <row r="308">
      <c r="A308" s="82" t="s">
        <v>575</v>
      </c>
      <c r="B308" s="83" t="s">
        <v>576</v>
      </c>
      <c r="C308" s="84" t="s">
        <v>577</v>
      </c>
      <c r="D308" s="83"/>
      <c r="E308" s="83" t="s">
        <v>393</v>
      </c>
      <c r="F308" s="85" t="n">
        <v>1894.79</v>
      </c>
      <c r="G308" s="85" t="n">
        <v>0</v>
      </c>
      <c r="H308" s="85">
        <f>F308*AO308</f>
      </c>
      <c r="I308" s="85">
        <f>F308*AP308</f>
      </c>
      <c r="J308" s="85">
        <f>F308*G308</f>
      </c>
      <c r="K308" s="86" t="s">
        <v>100</v>
      </c>
      <c r="Z308" s="56">
        <f>IF(AQ308="5",BJ308,0)</f>
      </c>
      <c r="AB308" s="56">
        <f>IF(AQ308="1",BH308,0)</f>
      </c>
      <c r="AC308" s="56">
        <f>IF(AQ308="1",BI308,0)</f>
      </c>
      <c r="AD308" s="56">
        <f>IF(AQ308="7",BH308,0)</f>
      </c>
      <c r="AE308" s="56">
        <f>IF(AQ308="7",BI308,0)</f>
      </c>
      <c r="AF308" s="56">
        <f>IF(AQ308="2",BH308,0)</f>
      </c>
      <c r="AG308" s="56">
        <f>IF(AQ308="2",BI308,0)</f>
      </c>
      <c r="AH308" s="56">
        <f>IF(AQ308="0",BJ308,0)</f>
      </c>
      <c r="AI308" s="28" t="s">
        <v>57</v>
      </c>
      <c r="AJ308" s="56">
        <f>IF(AN308=0,J308,0)</f>
      </c>
      <c r="AK308" s="56">
        <f>IF(AN308=12,J308,0)</f>
      </c>
      <c r="AL308" s="56">
        <f>IF(AN308=21,J308,0)</f>
      </c>
      <c r="AN308" s="56" t="n">
        <v>21</v>
      </c>
      <c r="AO308" s="56">
        <f>G308*0.063689088</f>
      </c>
      <c r="AP308" s="56">
        <f>G308*(1-0.063689088)</f>
      </c>
      <c r="AQ308" s="57" t="s">
        <v>85</v>
      </c>
      <c r="AV308" s="56">
        <f>AW308+AX308</f>
      </c>
      <c r="AW308" s="56">
        <f>F308*AO308</f>
      </c>
      <c r="AX308" s="56">
        <f>F308*AP308</f>
      </c>
      <c r="AY308" s="57" t="s">
        <v>535</v>
      </c>
      <c r="AZ308" s="57" t="s">
        <v>536</v>
      </c>
      <c r="BA308" s="28" t="s">
        <v>64</v>
      </c>
      <c r="BC308" s="56">
        <f>AW308+AX308</f>
      </c>
      <c r="BD308" s="56">
        <f>G308/(100-BE308)*100</f>
      </c>
      <c r="BE308" s="56" t="n">
        <v>0</v>
      </c>
      <c r="BF308" s="56">
        <f>308</f>
      </c>
      <c r="BH308" s="56">
        <f>F308*AO308</f>
      </c>
      <c r="BI308" s="56">
        <f>F308*AP308</f>
      </c>
      <c r="BJ308" s="56">
        <f>F308*G308</f>
      </c>
      <c r="BK308" s="56"/>
      <c r="BL308" s="56" t="n">
        <v>762</v>
      </c>
      <c r="BW308" s="56" t="n">
        <v>21</v>
      </c>
      <c r="BX308" s="14" t="s">
        <v>577</v>
      </c>
    </row>
    <row r="309">
      <c r="A309" s="74"/>
      <c r="B309" s="75"/>
      <c r="C309" s="76" t="s">
        <v>578</v>
      </c>
      <c r="D309" s="77" t="s">
        <v>579</v>
      </c>
      <c r="E309" s="75"/>
      <c r="F309" s="78" t="n">
        <v>58.75</v>
      </c>
      <c r="G309" s="75"/>
      <c r="H309" s="75"/>
      <c r="I309" s="75"/>
      <c r="J309" s="75"/>
      <c r="K309" s="79"/>
    </row>
    <row r="310">
      <c r="A310" s="74"/>
      <c r="B310" s="75"/>
      <c r="C310" s="76" t="s">
        <v>580</v>
      </c>
      <c r="D310" s="77" t="s">
        <v>581</v>
      </c>
      <c r="E310" s="75"/>
      <c r="F310" s="78" t="n">
        <v>106.23</v>
      </c>
      <c r="G310" s="75"/>
      <c r="H310" s="75"/>
      <c r="I310" s="75"/>
      <c r="J310" s="75"/>
      <c r="K310" s="79"/>
    </row>
    <row r="311">
      <c r="A311" s="74"/>
      <c r="B311" s="75"/>
      <c r="C311" s="76" t="s">
        <v>582</v>
      </c>
      <c r="D311" s="77" t="s">
        <v>581</v>
      </c>
      <c r="E311" s="75"/>
      <c r="F311" s="78" t="n">
        <v>29.74</v>
      </c>
      <c r="G311" s="75"/>
      <c r="H311" s="75"/>
      <c r="I311" s="75"/>
      <c r="J311" s="75"/>
      <c r="K311" s="79"/>
    </row>
    <row r="312">
      <c r="A312" s="74"/>
      <c r="B312" s="75"/>
      <c r="C312" s="76" t="s">
        <v>583</v>
      </c>
      <c r="D312" s="77" t="s">
        <v>584</v>
      </c>
      <c r="E312" s="75"/>
      <c r="F312" s="78" t="n">
        <v>301.62</v>
      </c>
      <c r="G312" s="75"/>
      <c r="H312" s="75"/>
      <c r="I312" s="75"/>
      <c r="J312" s="75"/>
      <c r="K312" s="79"/>
    </row>
    <row r="313">
      <c r="A313" s="74"/>
      <c r="B313" s="75"/>
      <c r="C313" s="76" t="s">
        <v>585</v>
      </c>
      <c r="D313" s="77" t="s">
        <v>586</v>
      </c>
      <c r="E313" s="75"/>
      <c r="F313" s="78" t="n">
        <v>7.36</v>
      </c>
      <c r="G313" s="75"/>
      <c r="H313" s="75"/>
      <c r="I313" s="75"/>
      <c r="J313" s="75"/>
      <c r="K313" s="79"/>
    </row>
    <row r="314">
      <c r="A314" s="74"/>
      <c r="B314" s="75"/>
      <c r="C314" s="76" t="s">
        <v>587</v>
      </c>
      <c r="D314" s="77" t="s">
        <v>588</v>
      </c>
      <c r="E314" s="75"/>
      <c r="F314" s="78" t="n">
        <v>1173.9</v>
      </c>
      <c r="G314" s="75"/>
      <c r="H314" s="75"/>
      <c r="I314" s="75"/>
      <c r="J314" s="75"/>
      <c r="K314" s="79"/>
    </row>
    <row r="315">
      <c r="A315" s="74"/>
      <c r="B315" s="75"/>
      <c r="C315" s="76" t="s">
        <v>589</v>
      </c>
      <c r="D315" s="77" t="s">
        <v>590</v>
      </c>
      <c r="E315" s="75"/>
      <c r="F315" s="78" t="n">
        <v>37.82</v>
      </c>
      <c r="G315" s="75"/>
      <c r="H315" s="75"/>
      <c r="I315" s="75"/>
      <c r="J315" s="75"/>
      <c r="K315" s="79"/>
    </row>
    <row r="316">
      <c r="A316" s="74"/>
      <c r="B316" s="75"/>
      <c r="C316" s="76" t="s">
        <v>591</v>
      </c>
      <c r="D316" s="77" t="s">
        <v>592</v>
      </c>
      <c r="E316" s="75"/>
      <c r="F316" s="78" t="n">
        <v>77.32</v>
      </c>
      <c r="G316" s="75"/>
      <c r="H316" s="75"/>
      <c r="I316" s="75"/>
      <c r="J316" s="75"/>
      <c r="K316" s="79"/>
    </row>
    <row r="317">
      <c r="A317" s="74"/>
      <c r="B317" s="75"/>
      <c r="C317" s="76" t="s">
        <v>593</v>
      </c>
      <c r="D317" s="77" t="s">
        <v>594</v>
      </c>
      <c r="E317" s="75"/>
      <c r="F317" s="78" t="n">
        <v>39.93</v>
      </c>
      <c r="G317" s="75"/>
      <c r="H317" s="75"/>
      <c r="I317" s="75"/>
      <c r="J317" s="75"/>
      <c r="K317" s="79"/>
    </row>
    <row r="318">
      <c r="A318" s="74"/>
      <c r="B318" s="75"/>
      <c r="C318" s="76" t="s">
        <v>595</v>
      </c>
      <c r="D318" s="77" t="s">
        <v>596</v>
      </c>
      <c r="E318" s="75"/>
      <c r="F318" s="78" t="n">
        <v>94.3</v>
      </c>
      <c r="G318" s="75"/>
      <c r="H318" s="75"/>
      <c r="I318" s="75"/>
      <c r="J318" s="75"/>
      <c r="K318" s="79"/>
    </row>
    <row r="319">
      <c r="A319" s="74"/>
      <c r="B319" s="75"/>
      <c r="C319" s="76" t="s">
        <v>597</v>
      </c>
      <c r="D319" s="77" t="s">
        <v>159</v>
      </c>
      <c r="E319" s="75"/>
      <c r="F319" s="78" t="n">
        <v>-32.18</v>
      </c>
      <c r="G319" s="75"/>
      <c r="H319" s="75"/>
      <c r="I319" s="75"/>
      <c r="J319" s="75"/>
      <c r="K319" s="79"/>
    </row>
    <row r="320" ht="24.75">
      <c r="A320" s="58"/>
      <c r="B320" s="80" t="s">
        <v>108</v>
      </c>
      <c r="C320" s="59" t="s">
        <v>598</v>
      </c>
      <c r="D320" s="60"/>
      <c r="E320" s="60"/>
      <c r="F320" s="60"/>
      <c r="G320" s="60"/>
      <c r="H320" s="60"/>
      <c r="I320" s="60"/>
      <c r="J320" s="60"/>
      <c r="K320" s="61"/>
      <c r="BX320" s="81" t="s">
        <v>598</v>
      </c>
    </row>
    <row r="321">
      <c r="A321" s="87" t="s">
        <v>599</v>
      </c>
      <c r="B321" s="88" t="s">
        <v>600</v>
      </c>
      <c r="C321" s="89" t="s">
        <v>601</v>
      </c>
      <c r="D321" s="88"/>
      <c r="E321" s="88" t="s">
        <v>99</v>
      </c>
      <c r="F321" s="90" t="n">
        <v>4.75688</v>
      </c>
      <c r="G321" s="90" t="n">
        <v>0</v>
      </c>
      <c r="H321" s="90">
        <f>F321*AO321</f>
      </c>
      <c r="I321" s="90">
        <f>F321*AP321</f>
      </c>
      <c r="J321" s="90">
        <f>F321*G321</f>
      </c>
      <c r="K321" s="91" t="s">
        <v>100</v>
      </c>
      <c r="Z321" s="56">
        <f>IF(AQ321="5",BJ321,0)</f>
      </c>
      <c r="AB321" s="56">
        <f>IF(AQ321="1",BH321,0)</f>
      </c>
      <c r="AC321" s="56">
        <f>IF(AQ321="1",BI321,0)</f>
      </c>
      <c r="AD321" s="56">
        <f>IF(AQ321="7",BH321,0)</f>
      </c>
      <c r="AE321" s="56">
        <f>IF(AQ321="7",BI321,0)</f>
      </c>
      <c r="AF321" s="56">
        <f>IF(AQ321="2",BH321,0)</f>
      </c>
      <c r="AG321" s="56">
        <f>IF(AQ321="2",BI321,0)</f>
      </c>
      <c r="AH321" s="56">
        <f>IF(AQ321="0",BJ321,0)</f>
      </c>
      <c r="AI321" s="28" t="s">
        <v>57</v>
      </c>
      <c r="AJ321" s="92">
        <f>IF(AN321=0,J321,0)</f>
      </c>
      <c r="AK321" s="92">
        <f>IF(AN321=12,J321,0)</f>
      </c>
      <c r="AL321" s="92">
        <f>IF(AN321=21,J321,0)</f>
      </c>
      <c r="AN321" s="56" t="n">
        <v>21</v>
      </c>
      <c r="AO321" s="56">
        <f>G321*1</f>
      </c>
      <c r="AP321" s="56">
        <f>G321*(1-1)</f>
      </c>
      <c r="AQ321" s="93" t="s">
        <v>85</v>
      </c>
      <c r="AV321" s="56">
        <f>AW321+AX321</f>
      </c>
      <c r="AW321" s="56">
        <f>F321*AO321</f>
      </c>
      <c r="AX321" s="56">
        <f>F321*AP321</f>
      </c>
      <c r="AY321" s="57" t="s">
        <v>535</v>
      </c>
      <c r="AZ321" s="57" t="s">
        <v>536</v>
      </c>
      <c r="BA321" s="28" t="s">
        <v>64</v>
      </c>
      <c r="BC321" s="56">
        <f>AW321+AX321</f>
      </c>
      <c r="BD321" s="56">
        <f>G321/(100-BE321)*100</f>
      </c>
      <c r="BE321" s="56" t="n">
        <v>0</v>
      </c>
      <c r="BF321" s="56">
        <f>321</f>
      </c>
      <c r="BH321" s="92">
        <f>F321*AO321</f>
      </c>
      <c r="BI321" s="92">
        <f>F321*AP321</f>
      </c>
      <c r="BJ321" s="92">
        <f>F321*G321</f>
      </c>
      <c r="BK321" s="92"/>
      <c r="BL321" s="56" t="n">
        <v>762</v>
      </c>
      <c r="BW321" s="56" t="n">
        <v>21</v>
      </c>
      <c r="BX321" s="94" t="s">
        <v>601</v>
      </c>
    </row>
    <row r="322">
      <c r="A322" s="74"/>
      <c r="B322" s="75"/>
      <c r="C322" s="76" t="s">
        <v>602</v>
      </c>
      <c r="D322" s="77" t="s">
        <v>579</v>
      </c>
      <c r="E322" s="75"/>
      <c r="F322" s="78" t="n">
        <v>0.705</v>
      </c>
      <c r="G322" s="75"/>
      <c r="H322" s="75"/>
      <c r="I322" s="75"/>
      <c r="J322" s="75"/>
      <c r="K322" s="79"/>
    </row>
    <row r="323">
      <c r="A323" s="74"/>
      <c r="B323" s="75"/>
      <c r="C323" s="76" t="s">
        <v>603</v>
      </c>
      <c r="D323" s="77" t="s">
        <v>584</v>
      </c>
      <c r="E323" s="75"/>
      <c r="F323" s="78" t="n">
        <v>3.61944</v>
      </c>
      <c r="G323" s="75"/>
      <c r="H323" s="75"/>
      <c r="I323" s="75"/>
      <c r="J323" s="75"/>
      <c r="K323" s="79"/>
    </row>
    <row r="324">
      <c r="A324" s="74"/>
      <c r="B324" s="75"/>
      <c r="C324" s="76" t="s">
        <v>604</v>
      </c>
      <c r="D324" s="77" t="s">
        <v>53</v>
      </c>
      <c r="E324" s="75"/>
      <c r="F324" s="78" t="n">
        <v>0.43244</v>
      </c>
      <c r="G324" s="75"/>
      <c r="H324" s="75"/>
      <c r="I324" s="75"/>
      <c r="J324" s="75"/>
      <c r="K324" s="79"/>
    </row>
    <row r="325" ht="48.75">
      <c r="A325" s="58"/>
      <c r="B325" s="80" t="s">
        <v>108</v>
      </c>
      <c r="C325" s="59" t="s">
        <v>605</v>
      </c>
      <c r="D325" s="60"/>
      <c r="E325" s="60"/>
      <c r="F325" s="60"/>
      <c r="G325" s="60"/>
      <c r="H325" s="60"/>
      <c r="I325" s="60"/>
      <c r="J325" s="60"/>
      <c r="K325" s="61"/>
      <c r="BX325" s="95" t="s">
        <v>605</v>
      </c>
    </row>
    <row r="326">
      <c r="A326" s="87" t="s">
        <v>606</v>
      </c>
      <c r="B326" s="88" t="s">
        <v>607</v>
      </c>
      <c r="C326" s="89" t="s">
        <v>608</v>
      </c>
      <c r="D326" s="88"/>
      <c r="E326" s="88" t="s">
        <v>99</v>
      </c>
      <c r="F326" s="90" t="n">
        <v>4.25964</v>
      </c>
      <c r="G326" s="90" t="n">
        <v>0</v>
      </c>
      <c r="H326" s="90">
        <f>F326*AO326</f>
      </c>
      <c r="I326" s="90">
        <f>F326*AP326</f>
      </c>
      <c r="J326" s="90">
        <f>F326*G326</f>
      </c>
      <c r="K326" s="91" t="s">
        <v>100</v>
      </c>
      <c r="Z326" s="56">
        <f>IF(AQ326="5",BJ326,0)</f>
      </c>
      <c r="AB326" s="56">
        <f>IF(AQ326="1",BH326,0)</f>
      </c>
      <c r="AC326" s="56">
        <f>IF(AQ326="1",BI326,0)</f>
      </c>
      <c r="AD326" s="56">
        <f>IF(AQ326="7",BH326,0)</f>
      </c>
      <c r="AE326" s="56">
        <f>IF(AQ326="7",BI326,0)</f>
      </c>
      <c r="AF326" s="56">
        <f>IF(AQ326="2",BH326,0)</f>
      </c>
      <c r="AG326" s="56">
        <f>IF(AQ326="2",BI326,0)</f>
      </c>
      <c r="AH326" s="56">
        <f>IF(AQ326="0",BJ326,0)</f>
      </c>
      <c r="AI326" s="28" t="s">
        <v>57</v>
      </c>
      <c r="AJ326" s="92">
        <f>IF(AN326=0,J326,0)</f>
      </c>
      <c r="AK326" s="92">
        <f>IF(AN326=12,J326,0)</f>
      </c>
      <c r="AL326" s="92">
        <f>IF(AN326=21,J326,0)</f>
      </c>
      <c r="AN326" s="56" t="n">
        <v>21</v>
      </c>
      <c r="AO326" s="56">
        <f>G326*1</f>
      </c>
      <c r="AP326" s="56">
        <f>G326*(1-1)</f>
      </c>
      <c r="AQ326" s="93" t="s">
        <v>85</v>
      </c>
      <c r="AV326" s="56">
        <f>AW326+AX326</f>
      </c>
      <c r="AW326" s="56">
        <f>F326*AO326</f>
      </c>
      <c r="AX326" s="56">
        <f>F326*AP326</f>
      </c>
      <c r="AY326" s="57" t="s">
        <v>535</v>
      </c>
      <c r="AZ326" s="57" t="s">
        <v>536</v>
      </c>
      <c r="BA326" s="28" t="s">
        <v>64</v>
      </c>
      <c r="BC326" s="56">
        <f>AW326+AX326</f>
      </c>
      <c r="BD326" s="56">
        <f>G326/(100-BE326)*100</f>
      </c>
      <c r="BE326" s="56" t="n">
        <v>0</v>
      </c>
      <c r="BF326" s="56">
        <f>326</f>
      </c>
      <c r="BH326" s="92">
        <f>F326*AO326</f>
      </c>
      <c r="BI326" s="92">
        <f>F326*AP326</f>
      </c>
      <c r="BJ326" s="92">
        <f>F326*G326</f>
      </c>
      <c r="BK326" s="92"/>
      <c r="BL326" s="56" t="n">
        <v>762</v>
      </c>
      <c r="BW326" s="56" t="n">
        <v>21</v>
      </c>
      <c r="BX326" s="94" t="s">
        <v>608</v>
      </c>
    </row>
    <row r="327">
      <c r="A327" s="74"/>
      <c r="B327" s="75"/>
      <c r="C327" s="76" t="s">
        <v>609</v>
      </c>
      <c r="D327" s="77" t="s">
        <v>581</v>
      </c>
      <c r="E327" s="75"/>
      <c r="F327" s="78" t="n">
        <v>1.27476</v>
      </c>
      <c r="G327" s="75"/>
      <c r="H327" s="75"/>
      <c r="I327" s="75"/>
      <c r="J327" s="75"/>
      <c r="K327" s="79"/>
    </row>
    <row r="328">
      <c r="A328" s="74"/>
      <c r="B328" s="75"/>
      <c r="C328" s="76" t="s">
        <v>610</v>
      </c>
      <c r="D328" s="77" t="s">
        <v>581</v>
      </c>
      <c r="E328" s="75"/>
      <c r="F328" s="78" t="n">
        <v>0.35688</v>
      </c>
      <c r="G328" s="75"/>
      <c r="H328" s="75"/>
      <c r="I328" s="75"/>
      <c r="J328" s="75"/>
      <c r="K328" s="79"/>
    </row>
    <row r="329">
      <c r="A329" s="74"/>
      <c r="B329" s="75"/>
      <c r="C329" s="76" t="s">
        <v>611</v>
      </c>
      <c r="D329" s="77" t="s">
        <v>592</v>
      </c>
      <c r="E329" s="75"/>
      <c r="F329" s="78" t="n">
        <v>0.92784</v>
      </c>
      <c r="G329" s="75"/>
      <c r="H329" s="75"/>
      <c r="I329" s="75"/>
      <c r="J329" s="75"/>
      <c r="K329" s="79"/>
    </row>
    <row r="330">
      <c r="A330" s="74"/>
      <c r="B330" s="75"/>
      <c r="C330" s="76" t="s">
        <v>612</v>
      </c>
      <c r="D330" s="77" t="s">
        <v>159</v>
      </c>
      <c r="E330" s="75"/>
      <c r="F330" s="78" t="n">
        <v>-0.38616</v>
      </c>
      <c r="G330" s="75"/>
      <c r="H330" s="75"/>
      <c r="I330" s="75"/>
      <c r="J330" s="75"/>
      <c r="K330" s="79"/>
    </row>
    <row r="331">
      <c r="A331" s="74"/>
      <c r="B331" s="75"/>
      <c r="C331" s="76" t="s">
        <v>613</v>
      </c>
      <c r="D331" s="77" t="s">
        <v>594</v>
      </c>
      <c r="E331" s="75"/>
      <c r="F331" s="78" t="n">
        <v>0.47916</v>
      </c>
      <c r="G331" s="75"/>
      <c r="H331" s="75"/>
      <c r="I331" s="75"/>
      <c r="J331" s="75"/>
      <c r="K331" s="79"/>
    </row>
    <row r="332">
      <c r="A332" s="74"/>
      <c r="B332" s="75"/>
      <c r="C332" s="76" t="s">
        <v>614</v>
      </c>
      <c r="D332" s="77" t="s">
        <v>596</v>
      </c>
      <c r="E332" s="75"/>
      <c r="F332" s="78" t="n">
        <v>1.1316</v>
      </c>
      <c r="G332" s="75"/>
      <c r="H332" s="75"/>
      <c r="I332" s="75"/>
      <c r="J332" s="75"/>
      <c r="K332" s="79"/>
    </row>
    <row r="333">
      <c r="A333" s="74"/>
      <c r="B333" s="75"/>
      <c r="C333" s="76" t="s">
        <v>615</v>
      </c>
      <c r="D333" s="77" t="s">
        <v>586</v>
      </c>
      <c r="E333" s="75"/>
      <c r="F333" s="78" t="n">
        <v>0.08832</v>
      </c>
      <c r="G333" s="75"/>
      <c r="H333" s="75"/>
      <c r="I333" s="75"/>
      <c r="J333" s="75"/>
      <c r="K333" s="79"/>
    </row>
    <row r="334">
      <c r="A334" s="74"/>
      <c r="B334" s="75"/>
      <c r="C334" s="76" t="s">
        <v>616</v>
      </c>
      <c r="D334" s="77" t="s">
        <v>53</v>
      </c>
      <c r="E334" s="75"/>
      <c r="F334" s="78" t="n">
        <v>0.38724</v>
      </c>
      <c r="G334" s="75"/>
      <c r="H334" s="75"/>
      <c r="I334" s="75"/>
      <c r="J334" s="75"/>
      <c r="K334" s="79"/>
    </row>
    <row r="335">
      <c r="A335" s="96" t="s">
        <v>617</v>
      </c>
      <c r="B335" s="97" t="s">
        <v>618</v>
      </c>
      <c r="C335" s="98" t="s">
        <v>619</v>
      </c>
      <c r="D335" s="97"/>
      <c r="E335" s="97" t="s">
        <v>99</v>
      </c>
      <c r="F335" s="99" t="n">
        <v>0.14977</v>
      </c>
      <c r="G335" s="99" t="n">
        <v>0</v>
      </c>
      <c r="H335" s="99">
        <f>F335*AO335</f>
      </c>
      <c r="I335" s="99">
        <f>F335*AP335</f>
      </c>
      <c r="J335" s="99">
        <f>F335*G335</f>
      </c>
      <c r="K335" s="100" t="s">
        <v>100</v>
      </c>
      <c r="Z335" s="56">
        <f>IF(AQ335="5",BJ335,0)</f>
      </c>
      <c r="AB335" s="56">
        <f>IF(AQ335="1",BH335,0)</f>
      </c>
      <c r="AC335" s="56">
        <f>IF(AQ335="1",BI335,0)</f>
      </c>
      <c r="AD335" s="56">
        <f>IF(AQ335="7",BH335,0)</f>
      </c>
      <c r="AE335" s="56">
        <f>IF(AQ335="7",BI335,0)</f>
      </c>
      <c r="AF335" s="56">
        <f>IF(AQ335="2",BH335,0)</f>
      </c>
      <c r="AG335" s="56">
        <f>IF(AQ335="2",BI335,0)</f>
      </c>
      <c r="AH335" s="56">
        <f>IF(AQ335="0",BJ335,0)</f>
      </c>
      <c r="AI335" s="28" t="s">
        <v>57</v>
      </c>
      <c r="AJ335" s="92">
        <f>IF(AN335=0,J335,0)</f>
      </c>
      <c r="AK335" s="92">
        <f>IF(AN335=12,J335,0)</f>
      </c>
      <c r="AL335" s="92">
        <f>IF(AN335=21,J335,0)</f>
      </c>
      <c r="AN335" s="56" t="n">
        <v>21</v>
      </c>
      <c r="AO335" s="56">
        <f>G335*1</f>
      </c>
      <c r="AP335" s="56">
        <f>G335*(1-1)</f>
      </c>
      <c r="AQ335" s="93" t="s">
        <v>85</v>
      </c>
      <c r="AV335" s="56">
        <f>AW335+AX335</f>
      </c>
      <c r="AW335" s="56">
        <f>F335*AO335</f>
      </c>
      <c r="AX335" s="56">
        <f>F335*AP335</f>
      </c>
      <c r="AY335" s="57" t="s">
        <v>535</v>
      </c>
      <c r="AZ335" s="57" t="s">
        <v>536</v>
      </c>
      <c r="BA335" s="28" t="s">
        <v>64</v>
      </c>
      <c r="BC335" s="56">
        <f>AW335+AX335</f>
      </c>
      <c r="BD335" s="56">
        <f>G335/(100-BE335)*100</f>
      </c>
      <c r="BE335" s="56" t="n">
        <v>0</v>
      </c>
      <c r="BF335" s="56">
        <f>335</f>
      </c>
      <c r="BH335" s="92">
        <f>F335*AO335</f>
      </c>
      <c r="BI335" s="92">
        <f>F335*AP335</f>
      </c>
      <c r="BJ335" s="92">
        <f>F335*G335</f>
      </c>
      <c r="BK335" s="92"/>
      <c r="BL335" s="56" t="n">
        <v>762</v>
      </c>
      <c r="BW335" s="56" t="n">
        <v>21</v>
      </c>
      <c r="BX335" s="94" t="s">
        <v>619</v>
      </c>
    </row>
    <row r="336">
      <c r="A336" s="74"/>
      <c r="B336" s="75"/>
      <c r="C336" s="76" t="s">
        <v>620</v>
      </c>
      <c r="D336" s="77" t="s">
        <v>590</v>
      </c>
      <c r="E336" s="75"/>
      <c r="F336" s="78" t="n">
        <v>0.13615</v>
      </c>
      <c r="G336" s="75"/>
      <c r="H336" s="75"/>
      <c r="I336" s="75"/>
      <c r="J336" s="75"/>
      <c r="K336" s="79"/>
    </row>
    <row r="337">
      <c r="A337" s="74"/>
      <c r="B337" s="75"/>
      <c r="C337" s="76" t="s">
        <v>621</v>
      </c>
      <c r="D337" s="77" t="s">
        <v>53</v>
      </c>
      <c r="E337" s="75"/>
      <c r="F337" s="78" t="n">
        <v>0.01362</v>
      </c>
      <c r="G337" s="75"/>
      <c r="H337" s="75"/>
      <c r="I337" s="75"/>
      <c r="J337" s="75"/>
      <c r="K337" s="79"/>
    </row>
    <row r="338" ht="48.75">
      <c r="A338" s="58"/>
      <c r="B338" s="80" t="s">
        <v>108</v>
      </c>
      <c r="C338" s="59" t="s">
        <v>605</v>
      </c>
      <c r="D338" s="60"/>
      <c r="E338" s="60"/>
      <c r="F338" s="60"/>
      <c r="G338" s="60"/>
      <c r="H338" s="60"/>
      <c r="I338" s="60"/>
      <c r="J338" s="60"/>
      <c r="K338" s="61"/>
      <c r="BX338" s="95" t="s">
        <v>605</v>
      </c>
    </row>
    <row r="339">
      <c r="A339" s="82" t="s">
        <v>622</v>
      </c>
      <c r="B339" s="83" t="s">
        <v>623</v>
      </c>
      <c r="C339" s="84" t="s">
        <v>624</v>
      </c>
      <c r="D339" s="83"/>
      <c r="E339" s="83" t="s">
        <v>393</v>
      </c>
      <c r="F339" s="85" t="n">
        <v>154.46</v>
      </c>
      <c r="G339" s="85" t="n">
        <v>0</v>
      </c>
      <c r="H339" s="85">
        <f>F339*AO339</f>
      </c>
      <c r="I339" s="85">
        <f>F339*AP339</f>
      </c>
      <c r="J339" s="85">
        <f>F339*G339</f>
      </c>
      <c r="K339" s="86" t="s">
        <v>100</v>
      </c>
      <c r="Z339" s="56">
        <f>IF(AQ339="5",BJ339,0)</f>
      </c>
      <c r="AB339" s="56">
        <f>IF(AQ339="1",BH339,0)</f>
      </c>
      <c r="AC339" s="56">
        <f>IF(AQ339="1",BI339,0)</f>
      </c>
      <c r="AD339" s="56">
        <f>IF(AQ339="7",BH339,0)</f>
      </c>
      <c r="AE339" s="56">
        <f>IF(AQ339="7",BI339,0)</f>
      </c>
      <c r="AF339" s="56">
        <f>IF(AQ339="2",BH339,0)</f>
      </c>
      <c r="AG339" s="56">
        <f>IF(AQ339="2",BI339,0)</f>
      </c>
      <c r="AH339" s="56">
        <f>IF(AQ339="0",BJ339,0)</f>
      </c>
      <c r="AI339" s="28" t="s">
        <v>57</v>
      </c>
      <c r="AJ339" s="56">
        <f>IF(AN339=0,J339,0)</f>
      </c>
      <c r="AK339" s="56">
        <f>IF(AN339=12,J339,0)</f>
      </c>
      <c r="AL339" s="56">
        <f>IF(AN339=21,J339,0)</f>
      </c>
      <c r="AN339" s="56" t="n">
        <v>21</v>
      </c>
      <c r="AO339" s="56">
        <f>G339*0.047861507</f>
      </c>
      <c r="AP339" s="56">
        <f>G339*(1-0.047861507)</f>
      </c>
      <c r="AQ339" s="57" t="s">
        <v>85</v>
      </c>
      <c r="AV339" s="56">
        <f>AW339+AX339</f>
      </c>
      <c r="AW339" s="56">
        <f>F339*AO339</f>
      </c>
      <c r="AX339" s="56">
        <f>F339*AP339</f>
      </c>
      <c r="AY339" s="57" t="s">
        <v>535</v>
      </c>
      <c r="AZ339" s="57" t="s">
        <v>536</v>
      </c>
      <c r="BA339" s="28" t="s">
        <v>64</v>
      </c>
      <c r="BC339" s="56">
        <f>AW339+AX339</f>
      </c>
      <c r="BD339" s="56">
        <f>G339/(100-BE339)*100</f>
      </c>
      <c r="BE339" s="56" t="n">
        <v>0</v>
      </c>
      <c r="BF339" s="56">
        <f>339</f>
      </c>
      <c r="BH339" s="56">
        <f>F339*AO339</f>
      </c>
      <c r="BI339" s="56">
        <f>F339*AP339</f>
      </c>
      <c r="BJ339" s="56">
        <f>F339*G339</f>
      </c>
      <c r="BK339" s="56"/>
      <c r="BL339" s="56" t="n">
        <v>762</v>
      </c>
      <c r="BW339" s="56" t="n">
        <v>21</v>
      </c>
      <c r="BX339" s="14" t="s">
        <v>624</v>
      </c>
    </row>
    <row r="340">
      <c r="A340" s="74"/>
      <c r="B340" s="75"/>
      <c r="C340" s="76" t="s">
        <v>625</v>
      </c>
      <c r="D340" s="77" t="s">
        <v>626</v>
      </c>
      <c r="E340" s="75"/>
      <c r="F340" s="78" t="n">
        <v>84.97</v>
      </c>
      <c r="G340" s="75"/>
      <c r="H340" s="75"/>
      <c r="I340" s="75"/>
      <c r="J340" s="75"/>
      <c r="K340" s="79"/>
    </row>
    <row r="341">
      <c r="A341" s="74"/>
      <c r="B341" s="75"/>
      <c r="C341" s="76" t="s">
        <v>627</v>
      </c>
      <c r="D341" s="77" t="s">
        <v>628</v>
      </c>
      <c r="E341" s="75"/>
      <c r="F341" s="78" t="n">
        <v>8.7</v>
      </c>
      <c r="G341" s="75"/>
      <c r="H341" s="75"/>
      <c r="I341" s="75"/>
      <c r="J341" s="75"/>
      <c r="K341" s="79"/>
    </row>
    <row r="342">
      <c r="A342" s="74"/>
      <c r="B342" s="75"/>
      <c r="C342" s="76" t="s">
        <v>629</v>
      </c>
      <c r="D342" s="77" t="s">
        <v>630</v>
      </c>
      <c r="E342" s="75"/>
      <c r="F342" s="78" t="n">
        <v>13.35</v>
      </c>
      <c r="G342" s="75"/>
      <c r="H342" s="75"/>
      <c r="I342" s="75"/>
      <c r="J342" s="75"/>
      <c r="K342" s="79"/>
    </row>
    <row r="343">
      <c r="A343" s="74"/>
      <c r="B343" s="75"/>
      <c r="C343" s="76" t="s">
        <v>631</v>
      </c>
      <c r="D343" s="77" t="s">
        <v>632</v>
      </c>
      <c r="E343" s="75"/>
      <c r="F343" s="78" t="n">
        <v>47.44</v>
      </c>
      <c r="G343" s="75"/>
      <c r="H343" s="75"/>
      <c r="I343" s="75"/>
      <c r="J343" s="75"/>
      <c r="K343" s="79"/>
    </row>
    <row r="344" ht="24.75">
      <c r="A344" s="58"/>
      <c r="B344" s="80" t="s">
        <v>108</v>
      </c>
      <c r="C344" s="59" t="s">
        <v>598</v>
      </c>
      <c r="D344" s="60"/>
      <c r="E344" s="60"/>
      <c r="F344" s="60"/>
      <c r="G344" s="60"/>
      <c r="H344" s="60"/>
      <c r="I344" s="60"/>
      <c r="J344" s="60"/>
      <c r="K344" s="61"/>
      <c r="BX344" s="81" t="s">
        <v>598</v>
      </c>
    </row>
    <row r="345">
      <c r="A345" s="87" t="s">
        <v>633</v>
      </c>
      <c r="B345" s="88" t="s">
        <v>634</v>
      </c>
      <c r="C345" s="89" t="s">
        <v>635</v>
      </c>
      <c r="D345" s="88"/>
      <c r="E345" s="88" t="s">
        <v>99</v>
      </c>
      <c r="F345" s="90" t="n">
        <v>1.85467</v>
      </c>
      <c r="G345" s="90" t="n">
        <v>0</v>
      </c>
      <c r="H345" s="90">
        <f>F345*AO345</f>
      </c>
      <c r="I345" s="90">
        <f>F345*AP345</f>
      </c>
      <c r="J345" s="90">
        <f>F345*G345</f>
      </c>
      <c r="K345" s="91" t="s">
        <v>100</v>
      </c>
      <c r="Z345" s="56">
        <f>IF(AQ345="5",BJ345,0)</f>
      </c>
      <c r="AB345" s="56">
        <f>IF(AQ345="1",BH345,0)</f>
      </c>
      <c r="AC345" s="56">
        <f>IF(AQ345="1",BI345,0)</f>
      </c>
      <c r="AD345" s="56">
        <f>IF(AQ345="7",BH345,0)</f>
      </c>
      <c r="AE345" s="56">
        <f>IF(AQ345="7",BI345,0)</f>
      </c>
      <c r="AF345" s="56">
        <f>IF(AQ345="2",BH345,0)</f>
      </c>
      <c r="AG345" s="56">
        <f>IF(AQ345="2",BI345,0)</f>
      </c>
      <c r="AH345" s="56">
        <f>IF(AQ345="0",BJ345,0)</f>
      </c>
      <c r="AI345" s="28" t="s">
        <v>57</v>
      </c>
      <c r="AJ345" s="92">
        <f>IF(AN345=0,J345,0)</f>
      </c>
      <c r="AK345" s="92">
        <f>IF(AN345=12,J345,0)</f>
      </c>
      <c r="AL345" s="92">
        <f>IF(AN345=21,J345,0)</f>
      </c>
      <c r="AN345" s="56" t="n">
        <v>21</v>
      </c>
      <c r="AO345" s="56">
        <f>G345*1</f>
      </c>
      <c r="AP345" s="56">
        <f>G345*(1-1)</f>
      </c>
      <c r="AQ345" s="93" t="s">
        <v>85</v>
      </c>
      <c r="AV345" s="56">
        <f>AW345+AX345</f>
      </c>
      <c r="AW345" s="56">
        <f>F345*AO345</f>
      </c>
      <c r="AX345" s="56">
        <f>F345*AP345</f>
      </c>
      <c r="AY345" s="57" t="s">
        <v>535</v>
      </c>
      <c r="AZ345" s="57" t="s">
        <v>536</v>
      </c>
      <c r="BA345" s="28" t="s">
        <v>64</v>
      </c>
      <c r="BC345" s="56">
        <f>AW345+AX345</f>
      </c>
      <c r="BD345" s="56">
        <f>G345/(100-BE345)*100</f>
      </c>
      <c r="BE345" s="56" t="n">
        <v>0</v>
      </c>
      <c r="BF345" s="56">
        <f>345</f>
      </c>
      <c r="BH345" s="92">
        <f>F345*AO345</f>
      </c>
      <c r="BI345" s="92">
        <f>F345*AP345</f>
      </c>
      <c r="BJ345" s="92">
        <f>F345*G345</f>
      </c>
      <c r="BK345" s="92"/>
      <c r="BL345" s="56" t="n">
        <v>762</v>
      </c>
      <c r="BW345" s="56" t="n">
        <v>21</v>
      </c>
      <c r="BX345" s="94" t="s">
        <v>635</v>
      </c>
    </row>
    <row r="346">
      <c r="A346" s="74"/>
      <c r="B346" s="75"/>
      <c r="C346" s="76" t="s">
        <v>636</v>
      </c>
      <c r="D346" s="77" t="s">
        <v>637</v>
      </c>
      <c r="E346" s="75"/>
      <c r="F346" s="78" t="n">
        <v>1.68606</v>
      </c>
      <c r="G346" s="75"/>
      <c r="H346" s="75"/>
      <c r="I346" s="75"/>
      <c r="J346" s="75"/>
      <c r="K346" s="79"/>
    </row>
    <row r="347">
      <c r="A347" s="74"/>
      <c r="B347" s="75"/>
      <c r="C347" s="76" t="s">
        <v>638</v>
      </c>
      <c r="D347" s="77" t="s">
        <v>53</v>
      </c>
      <c r="E347" s="75"/>
      <c r="F347" s="78" t="n">
        <v>0.16861</v>
      </c>
      <c r="G347" s="75"/>
      <c r="H347" s="75"/>
      <c r="I347" s="75"/>
      <c r="J347" s="75"/>
      <c r="K347" s="79"/>
    </row>
    <row r="348">
      <c r="A348" s="96" t="s">
        <v>639</v>
      </c>
      <c r="B348" s="97" t="s">
        <v>640</v>
      </c>
      <c r="C348" s="98" t="s">
        <v>641</v>
      </c>
      <c r="D348" s="97"/>
      <c r="E348" s="97" t="s">
        <v>99</v>
      </c>
      <c r="F348" s="99" t="n">
        <v>0.26433</v>
      </c>
      <c r="G348" s="99" t="n">
        <v>0</v>
      </c>
      <c r="H348" s="99">
        <f>F348*AO348</f>
      </c>
      <c r="I348" s="99">
        <f>F348*AP348</f>
      </c>
      <c r="J348" s="99">
        <f>F348*G348</f>
      </c>
      <c r="K348" s="100" t="s">
        <v>100</v>
      </c>
      <c r="Z348" s="56">
        <f>IF(AQ348="5",BJ348,0)</f>
      </c>
      <c r="AB348" s="56">
        <f>IF(AQ348="1",BH348,0)</f>
      </c>
      <c r="AC348" s="56">
        <f>IF(AQ348="1",BI348,0)</f>
      </c>
      <c r="AD348" s="56">
        <f>IF(AQ348="7",BH348,0)</f>
      </c>
      <c r="AE348" s="56">
        <f>IF(AQ348="7",BI348,0)</f>
      </c>
      <c r="AF348" s="56">
        <f>IF(AQ348="2",BH348,0)</f>
      </c>
      <c r="AG348" s="56">
        <f>IF(AQ348="2",BI348,0)</f>
      </c>
      <c r="AH348" s="56">
        <f>IF(AQ348="0",BJ348,0)</f>
      </c>
      <c r="AI348" s="28" t="s">
        <v>57</v>
      </c>
      <c r="AJ348" s="92">
        <f>IF(AN348=0,J348,0)</f>
      </c>
      <c r="AK348" s="92">
        <f>IF(AN348=12,J348,0)</f>
      </c>
      <c r="AL348" s="92">
        <f>IF(AN348=21,J348,0)</f>
      </c>
      <c r="AN348" s="56" t="n">
        <v>21</v>
      </c>
      <c r="AO348" s="56">
        <f>G348*1</f>
      </c>
      <c r="AP348" s="56">
        <f>G348*(1-1)</f>
      </c>
      <c r="AQ348" s="93" t="s">
        <v>85</v>
      </c>
      <c r="AV348" s="56">
        <f>AW348+AX348</f>
      </c>
      <c r="AW348" s="56">
        <f>F348*AO348</f>
      </c>
      <c r="AX348" s="56">
        <f>F348*AP348</f>
      </c>
      <c r="AY348" s="57" t="s">
        <v>535</v>
      </c>
      <c r="AZ348" s="57" t="s">
        <v>536</v>
      </c>
      <c r="BA348" s="28" t="s">
        <v>64</v>
      </c>
      <c r="BC348" s="56">
        <f>AW348+AX348</f>
      </c>
      <c r="BD348" s="56">
        <f>G348/(100-BE348)*100</f>
      </c>
      <c r="BE348" s="56" t="n">
        <v>0</v>
      </c>
      <c r="BF348" s="56">
        <f>348</f>
      </c>
      <c r="BH348" s="92">
        <f>F348*AO348</f>
      </c>
      <c r="BI348" s="92">
        <f>F348*AP348</f>
      </c>
      <c r="BJ348" s="92">
        <f>F348*G348</f>
      </c>
      <c r="BK348" s="92"/>
      <c r="BL348" s="56" t="n">
        <v>762</v>
      </c>
      <c r="BW348" s="56" t="n">
        <v>21</v>
      </c>
      <c r="BX348" s="94" t="s">
        <v>641</v>
      </c>
    </row>
    <row r="349">
      <c r="A349" s="74"/>
      <c r="B349" s="75"/>
      <c r="C349" s="76" t="s">
        <v>642</v>
      </c>
      <c r="D349" s="77" t="s">
        <v>643</v>
      </c>
      <c r="E349" s="75"/>
      <c r="F349" s="78" t="n">
        <v>0.2403</v>
      </c>
      <c r="G349" s="75"/>
      <c r="H349" s="75"/>
      <c r="I349" s="75"/>
      <c r="J349" s="75"/>
      <c r="K349" s="79"/>
    </row>
    <row r="350">
      <c r="A350" s="74"/>
      <c r="B350" s="75"/>
      <c r="C350" s="76" t="s">
        <v>644</v>
      </c>
      <c r="D350" s="77" t="s">
        <v>53</v>
      </c>
      <c r="E350" s="75"/>
      <c r="F350" s="78" t="n">
        <v>0.02403</v>
      </c>
      <c r="G350" s="75"/>
      <c r="H350" s="75"/>
      <c r="I350" s="75"/>
      <c r="J350" s="75"/>
      <c r="K350" s="79"/>
    </row>
    <row r="351">
      <c r="A351" s="96" t="s">
        <v>645</v>
      </c>
      <c r="B351" s="97" t="s">
        <v>646</v>
      </c>
      <c r="C351" s="98" t="s">
        <v>647</v>
      </c>
      <c r="D351" s="97"/>
      <c r="E351" s="97" t="s">
        <v>99</v>
      </c>
      <c r="F351" s="99" t="n">
        <v>1.00193</v>
      </c>
      <c r="G351" s="99" t="n">
        <v>0</v>
      </c>
      <c r="H351" s="99">
        <f>F351*AO351</f>
      </c>
      <c r="I351" s="99">
        <f>F351*AP351</f>
      </c>
      <c r="J351" s="99">
        <f>F351*G351</f>
      </c>
      <c r="K351" s="100" t="s">
        <v>100</v>
      </c>
      <c r="Z351" s="56">
        <f>IF(AQ351="5",BJ351,0)</f>
      </c>
      <c r="AB351" s="56">
        <f>IF(AQ351="1",BH351,0)</f>
      </c>
      <c r="AC351" s="56">
        <f>IF(AQ351="1",BI351,0)</f>
      </c>
      <c r="AD351" s="56">
        <f>IF(AQ351="7",BH351,0)</f>
      </c>
      <c r="AE351" s="56">
        <f>IF(AQ351="7",BI351,0)</f>
      </c>
      <c r="AF351" s="56">
        <f>IF(AQ351="2",BH351,0)</f>
      </c>
      <c r="AG351" s="56">
        <f>IF(AQ351="2",BI351,0)</f>
      </c>
      <c r="AH351" s="56">
        <f>IF(AQ351="0",BJ351,0)</f>
      </c>
      <c r="AI351" s="28" t="s">
        <v>57</v>
      </c>
      <c r="AJ351" s="92">
        <f>IF(AN351=0,J351,0)</f>
      </c>
      <c r="AK351" s="92">
        <f>IF(AN351=12,J351,0)</f>
      </c>
      <c r="AL351" s="92">
        <f>IF(AN351=21,J351,0)</f>
      </c>
      <c r="AN351" s="56" t="n">
        <v>21</v>
      </c>
      <c r="AO351" s="56">
        <f>G351*1</f>
      </c>
      <c r="AP351" s="56">
        <f>G351*(1-1)</f>
      </c>
      <c r="AQ351" s="93" t="s">
        <v>85</v>
      </c>
      <c r="AV351" s="56">
        <f>AW351+AX351</f>
      </c>
      <c r="AW351" s="56">
        <f>F351*AO351</f>
      </c>
      <c r="AX351" s="56">
        <f>F351*AP351</f>
      </c>
      <c r="AY351" s="57" t="s">
        <v>535</v>
      </c>
      <c r="AZ351" s="57" t="s">
        <v>536</v>
      </c>
      <c r="BA351" s="28" t="s">
        <v>64</v>
      </c>
      <c r="BC351" s="56">
        <f>AW351+AX351</f>
      </c>
      <c r="BD351" s="56">
        <f>G351/(100-BE351)*100</f>
      </c>
      <c r="BE351" s="56" t="n">
        <v>0</v>
      </c>
      <c r="BF351" s="56">
        <f>351</f>
      </c>
      <c r="BH351" s="92">
        <f>F351*AO351</f>
      </c>
      <c r="BI351" s="92">
        <f>F351*AP351</f>
      </c>
      <c r="BJ351" s="92">
        <f>F351*G351</f>
      </c>
      <c r="BK351" s="92"/>
      <c r="BL351" s="56" t="n">
        <v>762</v>
      </c>
      <c r="BW351" s="56" t="n">
        <v>21</v>
      </c>
      <c r="BX351" s="94" t="s">
        <v>647</v>
      </c>
    </row>
    <row r="352">
      <c r="A352" s="74"/>
      <c r="B352" s="75"/>
      <c r="C352" s="76" t="s">
        <v>648</v>
      </c>
      <c r="D352" s="77" t="s">
        <v>632</v>
      </c>
      <c r="E352" s="75"/>
      <c r="F352" s="78" t="n">
        <v>0.91085</v>
      </c>
      <c r="G352" s="75"/>
      <c r="H352" s="75"/>
      <c r="I352" s="75"/>
      <c r="J352" s="75"/>
      <c r="K352" s="79"/>
    </row>
    <row r="353">
      <c r="A353" s="74"/>
      <c r="B353" s="75"/>
      <c r="C353" s="76" t="s">
        <v>649</v>
      </c>
      <c r="D353" s="77" t="s">
        <v>53</v>
      </c>
      <c r="E353" s="75"/>
      <c r="F353" s="78" t="n">
        <v>0.09108</v>
      </c>
      <c r="G353" s="75"/>
      <c r="H353" s="75"/>
      <c r="I353" s="75"/>
      <c r="J353" s="75"/>
      <c r="K353" s="79"/>
    </row>
    <row r="354">
      <c r="A354" s="51" t="s">
        <v>650</v>
      </c>
      <c r="B354" s="52" t="s">
        <v>651</v>
      </c>
      <c r="C354" s="53" t="s">
        <v>652</v>
      </c>
      <c r="D354" s="52"/>
      <c r="E354" s="52" t="s">
        <v>393</v>
      </c>
      <c r="F354" s="54" t="n">
        <v>44.25</v>
      </c>
      <c r="G354" s="54" t="n">
        <v>0</v>
      </c>
      <c r="H354" s="54">
        <f>F354*AO354</f>
      </c>
      <c r="I354" s="54">
        <f>F354*AP354</f>
      </c>
      <c r="J354" s="54">
        <f>F354*G354</f>
      </c>
      <c r="K354" s="55" t="s">
        <v>100</v>
      </c>
      <c r="Z354" s="56">
        <f>IF(AQ354="5",BJ354,0)</f>
      </c>
      <c r="AB354" s="56">
        <f>IF(AQ354="1",BH354,0)</f>
      </c>
      <c r="AC354" s="56">
        <f>IF(AQ354="1",BI354,0)</f>
      </c>
      <c r="AD354" s="56">
        <f>IF(AQ354="7",BH354,0)</f>
      </c>
      <c r="AE354" s="56">
        <f>IF(AQ354="7",BI354,0)</f>
      </c>
      <c r="AF354" s="56">
        <f>IF(AQ354="2",BH354,0)</f>
      </c>
      <c r="AG354" s="56">
        <f>IF(AQ354="2",BI354,0)</f>
      </c>
      <c r="AH354" s="56">
        <f>IF(AQ354="0",BJ354,0)</f>
      </c>
      <c r="AI354" s="28" t="s">
        <v>57</v>
      </c>
      <c r="AJ354" s="56">
        <f>IF(AN354=0,J354,0)</f>
      </c>
      <c r="AK354" s="56">
        <f>IF(AN354=12,J354,0)</f>
      </c>
      <c r="AL354" s="56">
        <f>IF(AN354=21,J354,0)</f>
      </c>
      <c r="AN354" s="56" t="n">
        <v>21</v>
      </c>
      <c r="AO354" s="56">
        <f>G354*0.036719891</f>
      </c>
      <c r="AP354" s="56">
        <f>G354*(1-0.036719891)</f>
      </c>
      <c r="AQ354" s="57" t="s">
        <v>85</v>
      </c>
      <c r="AV354" s="56">
        <f>AW354+AX354</f>
      </c>
      <c r="AW354" s="56">
        <f>F354*AO354</f>
      </c>
      <c r="AX354" s="56">
        <f>F354*AP354</f>
      </c>
      <c r="AY354" s="57" t="s">
        <v>535</v>
      </c>
      <c r="AZ354" s="57" t="s">
        <v>536</v>
      </c>
      <c r="BA354" s="28" t="s">
        <v>64</v>
      </c>
      <c r="BC354" s="56">
        <f>AW354+AX354</f>
      </c>
      <c r="BD354" s="56">
        <f>G354/(100-BE354)*100</f>
      </c>
      <c r="BE354" s="56" t="n">
        <v>0</v>
      </c>
      <c r="BF354" s="56">
        <f>354</f>
      </c>
      <c r="BH354" s="56">
        <f>F354*AO354</f>
      </c>
      <c r="BI354" s="56">
        <f>F354*AP354</f>
      </c>
      <c r="BJ354" s="56">
        <f>F354*G354</f>
      </c>
      <c r="BK354" s="56"/>
      <c r="BL354" s="56" t="n">
        <v>762</v>
      </c>
      <c r="BW354" s="56" t="n">
        <v>21</v>
      </c>
      <c r="BX354" s="14" t="s">
        <v>652</v>
      </c>
    </row>
    <row r="355">
      <c r="A355" s="74"/>
      <c r="B355" s="75"/>
      <c r="C355" s="76" t="s">
        <v>653</v>
      </c>
      <c r="D355" s="77" t="s">
        <v>654</v>
      </c>
      <c r="E355" s="75"/>
      <c r="F355" s="78" t="n">
        <v>44.25</v>
      </c>
      <c r="G355" s="75"/>
      <c r="H355" s="75"/>
      <c r="I355" s="75"/>
      <c r="J355" s="75"/>
      <c r="K355" s="79"/>
    </row>
    <row r="356" ht="24.75">
      <c r="A356" s="58"/>
      <c r="B356" s="80" t="s">
        <v>108</v>
      </c>
      <c r="C356" s="59" t="s">
        <v>598</v>
      </c>
      <c r="D356" s="60"/>
      <c r="E356" s="60"/>
      <c r="F356" s="60"/>
      <c r="G356" s="60"/>
      <c r="H356" s="60"/>
      <c r="I356" s="60"/>
      <c r="J356" s="60"/>
      <c r="K356" s="61"/>
      <c r="BX356" s="81" t="s">
        <v>598</v>
      </c>
    </row>
    <row r="357">
      <c r="A357" s="87" t="s">
        <v>655</v>
      </c>
      <c r="B357" s="88" t="s">
        <v>656</v>
      </c>
      <c r="C357" s="89" t="s">
        <v>657</v>
      </c>
      <c r="D357" s="88"/>
      <c r="E357" s="88" t="s">
        <v>99</v>
      </c>
      <c r="F357" s="90" t="n">
        <v>1.1682</v>
      </c>
      <c r="G357" s="90" t="n">
        <v>0</v>
      </c>
      <c r="H357" s="90">
        <f>F357*AO357</f>
      </c>
      <c r="I357" s="90">
        <f>F357*AP357</f>
      </c>
      <c r="J357" s="90">
        <f>F357*G357</f>
      </c>
      <c r="K357" s="91" t="s">
        <v>100</v>
      </c>
      <c r="Z357" s="56">
        <f>IF(AQ357="5",BJ357,0)</f>
      </c>
      <c r="AB357" s="56">
        <f>IF(AQ357="1",BH357,0)</f>
      </c>
      <c r="AC357" s="56">
        <f>IF(AQ357="1",BI357,0)</f>
      </c>
      <c r="AD357" s="56">
        <f>IF(AQ357="7",BH357,0)</f>
      </c>
      <c r="AE357" s="56">
        <f>IF(AQ357="7",BI357,0)</f>
      </c>
      <c r="AF357" s="56">
        <f>IF(AQ357="2",BH357,0)</f>
      </c>
      <c r="AG357" s="56">
        <f>IF(AQ357="2",BI357,0)</f>
      </c>
      <c r="AH357" s="56">
        <f>IF(AQ357="0",BJ357,0)</f>
      </c>
      <c r="AI357" s="28" t="s">
        <v>57</v>
      </c>
      <c r="AJ357" s="92">
        <f>IF(AN357=0,J357,0)</f>
      </c>
      <c r="AK357" s="92">
        <f>IF(AN357=12,J357,0)</f>
      </c>
      <c r="AL357" s="92">
        <f>IF(AN357=21,J357,0)</f>
      </c>
      <c r="AN357" s="56" t="n">
        <v>21</v>
      </c>
      <c r="AO357" s="56">
        <f>G357*1</f>
      </c>
      <c r="AP357" s="56">
        <f>G357*(1-1)</f>
      </c>
      <c r="AQ357" s="93" t="s">
        <v>85</v>
      </c>
      <c r="AV357" s="56">
        <f>AW357+AX357</f>
      </c>
      <c r="AW357" s="56">
        <f>F357*AO357</f>
      </c>
      <c r="AX357" s="56">
        <f>F357*AP357</f>
      </c>
      <c r="AY357" s="57" t="s">
        <v>535</v>
      </c>
      <c r="AZ357" s="57" t="s">
        <v>536</v>
      </c>
      <c r="BA357" s="28" t="s">
        <v>64</v>
      </c>
      <c r="BC357" s="56">
        <f>AW357+AX357</f>
      </c>
      <c r="BD357" s="56">
        <f>G357/(100-BE357)*100</f>
      </c>
      <c r="BE357" s="56" t="n">
        <v>0</v>
      </c>
      <c r="BF357" s="56">
        <f>357</f>
      </c>
      <c r="BH357" s="92">
        <f>F357*AO357</f>
      </c>
      <c r="BI357" s="92">
        <f>F357*AP357</f>
      </c>
      <c r="BJ357" s="92">
        <f>F357*G357</f>
      </c>
      <c r="BK357" s="92"/>
      <c r="BL357" s="56" t="n">
        <v>762</v>
      </c>
      <c r="BW357" s="56" t="n">
        <v>21</v>
      </c>
      <c r="BX357" s="94" t="s">
        <v>657</v>
      </c>
    </row>
    <row r="358">
      <c r="A358" s="74"/>
      <c r="B358" s="75"/>
      <c r="C358" s="76" t="s">
        <v>658</v>
      </c>
      <c r="D358" s="77" t="s">
        <v>654</v>
      </c>
      <c r="E358" s="75"/>
      <c r="F358" s="78" t="n">
        <v>1.062</v>
      </c>
      <c r="G358" s="75"/>
      <c r="H358" s="75"/>
      <c r="I358" s="75"/>
      <c r="J358" s="75"/>
      <c r="K358" s="79"/>
    </row>
    <row r="359">
      <c r="A359" s="74"/>
      <c r="B359" s="75"/>
      <c r="C359" s="76" t="s">
        <v>659</v>
      </c>
      <c r="D359" s="77" t="s">
        <v>53</v>
      </c>
      <c r="E359" s="75"/>
      <c r="F359" s="78" t="n">
        <v>0.1062</v>
      </c>
      <c r="G359" s="75"/>
      <c r="H359" s="75"/>
      <c r="I359" s="75"/>
      <c r="J359" s="75"/>
      <c r="K359" s="79"/>
    </row>
    <row r="360" ht="48.75">
      <c r="A360" s="58"/>
      <c r="B360" s="80" t="s">
        <v>108</v>
      </c>
      <c r="C360" s="59" t="s">
        <v>605</v>
      </c>
      <c r="D360" s="60"/>
      <c r="E360" s="60"/>
      <c r="F360" s="60"/>
      <c r="G360" s="60"/>
      <c r="H360" s="60"/>
      <c r="I360" s="60"/>
      <c r="J360" s="60"/>
      <c r="K360" s="61"/>
      <c r="BX360" s="95" t="s">
        <v>605</v>
      </c>
    </row>
    <row r="361">
      <c r="A361" s="82" t="s">
        <v>660</v>
      </c>
      <c r="B361" s="83" t="s">
        <v>661</v>
      </c>
      <c r="C361" s="84" t="s">
        <v>662</v>
      </c>
      <c r="D361" s="83"/>
      <c r="E361" s="83" t="s">
        <v>393</v>
      </c>
      <c r="F361" s="85" t="n">
        <v>27.965</v>
      </c>
      <c r="G361" s="85" t="n">
        <v>0</v>
      </c>
      <c r="H361" s="85">
        <f>F361*AO361</f>
      </c>
      <c r="I361" s="85">
        <f>F361*AP361</f>
      </c>
      <c r="J361" s="85">
        <f>F361*G361</f>
      </c>
      <c r="K361" s="86" t="s">
        <v>100</v>
      </c>
      <c r="Z361" s="56">
        <f>IF(AQ361="5",BJ361,0)</f>
      </c>
      <c r="AB361" s="56">
        <f>IF(AQ361="1",BH361,0)</f>
      </c>
      <c r="AC361" s="56">
        <f>IF(AQ361="1",BI361,0)</f>
      </c>
      <c r="AD361" s="56">
        <f>IF(AQ361="7",BH361,0)</f>
      </c>
      <c r="AE361" s="56">
        <f>IF(AQ361="7",BI361,0)</f>
      </c>
      <c r="AF361" s="56">
        <f>IF(AQ361="2",BH361,0)</f>
      </c>
      <c r="AG361" s="56">
        <f>IF(AQ361="2",BI361,0)</f>
      </c>
      <c r="AH361" s="56">
        <f>IF(AQ361="0",BJ361,0)</f>
      </c>
      <c r="AI361" s="28" t="s">
        <v>57</v>
      </c>
      <c r="AJ361" s="56">
        <f>IF(AN361=0,J361,0)</f>
      </c>
      <c r="AK361" s="56">
        <f>IF(AN361=12,J361,0)</f>
      </c>
      <c r="AL361" s="56">
        <f>IF(AN361=21,J361,0)</f>
      </c>
      <c r="AN361" s="56" t="n">
        <v>21</v>
      </c>
      <c r="AO361" s="56">
        <f>G361*0.034008674</f>
      </c>
      <c r="AP361" s="56">
        <f>G361*(1-0.034008674)</f>
      </c>
      <c r="AQ361" s="57" t="s">
        <v>85</v>
      </c>
      <c r="AV361" s="56">
        <f>AW361+AX361</f>
      </c>
      <c r="AW361" s="56">
        <f>F361*AO361</f>
      </c>
      <c r="AX361" s="56">
        <f>F361*AP361</f>
      </c>
      <c r="AY361" s="57" t="s">
        <v>535</v>
      </c>
      <c r="AZ361" s="57" t="s">
        <v>536</v>
      </c>
      <c r="BA361" s="28" t="s">
        <v>64</v>
      </c>
      <c r="BC361" s="56">
        <f>AW361+AX361</f>
      </c>
      <c r="BD361" s="56">
        <f>G361/(100-BE361)*100</f>
      </c>
      <c r="BE361" s="56" t="n">
        <v>0</v>
      </c>
      <c r="BF361" s="56">
        <f>361</f>
      </c>
      <c r="BH361" s="56">
        <f>F361*AO361</f>
      </c>
      <c r="BI361" s="56">
        <f>F361*AP361</f>
      </c>
      <c r="BJ361" s="56">
        <f>F361*G361</f>
      </c>
      <c r="BK361" s="56"/>
      <c r="BL361" s="56" t="n">
        <v>762</v>
      </c>
      <c r="BW361" s="56" t="n">
        <v>21</v>
      </c>
      <c r="BX361" s="14" t="s">
        <v>662</v>
      </c>
    </row>
    <row r="362">
      <c r="A362" s="74"/>
      <c r="B362" s="75"/>
      <c r="C362" s="76" t="s">
        <v>663</v>
      </c>
      <c r="D362" s="77" t="s">
        <v>664</v>
      </c>
      <c r="E362" s="75"/>
      <c r="F362" s="78" t="n">
        <v>27.965</v>
      </c>
      <c r="G362" s="75"/>
      <c r="H362" s="75"/>
      <c r="I362" s="75"/>
      <c r="J362" s="75"/>
      <c r="K362" s="79"/>
    </row>
    <row r="363" ht="24.75">
      <c r="A363" s="58"/>
      <c r="B363" s="80" t="s">
        <v>108</v>
      </c>
      <c r="C363" s="59" t="s">
        <v>598</v>
      </c>
      <c r="D363" s="60"/>
      <c r="E363" s="60"/>
      <c r="F363" s="60"/>
      <c r="G363" s="60"/>
      <c r="H363" s="60"/>
      <c r="I363" s="60"/>
      <c r="J363" s="60"/>
      <c r="K363" s="61"/>
      <c r="BX363" s="81" t="s">
        <v>598</v>
      </c>
    </row>
    <row r="364">
      <c r="A364" s="87" t="s">
        <v>665</v>
      </c>
      <c r="B364" s="88" t="s">
        <v>666</v>
      </c>
      <c r="C364" s="89" t="s">
        <v>667</v>
      </c>
      <c r="D364" s="88"/>
      <c r="E364" s="88" t="s">
        <v>99</v>
      </c>
      <c r="F364" s="90" t="n">
        <v>1.21815</v>
      </c>
      <c r="G364" s="90" t="n">
        <v>0</v>
      </c>
      <c r="H364" s="90">
        <f>F364*AO364</f>
      </c>
      <c r="I364" s="90">
        <f>F364*AP364</f>
      </c>
      <c r="J364" s="90">
        <f>F364*G364</f>
      </c>
      <c r="K364" s="91" t="s">
        <v>100</v>
      </c>
      <c r="Z364" s="56">
        <f>IF(AQ364="5",BJ364,0)</f>
      </c>
      <c r="AB364" s="56">
        <f>IF(AQ364="1",BH364,0)</f>
      </c>
      <c r="AC364" s="56">
        <f>IF(AQ364="1",BI364,0)</f>
      </c>
      <c r="AD364" s="56">
        <f>IF(AQ364="7",BH364,0)</f>
      </c>
      <c r="AE364" s="56">
        <f>IF(AQ364="7",BI364,0)</f>
      </c>
      <c r="AF364" s="56">
        <f>IF(AQ364="2",BH364,0)</f>
      </c>
      <c r="AG364" s="56">
        <f>IF(AQ364="2",BI364,0)</f>
      </c>
      <c r="AH364" s="56">
        <f>IF(AQ364="0",BJ364,0)</f>
      </c>
      <c r="AI364" s="28" t="s">
        <v>57</v>
      </c>
      <c r="AJ364" s="92">
        <f>IF(AN364=0,J364,0)</f>
      </c>
      <c r="AK364" s="92">
        <f>IF(AN364=12,J364,0)</f>
      </c>
      <c r="AL364" s="92">
        <f>IF(AN364=21,J364,0)</f>
      </c>
      <c r="AN364" s="56" t="n">
        <v>21</v>
      </c>
      <c r="AO364" s="56">
        <f>G364*1</f>
      </c>
      <c r="AP364" s="56">
        <f>G364*(1-1)</f>
      </c>
      <c r="AQ364" s="93" t="s">
        <v>85</v>
      </c>
      <c r="AV364" s="56">
        <f>AW364+AX364</f>
      </c>
      <c r="AW364" s="56">
        <f>F364*AO364</f>
      </c>
      <c r="AX364" s="56">
        <f>F364*AP364</f>
      </c>
      <c r="AY364" s="57" t="s">
        <v>535</v>
      </c>
      <c r="AZ364" s="57" t="s">
        <v>536</v>
      </c>
      <c r="BA364" s="28" t="s">
        <v>64</v>
      </c>
      <c r="BC364" s="56">
        <f>AW364+AX364</f>
      </c>
      <c r="BD364" s="56">
        <f>G364/(100-BE364)*100</f>
      </c>
      <c r="BE364" s="56" t="n">
        <v>0</v>
      </c>
      <c r="BF364" s="56">
        <f>364</f>
      </c>
      <c r="BH364" s="92">
        <f>F364*AO364</f>
      </c>
      <c r="BI364" s="92">
        <f>F364*AP364</f>
      </c>
      <c r="BJ364" s="92">
        <f>F364*G364</f>
      </c>
      <c r="BK364" s="92"/>
      <c r="BL364" s="56" t="n">
        <v>762</v>
      </c>
      <c r="BW364" s="56" t="n">
        <v>21</v>
      </c>
      <c r="BX364" s="94" t="s">
        <v>667</v>
      </c>
    </row>
    <row r="365">
      <c r="A365" s="74"/>
      <c r="B365" s="75"/>
      <c r="C365" s="76" t="s">
        <v>668</v>
      </c>
      <c r="D365" s="77" t="s">
        <v>669</v>
      </c>
      <c r="E365" s="75"/>
      <c r="F365" s="78" t="n">
        <v>1.10741</v>
      </c>
      <c r="G365" s="75"/>
      <c r="H365" s="75"/>
      <c r="I365" s="75"/>
      <c r="J365" s="75"/>
      <c r="K365" s="79"/>
    </row>
    <row r="366">
      <c r="A366" s="74"/>
      <c r="B366" s="75"/>
      <c r="C366" s="76" t="s">
        <v>670</v>
      </c>
      <c r="D366" s="77" t="s">
        <v>53</v>
      </c>
      <c r="E366" s="75"/>
      <c r="F366" s="78" t="n">
        <v>0.11074</v>
      </c>
      <c r="G366" s="75"/>
      <c r="H366" s="75"/>
      <c r="I366" s="75"/>
      <c r="J366" s="75"/>
      <c r="K366" s="79"/>
    </row>
    <row r="367">
      <c r="A367" s="51" t="s">
        <v>671</v>
      </c>
      <c r="B367" s="52" t="s">
        <v>672</v>
      </c>
      <c r="C367" s="53" t="s">
        <v>673</v>
      </c>
      <c r="D367" s="52"/>
      <c r="E367" s="52" t="s">
        <v>130</v>
      </c>
      <c r="F367" s="54" t="n">
        <v>59.5179</v>
      </c>
      <c r="G367" s="54" t="n">
        <v>0</v>
      </c>
      <c r="H367" s="54">
        <f>F367*AO367</f>
      </c>
      <c r="I367" s="54">
        <f>F367*AP367</f>
      </c>
      <c r="J367" s="54">
        <f>F367*G367</f>
      </c>
      <c r="K367" s="55" t="s">
        <v>100</v>
      </c>
      <c r="Z367" s="56">
        <f>IF(AQ367="5",BJ367,0)</f>
      </c>
      <c r="AB367" s="56">
        <f>IF(AQ367="1",BH367,0)</f>
      </c>
      <c r="AC367" s="56">
        <f>IF(AQ367="1",BI367,0)</f>
      </c>
      <c r="AD367" s="56">
        <f>IF(AQ367="7",BH367,0)</f>
      </c>
      <c r="AE367" s="56">
        <f>IF(AQ367="7",BI367,0)</f>
      </c>
      <c r="AF367" s="56">
        <f>IF(AQ367="2",BH367,0)</f>
      </c>
      <c r="AG367" s="56">
        <f>IF(AQ367="2",BI367,0)</f>
      </c>
      <c r="AH367" s="56">
        <f>IF(AQ367="0",BJ367,0)</f>
      </c>
      <c r="AI367" s="28" t="s">
        <v>57</v>
      </c>
      <c r="AJ367" s="56">
        <f>IF(AN367=0,J367,0)</f>
      </c>
      <c r="AK367" s="56">
        <f>IF(AN367=12,J367,0)</f>
      </c>
      <c r="AL367" s="56">
        <f>IF(AN367=21,J367,0)</f>
      </c>
      <c r="AN367" s="56" t="n">
        <v>21</v>
      </c>
      <c r="AO367" s="56">
        <f>G367*0.452535925</f>
      </c>
      <c r="AP367" s="56">
        <f>G367*(1-0.452535925)</f>
      </c>
      <c r="AQ367" s="57" t="s">
        <v>85</v>
      </c>
      <c r="AV367" s="56">
        <f>AW367+AX367</f>
      </c>
      <c r="AW367" s="56">
        <f>F367*AO367</f>
      </c>
      <c r="AX367" s="56">
        <f>F367*AP367</f>
      </c>
      <c r="AY367" s="57" t="s">
        <v>535</v>
      </c>
      <c r="AZ367" s="57" t="s">
        <v>536</v>
      </c>
      <c r="BA367" s="28" t="s">
        <v>64</v>
      </c>
      <c r="BC367" s="56">
        <f>AW367+AX367</f>
      </c>
      <c r="BD367" s="56">
        <f>G367/(100-BE367)*100</f>
      </c>
      <c r="BE367" s="56" t="n">
        <v>0</v>
      </c>
      <c r="BF367" s="56">
        <f>367</f>
      </c>
      <c r="BH367" s="56">
        <f>F367*AO367</f>
      </c>
      <c r="BI367" s="56">
        <f>F367*AP367</f>
      </c>
      <c r="BJ367" s="56">
        <f>F367*G367</f>
      </c>
      <c r="BK367" s="56"/>
      <c r="BL367" s="56" t="n">
        <v>762</v>
      </c>
      <c r="BW367" s="56" t="n">
        <v>21</v>
      </c>
      <c r="BX367" s="14" t="s">
        <v>673</v>
      </c>
    </row>
    <row r="368" customHeight="true" ht="13.5">
      <c r="A368" s="58"/>
      <c r="C368" s="59" t="s">
        <v>674</v>
      </c>
      <c r="D368" s="60"/>
      <c r="E368" s="60"/>
      <c r="F368" s="60"/>
      <c r="G368" s="60"/>
      <c r="H368" s="60"/>
      <c r="I368" s="60"/>
      <c r="J368" s="60"/>
      <c r="K368" s="61"/>
    </row>
    <row r="369">
      <c r="A369" s="68"/>
      <c r="B369" s="69"/>
      <c r="C369" s="70" t="s">
        <v>675</v>
      </c>
      <c r="D369" s="71" t="s">
        <v>676</v>
      </c>
      <c r="E369" s="69"/>
      <c r="F369" s="72" t="n">
        <v>59.5179</v>
      </c>
      <c r="G369" s="69"/>
      <c r="H369" s="69"/>
      <c r="I369" s="69"/>
      <c r="J369" s="69"/>
      <c r="K369" s="73"/>
    </row>
    <row r="370">
      <c r="A370" s="58"/>
      <c r="B370" s="80" t="s">
        <v>108</v>
      </c>
      <c r="C370" s="59" t="s">
        <v>677</v>
      </c>
      <c r="D370" s="60"/>
      <c r="E370" s="60"/>
      <c r="F370" s="60"/>
      <c r="G370" s="60"/>
      <c r="H370" s="60"/>
      <c r="I370" s="60"/>
      <c r="J370" s="60"/>
      <c r="K370" s="61"/>
      <c r="BX370" s="81" t="s">
        <v>677</v>
      </c>
    </row>
    <row r="371">
      <c r="A371" s="82" t="s">
        <v>678</v>
      </c>
      <c r="B371" s="83" t="s">
        <v>679</v>
      </c>
      <c r="C371" s="84" t="s">
        <v>680</v>
      </c>
      <c r="D371" s="83"/>
      <c r="E371" s="83" t="s">
        <v>99</v>
      </c>
      <c r="F371" s="85" t="n">
        <v>13.39422</v>
      </c>
      <c r="G371" s="85" t="n">
        <v>0</v>
      </c>
      <c r="H371" s="85">
        <f>F371*AO371</f>
      </c>
      <c r="I371" s="85">
        <f>F371*AP371</f>
      </c>
      <c r="J371" s="85">
        <f>F371*G371</f>
      </c>
      <c r="K371" s="86" t="s">
        <v>100</v>
      </c>
      <c r="Z371" s="56">
        <f>IF(AQ371="5",BJ371,0)</f>
      </c>
      <c r="AB371" s="56">
        <f>IF(AQ371="1",BH371,0)</f>
      </c>
      <c r="AC371" s="56">
        <f>IF(AQ371="1",BI371,0)</f>
      </c>
      <c r="AD371" s="56">
        <f>IF(AQ371="7",BH371,0)</f>
      </c>
      <c r="AE371" s="56">
        <f>IF(AQ371="7",BI371,0)</f>
      </c>
      <c r="AF371" s="56">
        <f>IF(AQ371="2",BH371,0)</f>
      </c>
      <c r="AG371" s="56">
        <f>IF(AQ371="2",BI371,0)</f>
      </c>
      <c r="AH371" s="56">
        <f>IF(AQ371="0",BJ371,0)</f>
      </c>
      <c r="AI371" s="28" t="s">
        <v>57</v>
      </c>
      <c r="AJ371" s="56">
        <f>IF(AN371=0,J371,0)</f>
      </c>
      <c r="AK371" s="56">
        <f>IF(AN371=12,J371,0)</f>
      </c>
      <c r="AL371" s="56">
        <f>IF(AN371=21,J371,0)</f>
      </c>
      <c r="AN371" s="56" t="n">
        <v>21</v>
      </c>
      <c r="AO371" s="56">
        <f>G371*0.999999851</f>
      </c>
      <c r="AP371" s="56">
        <f>G371*(1-0.999999851)</f>
      </c>
      <c r="AQ371" s="57" t="s">
        <v>85</v>
      </c>
      <c r="AV371" s="56">
        <f>AW371+AX371</f>
      </c>
      <c r="AW371" s="56">
        <f>F371*AO371</f>
      </c>
      <c r="AX371" s="56">
        <f>F371*AP371</f>
      </c>
      <c r="AY371" s="57" t="s">
        <v>535</v>
      </c>
      <c r="AZ371" s="57" t="s">
        <v>536</v>
      </c>
      <c r="BA371" s="28" t="s">
        <v>64</v>
      </c>
      <c r="BC371" s="56">
        <f>AW371+AX371</f>
      </c>
      <c r="BD371" s="56">
        <f>G371/(100-BE371)*100</f>
      </c>
      <c r="BE371" s="56" t="n">
        <v>0</v>
      </c>
      <c r="BF371" s="56">
        <f>371</f>
      </c>
      <c r="BH371" s="56">
        <f>F371*AO371</f>
      </c>
      <c r="BI371" s="56">
        <f>F371*AP371</f>
      </c>
      <c r="BJ371" s="56">
        <f>F371*G371</f>
      </c>
      <c r="BK371" s="56"/>
      <c r="BL371" s="56" t="n">
        <v>762</v>
      </c>
      <c r="BW371" s="56" t="n">
        <v>21</v>
      </c>
      <c r="BX371" s="14" t="s">
        <v>680</v>
      </c>
    </row>
    <row r="372">
      <c r="A372" s="74"/>
      <c r="B372" s="75"/>
      <c r="C372" s="76" t="s">
        <v>602</v>
      </c>
      <c r="D372" s="77" t="s">
        <v>579</v>
      </c>
      <c r="E372" s="75"/>
      <c r="F372" s="78" t="n">
        <v>0.705</v>
      </c>
      <c r="G372" s="75"/>
      <c r="H372" s="75"/>
      <c r="I372" s="75"/>
      <c r="J372" s="75"/>
      <c r="K372" s="79"/>
    </row>
    <row r="373">
      <c r="A373" s="74"/>
      <c r="B373" s="75"/>
      <c r="C373" s="76" t="s">
        <v>603</v>
      </c>
      <c r="D373" s="77" t="s">
        <v>584</v>
      </c>
      <c r="E373" s="75"/>
      <c r="F373" s="78" t="n">
        <v>3.61944</v>
      </c>
      <c r="G373" s="75"/>
      <c r="H373" s="75"/>
      <c r="I373" s="75"/>
      <c r="J373" s="75"/>
      <c r="K373" s="79"/>
    </row>
    <row r="374">
      <c r="A374" s="74"/>
      <c r="B374" s="75"/>
      <c r="C374" s="76" t="s">
        <v>609</v>
      </c>
      <c r="D374" s="77" t="s">
        <v>581</v>
      </c>
      <c r="E374" s="75"/>
      <c r="F374" s="78" t="n">
        <v>1.27476</v>
      </c>
      <c r="G374" s="75"/>
      <c r="H374" s="75"/>
      <c r="I374" s="75"/>
      <c r="J374" s="75"/>
      <c r="K374" s="79"/>
    </row>
    <row r="375">
      <c r="A375" s="74"/>
      <c r="B375" s="75"/>
      <c r="C375" s="76" t="s">
        <v>610</v>
      </c>
      <c r="D375" s="77" t="s">
        <v>581</v>
      </c>
      <c r="E375" s="75"/>
      <c r="F375" s="78" t="n">
        <v>0.35688</v>
      </c>
      <c r="G375" s="75"/>
      <c r="H375" s="75"/>
      <c r="I375" s="75"/>
      <c r="J375" s="75"/>
      <c r="K375" s="79"/>
    </row>
    <row r="376">
      <c r="A376" s="74"/>
      <c r="B376" s="75"/>
      <c r="C376" s="76" t="s">
        <v>611</v>
      </c>
      <c r="D376" s="77" t="s">
        <v>592</v>
      </c>
      <c r="E376" s="75"/>
      <c r="F376" s="78" t="n">
        <v>0.92784</v>
      </c>
      <c r="G376" s="75"/>
      <c r="H376" s="75"/>
      <c r="I376" s="75"/>
      <c r="J376" s="75"/>
      <c r="K376" s="79"/>
    </row>
    <row r="377">
      <c r="A377" s="74"/>
      <c r="B377" s="75"/>
      <c r="C377" s="76" t="s">
        <v>612</v>
      </c>
      <c r="D377" s="77" t="s">
        <v>159</v>
      </c>
      <c r="E377" s="75"/>
      <c r="F377" s="78" t="n">
        <v>-0.38616</v>
      </c>
      <c r="G377" s="75"/>
      <c r="H377" s="75"/>
      <c r="I377" s="75"/>
      <c r="J377" s="75"/>
      <c r="K377" s="79"/>
    </row>
    <row r="378">
      <c r="A378" s="74"/>
      <c r="B378" s="75"/>
      <c r="C378" s="76" t="s">
        <v>613</v>
      </c>
      <c r="D378" s="77" t="s">
        <v>594</v>
      </c>
      <c r="E378" s="75"/>
      <c r="F378" s="78" t="n">
        <v>0.47916</v>
      </c>
      <c r="G378" s="75"/>
      <c r="H378" s="75"/>
      <c r="I378" s="75"/>
      <c r="J378" s="75"/>
      <c r="K378" s="79"/>
    </row>
    <row r="379">
      <c r="A379" s="74"/>
      <c r="B379" s="75"/>
      <c r="C379" s="76" t="s">
        <v>614</v>
      </c>
      <c r="D379" s="77" t="s">
        <v>596</v>
      </c>
      <c r="E379" s="75"/>
      <c r="F379" s="78" t="n">
        <v>1.1316</v>
      </c>
      <c r="G379" s="75"/>
      <c r="H379" s="75"/>
      <c r="I379" s="75"/>
      <c r="J379" s="75"/>
      <c r="K379" s="79"/>
    </row>
    <row r="380">
      <c r="A380" s="74"/>
      <c r="B380" s="75"/>
      <c r="C380" s="76" t="s">
        <v>615</v>
      </c>
      <c r="D380" s="77" t="s">
        <v>586</v>
      </c>
      <c r="E380" s="75"/>
      <c r="F380" s="78" t="n">
        <v>0.08832</v>
      </c>
      <c r="G380" s="75"/>
      <c r="H380" s="75"/>
      <c r="I380" s="75"/>
      <c r="J380" s="75"/>
      <c r="K380" s="79"/>
    </row>
    <row r="381">
      <c r="A381" s="74"/>
      <c r="B381" s="75"/>
      <c r="C381" s="76" t="s">
        <v>636</v>
      </c>
      <c r="D381" s="77" t="s">
        <v>637</v>
      </c>
      <c r="E381" s="75"/>
      <c r="F381" s="78" t="n">
        <v>1.68606</v>
      </c>
      <c r="G381" s="75"/>
      <c r="H381" s="75"/>
      <c r="I381" s="75"/>
      <c r="J381" s="75"/>
      <c r="K381" s="79"/>
    </row>
    <row r="382">
      <c r="A382" s="74"/>
      <c r="B382" s="75"/>
      <c r="C382" s="76" t="s">
        <v>642</v>
      </c>
      <c r="D382" s="77" t="s">
        <v>643</v>
      </c>
      <c r="E382" s="75"/>
      <c r="F382" s="78" t="n">
        <v>0.2403</v>
      </c>
      <c r="G382" s="75"/>
      <c r="H382" s="75"/>
      <c r="I382" s="75"/>
      <c r="J382" s="75"/>
      <c r="K382" s="79"/>
    </row>
    <row r="383">
      <c r="A383" s="74"/>
      <c r="B383" s="75"/>
      <c r="C383" s="76" t="s">
        <v>648</v>
      </c>
      <c r="D383" s="77" t="s">
        <v>632</v>
      </c>
      <c r="E383" s="75"/>
      <c r="F383" s="78" t="n">
        <v>0.91085</v>
      </c>
      <c r="G383" s="75"/>
      <c r="H383" s="75"/>
      <c r="I383" s="75"/>
      <c r="J383" s="75"/>
      <c r="K383" s="79"/>
    </row>
    <row r="384">
      <c r="A384" s="74"/>
      <c r="B384" s="75"/>
      <c r="C384" s="76" t="s">
        <v>658</v>
      </c>
      <c r="D384" s="77" t="s">
        <v>654</v>
      </c>
      <c r="E384" s="75"/>
      <c r="F384" s="78" t="n">
        <v>1.062</v>
      </c>
      <c r="G384" s="75"/>
      <c r="H384" s="75"/>
      <c r="I384" s="75"/>
      <c r="J384" s="75"/>
      <c r="K384" s="79"/>
    </row>
    <row r="385">
      <c r="A385" s="74"/>
      <c r="B385" s="75"/>
      <c r="C385" s="76" t="s">
        <v>668</v>
      </c>
      <c r="D385" s="77" t="s">
        <v>669</v>
      </c>
      <c r="E385" s="75"/>
      <c r="F385" s="78" t="n">
        <v>1.10741</v>
      </c>
      <c r="G385" s="75"/>
      <c r="H385" s="75"/>
      <c r="I385" s="75"/>
      <c r="J385" s="75"/>
      <c r="K385" s="79"/>
    </row>
    <row r="386">
      <c r="A386" s="74"/>
      <c r="B386" s="75"/>
      <c r="C386" s="76" t="s">
        <v>620</v>
      </c>
      <c r="D386" s="77" t="s">
        <v>590</v>
      </c>
      <c r="E386" s="75"/>
      <c r="F386" s="78" t="n">
        <v>0.13615</v>
      </c>
      <c r="G386" s="75"/>
      <c r="H386" s="75"/>
      <c r="I386" s="75"/>
      <c r="J386" s="75"/>
      <c r="K386" s="79"/>
    </row>
    <row r="387">
      <c r="A387" s="74"/>
      <c r="B387" s="75"/>
      <c r="C387" s="76" t="s">
        <v>681</v>
      </c>
      <c r="D387" s="77" t="s">
        <v>682</v>
      </c>
      <c r="E387" s="75"/>
      <c r="F387" s="78" t="n">
        <v>0.05461</v>
      </c>
      <c r="G387" s="75"/>
      <c r="H387" s="75"/>
      <c r="I387" s="75"/>
      <c r="J387" s="75"/>
      <c r="K387" s="79"/>
    </row>
    <row r="388">
      <c r="A388" s="58"/>
      <c r="B388" s="80" t="s">
        <v>108</v>
      </c>
      <c r="C388" s="59" t="s">
        <v>683</v>
      </c>
      <c r="D388" s="60"/>
      <c r="E388" s="60"/>
      <c r="F388" s="60"/>
      <c r="G388" s="60"/>
      <c r="H388" s="60"/>
      <c r="I388" s="60"/>
      <c r="J388" s="60"/>
      <c r="K388" s="61"/>
      <c r="BX388" s="81" t="s">
        <v>683</v>
      </c>
    </row>
    <row r="389">
      <c r="A389" s="82" t="s">
        <v>684</v>
      </c>
      <c r="B389" s="83" t="s">
        <v>685</v>
      </c>
      <c r="C389" s="84" t="s">
        <v>686</v>
      </c>
      <c r="D389" s="83"/>
      <c r="E389" s="83" t="s">
        <v>130</v>
      </c>
      <c r="F389" s="85" t="n">
        <v>265.628</v>
      </c>
      <c r="G389" s="85" t="n">
        <v>0</v>
      </c>
      <c r="H389" s="85">
        <f>F389*AO389</f>
      </c>
      <c r="I389" s="85">
        <f>F389*AP389</f>
      </c>
      <c r="J389" s="85">
        <f>F389*G389</f>
      </c>
      <c r="K389" s="86" t="s">
        <v>100</v>
      </c>
      <c r="Z389" s="56">
        <f>IF(AQ389="5",BJ389,0)</f>
      </c>
      <c r="AB389" s="56">
        <f>IF(AQ389="1",BH389,0)</f>
      </c>
      <c r="AC389" s="56">
        <f>IF(AQ389="1",BI389,0)</f>
      </c>
      <c r="AD389" s="56">
        <f>IF(AQ389="7",BH389,0)</f>
      </c>
      <c r="AE389" s="56">
        <f>IF(AQ389="7",BI389,0)</f>
      </c>
      <c r="AF389" s="56">
        <f>IF(AQ389="2",BH389,0)</f>
      </c>
      <c r="AG389" s="56">
        <f>IF(AQ389="2",BI389,0)</f>
      </c>
      <c r="AH389" s="56">
        <f>IF(AQ389="0",BJ389,0)</f>
      </c>
      <c r="AI389" s="28" t="s">
        <v>57</v>
      </c>
      <c r="AJ389" s="56">
        <f>IF(AN389=0,J389,0)</f>
      </c>
      <c r="AK389" s="56">
        <f>IF(AN389=12,J389,0)</f>
      </c>
      <c r="AL389" s="56">
        <f>IF(AN389=21,J389,0)</f>
      </c>
      <c r="AN389" s="56" t="n">
        <v>21</v>
      </c>
      <c r="AO389" s="56">
        <f>G389*0.692171222</f>
      </c>
      <c r="AP389" s="56">
        <f>G389*(1-0.692171222)</f>
      </c>
      <c r="AQ389" s="57" t="s">
        <v>85</v>
      </c>
      <c r="AV389" s="56">
        <f>AW389+AX389</f>
      </c>
      <c r="AW389" s="56">
        <f>F389*AO389</f>
      </c>
      <c r="AX389" s="56">
        <f>F389*AP389</f>
      </c>
      <c r="AY389" s="57" t="s">
        <v>535</v>
      </c>
      <c r="AZ389" s="57" t="s">
        <v>536</v>
      </c>
      <c r="BA389" s="28" t="s">
        <v>64</v>
      </c>
      <c r="BC389" s="56">
        <f>AW389+AX389</f>
      </c>
      <c r="BD389" s="56">
        <f>G389/(100-BE389)*100</f>
      </c>
      <c r="BE389" s="56" t="n">
        <v>0</v>
      </c>
      <c r="BF389" s="56">
        <f>389</f>
      </c>
      <c r="BH389" s="56">
        <f>F389*AO389</f>
      </c>
      <c r="BI389" s="56">
        <f>F389*AP389</f>
      </c>
      <c r="BJ389" s="56">
        <f>F389*G389</f>
      </c>
      <c r="BK389" s="56"/>
      <c r="BL389" s="56" t="n">
        <v>762</v>
      </c>
      <c r="BW389" s="56" t="n">
        <v>21</v>
      </c>
      <c r="BX389" s="14" t="s">
        <v>686</v>
      </c>
    </row>
    <row r="390" customHeight="true" ht="27">
      <c r="A390" s="58"/>
      <c r="C390" s="59" t="s">
        <v>687</v>
      </c>
      <c r="D390" s="60"/>
      <c r="E390" s="60"/>
      <c r="F390" s="60"/>
      <c r="G390" s="60"/>
      <c r="H390" s="60"/>
      <c r="I390" s="60"/>
      <c r="J390" s="60"/>
      <c r="K390" s="61"/>
    </row>
    <row r="391">
      <c r="A391" s="68"/>
      <c r="B391" s="69"/>
      <c r="C391" s="70" t="s">
        <v>472</v>
      </c>
      <c r="D391" s="71" t="s">
        <v>473</v>
      </c>
      <c r="E391" s="69"/>
      <c r="F391" s="72" t="n">
        <v>300.25</v>
      </c>
      <c r="G391" s="69"/>
      <c r="H391" s="69"/>
      <c r="I391" s="69"/>
      <c r="J391" s="69"/>
      <c r="K391" s="73"/>
    </row>
    <row r="392">
      <c r="A392" s="74"/>
      <c r="B392" s="75"/>
      <c r="C392" s="76" t="s">
        <v>459</v>
      </c>
      <c r="D392" s="77" t="s">
        <v>159</v>
      </c>
      <c r="E392" s="75"/>
      <c r="F392" s="78" t="n">
        <v>-34.622</v>
      </c>
      <c r="G392" s="75"/>
      <c r="H392" s="75"/>
      <c r="I392" s="75"/>
      <c r="J392" s="75"/>
      <c r="K392" s="79"/>
    </row>
    <row r="393">
      <c r="A393" s="58"/>
      <c r="B393" s="80" t="s">
        <v>108</v>
      </c>
      <c r="C393" s="59" t="s">
        <v>688</v>
      </c>
      <c r="D393" s="60"/>
      <c r="E393" s="60"/>
      <c r="F393" s="60"/>
      <c r="G393" s="60"/>
      <c r="H393" s="60"/>
      <c r="I393" s="60"/>
      <c r="J393" s="60"/>
      <c r="K393" s="61"/>
      <c r="BX393" s="81" t="s">
        <v>688</v>
      </c>
    </row>
    <row r="394">
      <c r="A394" s="82" t="s">
        <v>689</v>
      </c>
      <c r="B394" s="83" t="s">
        <v>690</v>
      </c>
      <c r="C394" s="84" t="s">
        <v>691</v>
      </c>
      <c r="D394" s="83"/>
      <c r="E394" s="83" t="s">
        <v>130</v>
      </c>
      <c r="F394" s="85" t="n">
        <v>29.591</v>
      </c>
      <c r="G394" s="85" t="n">
        <v>0</v>
      </c>
      <c r="H394" s="85">
        <f>F394*AO394</f>
      </c>
      <c r="I394" s="85">
        <f>F394*AP394</f>
      </c>
      <c r="J394" s="85">
        <f>F394*G394</f>
      </c>
      <c r="K394" s="86" t="s">
        <v>100</v>
      </c>
      <c r="Z394" s="56">
        <f>IF(AQ394="5",BJ394,0)</f>
      </c>
      <c r="AB394" s="56">
        <f>IF(AQ394="1",BH394,0)</f>
      </c>
      <c r="AC394" s="56">
        <f>IF(AQ394="1",BI394,0)</f>
      </c>
      <c r="AD394" s="56">
        <f>IF(AQ394="7",BH394,0)</f>
      </c>
      <c r="AE394" s="56">
        <f>IF(AQ394="7",BI394,0)</f>
      </c>
      <c r="AF394" s="56">
        <f>IF(AQ394="2",BH394,0)</f>
      </c>
      <c r="AG394" s="56">
        <f>IF(AQ394="2",BI394,0)</f>
      </c>
      <c r="AH394" s="56">
        <f>IF(AQ394="0",BJ394,0)</f>
      </c>
      <c r="AI394" s="28" t="s">
        <v>57</v>
      </c>
      <c r="AJ394" s="56">
        <f>IF(AN394=0,J394,0)</f>
      </c>
      <c r="AK394" s="56">
        <f>IF(AN394=12,J394,0)</f>
      </c>
      <c r="AL394" s="56">
        <f>IF(AN394=21,J394,0)</f>
      </c>
      <c r="AN394" s="56" t="n">
        <v>21</v>
      </c>
      <c r="AO394" s="56">
        <f>G394*0</f>
      </c>
      <c r="AP394" s="56">
        <f>G394*(1-0)</f>
      </c>
      <c r="AQ394" s="57" t="s">
        <v>85</v>
      </c>
      <c r="AV394" s="56">
        <f>AW394+AX394</f>
      </c>
      <c r="AW394" s="56">
        <f>F394*AO394</f>
      </c>
      <c r="AX394" s="56">
        <f>F394*AP394</f>
      </c>
      <c r="AY394" s="57" t="s">
        <v>535</v>
      </c>
      <c r="AZ394" s="57" t="s">
        <v>536</v>
      </c>
      <c r="BA394" s="28" t="s">
        <v>64</v>
      </c>
      <c r="BC394" s="56">
        <f>AW394+AX394</f>
      </c>
      <c r="BD394" s="56">
        <f>G394/(100-BE394)*100</f>
      </c>
      <c r="BE394" s="56" t="n">
        <v>0</v>
      </c>
      <c r="BF394" s="56">
        <f>394</f>
      </c>
      <c r="BH394" s="56">
        <f>F394*AO394</f>
      </c>
      <c r="BI394" s="56">
        <f>F394*AP394</f>
      </c>
      <c r="BJ394" s="56">
        <f>F394*G394</f>
      </c>
      <c r="BK394" s="56"/>
      <c r="BL394" s="56" t="n">
        <v>762</v>
      </c>
      <c r="BW394" s="56" t="n">
        <v>21</v>
      </c>
      <c r="BX394" s="14" t="s">
        <v>691</v>
      </c>
    </row>
    <row r="395">
      <c r="A395" s="74"/>
      <c r="B395" s="75"/>
      <c r="C395" s="76" t="s">
        <v>482</v>
      </c>
      <c r="D395" s="77" t="s">
        <v>692</v>
      </c>
      <c r="E395" s="75"/>
      <c r="F395" s="78" t="n">
        <v>29.591</v>
      </c>
      <c r="G395" s="75"/>
      <c r="H395" s="75"/>
      <c r="I395" s="75"/>
      <c r="J395" s="75"/>
      <c r="K395" s="79"/>
    </row>
    <row r="396" ht="24.75">
      <c r="A396" s="58"/>
      <c r="B396" s="80" t="s">
        <v>108</v>
      </c>
      <c r="C396" s="59" t="s">
        <v>693</v>
      </c>
      <c r="D396" s="60"/>
      <c r="E396" s="60"/>
      <c r="F396" s="60"/>
      <c r="G396" s="60"/>
      <c r="H396" s="60"/>
      <c r="I396" s="60"/>
      <c r="J396" s="60"/>
      <c r="K396" s="61"/>
      <c r="BX396" s="81" t="s">
        <v>693</v>
      </c>
    </row>
    <row r="397">
      <c r="A397" s="87" t="s">
        <v>694</v>
      </c>
      <c r="B397" s="88" t="s">
        <v>695</v>
      </c>
      <c r="C397" s="89" t="s">
        <v>696</v>
      </c>
      <c r="D397" s="88"/>
      <c r="E397" s="88" t="s">
        <v>130</v>
      </c>
      <c r="F397" s="90" t="n">
        <v>31.95828</v>
      </c>
      <c r="G397" s="90" t="n">
        <v>0</v>
      </c>
      <c r="H397" s="90">
        <f>F397*AO397</f>
      </c>
      <c r="I397" s="90">
        <f>F397*AP397</f>
      </c>
      <c r="J397" s="90">
        <f>F397*G397</f>
      </c>
      <c r="K397" s="91" t="s">
        <v>100</v>
      </c>
      <c r="Z397" s="56">
        <f>IF(AQ397="5",BJ397,0)</f>
      </c>
      <c r="AB397" s="56">
        <f>IF(AQ397="1",BH397,0)</f>
      </c>
      <c r="AC397" s="56">
        <f>IF(AQ397="1",BI397,0)</f>
      </c>
      <c r="AD397" s="56">
        <f>IF(AQ397="7",BH397,0)</f>
      </c>
      <c r="AE397" s="56">
        <f>IF(AQ397="7",BI397,0)</f>
      </c>
      <c r="AF397" s="56">
        <f>IF(AQ397="2",BH397,0)</f>
      </c>
      <c r="AG397" s="56">
        <f>IF(AQ397="2",BI397,0)</f>
      </c>
      <c r="AH397" s="56">
        <f>IF(AQ397="0",BJ397,0)</f>
      </c>
      <c r="AI397" s="28" t="s">
        <v>57</v>
      </c>
      <c r="AJ397" s="92">
        <f>IF(AN397=0,J397,0)</f>
      </c>
      <c r="AK397" s="92">
        <f>IF(AN397=12,J397,0)</f>
      </c>
      <c r="AL397" s="92">
        <f>IF(AN397=21,J397,0)</f>
      </c>
      <c r="AN397" s="56" t="n">
        <v>21</v>
      </c>
      <c r="AO397" s="56">
        <f>G397*1</f>
      </c>
      <c r="AP397" s="56">
        <f>G397*(1-1)</f>
      </c>
      <c r="AQ397" s="93" t="s">
        <v>85</v>
      </c>
      <c r="AV397" s="56">
        <f>AW397+AX397</f>
      </c>
      <c r="AW397" s="56">
        <f>F397*AO397</f>
      </c>
      <c r="AX397" s="56">
        <f>F397*AP397</f>
      </c>
      <c r="AY397" s="57" t="s">
        <v>535</v>
      </c>
      <c r="AZ397" s="57" t="s">
        <v>536</v>
      </c>
      <c r="BA397" s="28" t="s">
        <v>64</v>
      </c>
      <c r="BC397" s="56">
        <f>AW397+AX397</f>
      </c>
      <c r="BD397" s="56">
        <f>G397/(100-BE397)*100</f>
      </c>
      <c r="BE397" s="56" t="n">
        <v>0</v>
      </c>
      <c r="BF397" s="56">
        <f>397</f>
      </c>
      <c r="BH397" s="92">
        <f>F397*AO397</f>
      </c>
      <c r="BI397" s="92">
        <f>F397*AP397</f>
      </c>
      <c r="BJ397" s="92">
        <f>F397*G397</f>
      </c>
      <c r="BK397" s="92"/>
      <c r="BL397" s="56" t="n">
        <v>762</v>
      </c>
      <c r="BW397" s="56" t="n">
        <v>21</v>
      </c>
      <c r="BX397" s="94" t="s">
        <v>696</v>
      </c>
    </row>
    <row r="398">
      <c r="A398" s="74"/>
      <c r="B398" s="75"/>
      <c r="C398" s="76" t="s">
        <v>697</v>
      </c>
      <c r="D398" s="77" t="s">
        <v>698</v>
      </c>
      <c r="E398" s="75"/>
      <c r="F398" s="78" t="n">
        <v>29.591</v>
      </c>
      <c r="G398" s="75"/>
      <c r="H398" s="75"/>
      <c r="I398" s="75"/>
      <c r="J398" s="75"/>
      <c r="K398" s="79"/>
    </row>
    <row r="399">
      <c r="A399" s="74"/>
      <c r="B399" s="75"/>
      <c r="C399" s="76" t="s">
        <v>699</v>
      </c>
      <c r="D399" s="77" t="s">
        <v>53</v>
      </c>
      <c r="E399" s="75"/>
      <c r="F399" s="78" t="n">
        <v>2.36728</v>
      </c>
      <c r="G399" s="75"/>
      <c r="H399" s="75"/>
      <c r="I399" s="75"/>
      <c r="J399" s="75"/>
      <c r="K399" s="79"/>
    </row>
    <row r="400">
      <c r="A400" s="58"/>
      <c r="B400" s="80" t="s">
        <v>108</v>
      </c>
      <c r="C400" s="59" t="s">
        <v>700</v>
      </c>
      <c r="D400" s="60"/>
      <c r="E400" s="60"/>
      <c r="F400" s="60"/>
      <c r="G400" s="60"/>
      <c r="H400" s="60"/>
      <c r="I400" s="60"/>
      <c r="J400" s="60"/>
      <c r="K400" s="61"/>
      <c r="BX400" s="95" t="s">
        <v>700</v>
      </c>
    </row>
    <row r="401">
      <c r="A401" s="82" t="s">
        <v>701</v>
      </c>
      <c r="B401" s="83" t="s">
        <v>702</v>
      </c>
      <c r="C401" s="84" t="s">
        <v>703</v>
      </c>
      <c r="D401" s="83"/>
      <c r="E401" s="83" t="s">
        <v>99</v>
      </c>
      <c r="F401" s="85" t="n">
        <v>0.53264</v>
      </c>
      <c r="G401" s="85" t="n">
        <v>0</v>
      </c>
      <c r="H401" s="85">
        <f>F401*AO401</f>
      </c>
      <c r="I401" s="85">
        <f>F401*AP401</f>
      </c>
      <c r="J401" s="85">
        <f>F401*G401</f>
      </c>
      <c r="K401" s="86" t="s">
        <v>100</v>
      </c>
      <c r="Z401" s="56">
        <f>IF(AQ401="5",BJ401,0)</f>
      </c>
      <c r="AB401" s="56">
        <f>IF(AQ401="1",BH401,0)</f>
      </c>
      <c r="AC401" s="56">
        <f>IF(AQ401="1",BI401,0)</f>
      </c>
      <c r="AD401" s="56">
        <f>IF(AQ401="7",BH401,0)</f>
      </c>
      <c r="AE401" s="56">
        <f>IF(AQ401="7",BI401,0)</f>
      </c>
      <c r="AF401" s="56">
        <f>IF(AQ401="2",BH401,0)</f>
      </c>
      <c r="AG401" s="56">
        <f>IF(AQ401="2",BI401,0)</f>
      </c>
      <c r="AH401" s="56">
        <f>IF(AQ401="0",BJ401,0)</f>
      </c>
      <c r="AI401" s="28" t="s">
        <v>57</v>
      </c>
      <c r="AJ401" s="56">
        <f>IF(AN401=0,J401,0)</f>
      </c>
      <c r="AK401" s="56">
        <f>IF(AN401=12,J401,0)</f>
      </c>
      <c r="AL401" s="56">
        <f>IF(AN401=21,J401,0)</f>
      </c>
      <c r="AN401" s="56" t="n">
        <v>21</v>
      </c>
      <c r="AO401" s="56">
        <f>G401*0.999993095</f>
      </c>
      <c r="AP401" s="56">
        <f>G401*(1-0.999993095)</f>
      </c>
      <c r="AQ401" s="57" t="s">
        <v>85</v>
      </c>
      <c r="AV401" s="56">
        <f>AW401+AX401</f>
      </c>
      <c r="AW401" s="56">
        <f>F401*AO401</f>
      </c>
      <c r="AX401" s="56">
        <f>F401*AP401</f>
      </c>
      <c r="AY401" s="57" t="s">
        <v>535</v>
      </c>
      <c r="AZ401" s="57" t="s">
        <v>536</v>
      </c>
      <c r="BA401" s="28" t="s">
        <v>64</v>
      </c>
      <c r="BC401" s="56">
        <f>AW401+AX401</f>
      </c>
      <c r="BD401" s="56">
        <f>G401/(100-BE401)*100</f>
      </c>
      <c r="BE401" s="56" t="n">
        <v>0</v>
      </c>
      <c r="BF401" s="56">
        <f>401</f>
      </c>
      <c r="BH401" s="56">
        <f>F401*AO401</f>
      </c>
      <c r="BI401" s="56">
        <f>F401*AP401</f>
      </c>
      <c r="BJ401" s="56">
        <f>F401*G401</f>
      </c>
      <c r="BK401" s="56"/>
      <c r="BL401" s="56" t="n">
        <v>762</v>
      </c>
      <c r="BW401" s="56" t="n">
        <v>21</v>
      </c>
      <c r="BX401" s="14" t="s">
        <v>703</v>
      </c>
    </row>
    <row r="402">
      <c r="A402" s="74"/>
      <c r="B402" s="75"/>
      <c r="C402" s="76" t="s">
        <v>704</v>
      </c>
      <c r="D402" s="77" t="s">
        <v>698</v>
      </c>
      <c r="E402" s="75"/>
      <c r="F402" s="78" t="n">
        <v>0.53264</v>
      </c>
      <c r="G402" s="75"/>
      <c r="H402" s="75"/>
      <c r="I402" s="75"/>
      <c r="J402" s="75"/>
      <c r="K402" s="79"/>
    </row>
    <row r="403">
      <c r="A403" s="58"/>
      <c r="B403" s="80" t="s">
        <v>108</v>
      </c>
      <c r="C403" s="59" t="s">
        <v>705</v>
      </c>
      <c r="D403" s="60"/>
      <c r="E403" s="60"/>
      <c r="F403" s="60"/>
      <c r="G403" s="60"/>
      <c r="H403" s="60"/>
      <c r="I403" s="60"/>
      <c r="J403" s="60"/>
      <c r="K403" s="61"/>
      <c r="BX403" s="81" t="s">
        <v>705</v>
      </c>
    </row>
    <row r="404">
      <c r="A404" s="82" t="s">
        <v>706</v>
      </c>
      <c r="B404" s="83" t="s">
        <v>707</v>
      </c>
      <c r="C404" s="84" t="s">
        <v>708</v>
      </c>
      <c r="D404" s="83"/>
      <c r="E404" s="83" t="s">
        <v>130</v>
      </c>
      <c r="F404" s="85" t="n">
        <v>310.725</v>
      </c>
      <c r="G404" s="85" t="n">
        <v>0</v>
      </c>
      <c r="H404" s="85">
        <f>F404*AO404</f>
      </c>
      <c r="I404" s="85">
        <f>F404*AP404</f>
      </c>
      <c r="J404" s="85">
        <f>F404*G404</f>
      </c>
      <c r="K404" s="86" t="s">
        <v>100</v>
      </c>
      <c r="Z404" s="56">
        <f>IF(AQ404="5",BJ404,0)</f>
      </c>
      <c r="AB404" s="56">
        <f>IF(AQ404="1",BH404,0)</f>
      </c>
      <c r="AC404" s="56">
        <f>IF(AQ404="1",BI404,0)</f>
      </c>
      <c r="AD404" s="56">
        <f>IF(AQ404="7",BH404,0)</f>
      </c>
      <c r="AE404" s="56">
        <f>IF(AQ404="7",BI404,0)</f>
      </c>
      <c r="AF404" s="56">
        <f>IF(AQ404="2",BH404,0)</f>
      </c>
      <c r="AG404" s="56">
        <f>IF(AQ404="2",BI404,0)</f>
      </c>
      <c r="AH404" s="56">
        <f>IF(AQ404="0",BJ404,0)</f>
      </c>
      <c r="AI404" s="28" t="s">
        <v>57</v>
      </c>
      <c r="AJ404" s="56">
        <f>IF(AN404=0,J404,0)</f>
      </c>
      <c r="AK404" s="56">
        <f>IF(AN404=12,J404,0)</f>
      </c>
      <c r="AL404" s="56">
        <f>IF(AN404=21,J404,0)</f>
      </c>
      <c r="AN404" s="56" t="n">
        <v>21</v>
      </c>
      <c r="AO404" s="56">
        <f>G404*0</f>
      </c>
      <c r="AP404" s="56">
        <f>G404*(1-0)</f>
      </c>
      <c r="AQ404" s="57" t="s">
        <v>85</v>
      </c>
      <c r="AV404" s="56">
        <f>AW404+AX404</f>
      </c>
      <c r="AW404" s="56">
        <f>F404*AO404</f>
      </c>
      <c r="AX404" s="56">
        <f>F404*AP404</f>
      </c>
      <c r="AY404" s="57" t="s">
        <v>535</v>
      </c>
      <c r="AZ404" s="57" t="s">
        <v>536</v>
      </c>
      <c r="BA404" s="28" t="s">
        <v>64</v>
      </c>
      <c r="BC404" s="56">
        <f>AW404+AX404</f>
      </c>
      <c r="BD404" s="56">
        <f>G404/(100-BE404)*100</f>
      </c>
      <c r="BE404" s="56" t="n">
        <v>0</v>
      </c>
      <c r="BF404" s="56">
        <f>404</f>
      </c>
      <c r="BH404" s="56">
        <f>F404*AO404</f>
      </c>
      <c r="BI404" s="56">
        <f>F404*AP404</f>
      </c>
      <c r="BJ404" s="56">
        <f>F404*G404</f>
      </c>
      <c r="BK404" s="56"/>
      <c r="BL404" s="56" t="n">
        <v>762</v>
      </c>
      <c r="BW404" s="56" t="n">
        <v>21</v>
      </c>
      <c r="BX404" s="14" t="s">
        <v>708</v>
      </c>
    </row>
    <row r="405">
      <c r="A405" s="74"/>
      <c r="B405" s="75"/>
      <c r="C405" s="76" t="s">
        <v>472</v>
      </c>
      <c r="D405" s="77" t="s">
        <v>709</v>
      </c>
      <c r="E405" s="75"/>
      <c r="F405" s="78" t="n">
        <v>300.25</v>
      </c>
      <c r="G405" s="75"/>
      <c r="H405" s="75"/>
      <c r="I405" s="75"/>
      <c r="J405" s="75"/>
      <c r="K405" s="79"/>
    </row>
    <row r="406">
      <c r="A406" s="74"/>
      <c r="B406" s="75"/>
      <c r="C406" s="76" t="s">
        <v>710</v>
      </c>
      <c r="D406" s="77" t="s">
        <v>711</v>
      </c>
      <c r="E406" s="75"/>
      <c r="F406" s="78" t="n">
        <v>10.475</v>
      </c>
      <c r="G406" s="75"/>
      <c r="H406" s="75"/>
      <c r="I406" s="75"/>
      <c r="J406" s="75"/>
      <c r="K406" s="79"/>
    </row>
    <row r="407">
      <c r="A407" s="58"/>
      <c r="B407" s="80" t="s">
        <v>108</v>
      </c>
      <c r="C407" s="59" t="s">
        <v>712</v>
      </c>
      <c r="D407" s="60"/>
      <c r="E407" s="60"/>
      <c r="F407" s="60"/>
      <c r="G407" s="60"/>
      <c r="H407" s="60"/>
      <c r="I407" s="60"/>
      <c r="J407" s="60"/>
      <c r="K407" s="61"/>
      <c r="BX407" s="81" t="s">
        <v>712</v>
      </c>
    </row>
    <row r="408">
      <c r="A408" s="87" t="s">
        <v>713</v>
      </c>
      <c r="B408" s="88" t="s">
        <v>714</v>
      </c>
      <c r="C408" s="89" t="s">
        <v>715</v>
      </c>
      <c r="D408" s="88"/>
      <c r="E408" s="88" t="s">
        <v>130</v>
      </c>
      <c r="F408" s="90" t="n">
        <v>341.7975</v>
      </c>
      <c r="G408" s="90" t="n">
        <v>0</v>
      </c>
      <c r="H408" s="90">
        <f>F408*AO408</f>
      </c>
      <c r="I408" s="90">
        <f>F408*AP408</f>
      </c>
      <c r="J408" s="90">
        <f>F408*G408</f>
      </c>
      <c r="K408" s="91" t="s">
        <v>716</v>
      </c>
      <c r="Z408" s="56">
        <f>IF(AQ408="5",BJ408,0)</f>
      </c>
      <c r="AB408" s="56">
        <f>IF(AQ408="1",BH408,0)</f>
      </c>
      <c r="AC408" s="56">
        <f>IF(AQ408="1",BI408,0)</f>
      </c>
      <c r="AD408" s="56">
        <f>IF(AQ408="7",BH408,0)</f>
      </c>
      <c r="AE408" s="56">
        <f>IF(AQ408="7",BI408,0)</f>
      </c>
      <c r="AF408" s="56">
        <f>IF(AQ408="2",BH408,0)</f>
      </c>
      <c r="AG408" s="56">
        <f>IF(AQ408="2",BI408,0)</f>
      </c>
      <c r="AH408" s="56">
        <f>IF(AQ408="0",BJ408,0)</f>
      </c>
      <c r="AI408" s="28" t="s">
        <v>57</v>
      </c>
      <c r="AJ408" s="92">
        <f>IF(AN408=0,J408,0)</f>
      </c>
      <c r="AK408" s="92">
        <f>IF(AN408=12,J408,0)</f>
      </c>
      <c r="AL408" s="92">
        <f>IF(AN408=21,J408,0)</f>
      </c>
      <c r="AN408" s="56" t="n">
        <v>21</v>
      </c>
      <c r="AO408" s="56">
        <f>G408*1</f>
      </c>
      <c r="AP408" s="56">
        <f>G408*(1-1)</f>
      </c>
      <c r="AQ408" s="93" t="s">
        <v>85</v>
      </c>
      <c r="AV408" s="56">
        <f>AW408+AX408</f>
      </c>
      <c r="AW408" s="56">
        <f>F408*AO408</f>
      </c>
      <c r="AX408" s="56">
        <f>F408*AP408</f>
      </c>
      <c r="AY408" s="57" t="s">
        <v>535</v>
      </c>
      <c r="AZ408" s="57" t="s">
        <v>536</v>
      </c>
      <c r="BA408" s="28" t="s">
        <v>64</v>
      </c>
      <c r="BC408" s="56">
        <f>AW408+AX408</f>
      </c>
      <c r="BD408" s="56">
        <f>G408/(100-BE408)*100</f>
      </c>
      <c r="BE408" s="56" t="n">
        <v>0</v>
      </c>
      <c r="BF408" s="56">
        <f>408</f>
      </c>
      <c r="BH408" s="92">
        <f>F408*AO408</f>
      </c>
      <c r="BI408" s="92">
        <f>F408*AP408</f>
      </c>
      <c r="BJ408" s="92">
        <f>F408*G408</f>
      </c>
      <c r="BK408" s="92"/>
      <c r="BL408" s="56" t="n">
        <v>762</v>
      </c>
      <c r="BW408" s="56" t="n">
        <v>21</v>
      </c>
      <c r="BX408" s="94" t="s">
        <v>715</v>
      </c>
    </row>
    <row r="409">
      <c r="A409" s="74"/>
      <c r="B409" s="75"/>
      <c r="C409" s="76" t="s">
        <v>472</v>
      </c>
      <c r="D409" s="77" t="s">
        <v>473</v>
      </c>
      <c r="E409" s="75"/>
      <c r="F409" s="78" t="n">
        <v>300.25</v>
      </c>
      <c r="G409" s="75"/>
      <c r="H409" s="75"/>
      <c r="I409" s="75"/>
      <c r="J409" s="75"/>
      <c r="K409" s="79"/>
    </row>
    <row r="410">
      <c r="A410" s="74"/>
      <c r="B410" s="75"/>
      <c r="C410" s="76" t="s">
        <v>710</v>
      </c>
      <c r="D410" s="77" t="s">
        <v>711</v>
      </c>
      <c r="E410" s="75"/>
      <c r="F410" s="78" t="n">
        <v>10.475</v>
      </c>
      <c r="G410" s="75"/>
      <c r="H410" s="75"/>
      <c r="I410" s="75"/>
      <c r="J410" s="75"/>
      <c r="K410" s="79"/>
    </row>
    <row r="411">
      <c r="A411" s="74"/>
      <c r="B411" s="75"/>
      <c r="C411" s="76" t="s">
        <v>717</v>
      </c>
      <c r="D411" s="77" t="s">
        <v>53</v>
      </c>
      <c r="E411" s="75"/>
      <c r="F411" s="78" t="n">
        <v>31.0725</v>
      </c>
      <c r="G411" s="75"/>
      <c r="H411" s="75"/>
      <c r="I411" s="75"/>
      <c r="J411" s="75"/>
      <c r="K411" s="79"/>
    </row>
    <row r="412" ht="48.75">
      <c r="A412" s="58"/>
      <c r="B412" s="80" t="s">
        <v>108</v>
      </c>
      <c r="C412" s="59" t="s">
        <v>718</v>
      </c>
      <c r="D412" s="60"/>
      <c r="E412" s="60"/>
      <c r="F412" s="60"/>
      <c r="G412" s="60"/>
      <c r="H412" s="60"/>
      <c r="I412" s="60"/>
      <c r="J412" s="60"/>
      <c r="K412" s="61"/>
      <c r="BX412" s="95" t="s">
        <v>718</v>
      </c>
    </row>
    <row r="413">
      <c r="A413" s="82" t="s">
        <v>719</v>
      </c>
      <c r="B413" s="83" t="s">
        <v>720</v>
      </c>
      <c r="C413" s="84" t="s">
        <v>721</v>
      </c>
      <c r="D413" s="83"/>
      <c r="E413" s="83" t="s">
        <v>99</v>
      </c>
      <c r="F413" s="85" t="n">
        <v>7.50625</v>
      </c>
      <c r="G413" s="85" t="n">
        <v>0</v>
      </c>
      <c r="H413" s="85">
        <f>F413*AO413</f>
      </c>
      <c r="I413" s="85">
        <f>F413*AP413</f>
      </c>
      <c r="J413" s="85">
        <f>F413*G413</f>
      </c>
      <c r="K413" s="86" t="s">
        <v>100</v>
      </c>
      <c r="Z413" s="56">
        <f>IF(AQ413="5",BJ413,0)</f>
      </c>
      <c r="AB413" s="56">
        <f>IF(AQ413="1",BH413,0)</f>
      </c>
      <c r="AC413" s="56">
        <f>IF(AQ413="1",BI413,0)</f>
      </c>
      <c r="AD413" s="56">
        <f>IF(AQ413="7",BH413,0)</f>
      </c>
      <c r="AE413" s="56">
        <f>IF(AQ413="7",BI413,0)</f>
      </c>
      <c r="AF413" s="56">
        <f>IF(AQ413="2",BH413,0)</f>
      </c>
      <c r="AG413" s="56">
        <f>IF(AQ413="2",BI413,0)</f>
      </c>
      <c r="AH413" s="56">
        <f>IF(AQ413="0",BJ413,0)</f>
      </c>
      <c r="AI413" s="28" t="s">
        <v>57</v>
      </c>
      <c r="AJ413" s="56">
        <f>IF(AN413=0,J413,0)</f>
      </c>
      <c r="AK413" s="56">
        <f>IF(AN413=12,J413,0)</f>
      </c>
      <c r="AL413" s="56">
        <f>IF(AN413=21,J413,0)</f>
      </c>
      <c r="AN413" s="56" t="n">
        <v>21</v>
      </c>
      <c r="AO413" s="56">
        <f>G413*1.000000252</f>
      </c>
      <c r="AP413" s="56">
        <f>G413*(1-1.000000252)</f>
      </c>
      <c r="AQ413" s="57" t="s">
        <v>85</v>
      </c>
      <c r="AV413" s="56">
        <f>AW413+AX413</f>
      </c>
      <c r="AW413" s="56">
        <f>F413*AO413</f>
      </c>
      <c r="AX413" s="56">
        <f>F413*AP413</f>
      </c>
      <c r="AY413" s="57" t="s">
        <v>535</v>
      </c>
      <c r="AZ413" s="57" t="s">
        <v>536</v>
      </c>
      <c r="BA413" s="28" t="s">
        <v>64</v>
      </c>
      <c r="BC413" s="56">
        <f>AW413+AX413</f>
      </c>
      <c r="BD413" s="56">
        <f>G413/(100-BE413)*100</f>
      </c>
      <c r="BE413" s="56" t="n">
        <v>0</v>
      </c>
      <c r="BF413" s="56">
        <f>413</f>
      </c>
      <c r="BH413" s="56">
        <f>F413*AO413</f>
      </c>
      <c r="BI413" s="56">
        <f>F413*AP413</f>
      </c>
      <c r="BJ413" s="56">
        <f>F413*G413</f>
      </c>
      <c r="BK413" s="56"/>
      <c r="BL413" s="56" t="n">
        <v>762</v>
      </c>
      <c r="BW413" s="56" t="n">
        <v>21</v>
      </c>
      <c r="BX413" s="14" t="s">
        <v>721</v>
      </c>
    </row>
    <row r="414">
      <c r="A414" s="74"/>
      <c r="B414" s="75"/>
      <c r="C414" s="76" t="s">
        <v>722</v>
      </c>
      <c r="D414" s="77" t="s">
        <v>709</v>
      </c>
      <c r="E414" s="75"/>
      <c r="F414" s="78" t="n">
        <v>7.50625</v>
      </c>
      <c r="G414" s="75"/>
      <c r="H414" s="75"/>
      <c r="I414" s="75"/>
      <c r="J414" s="75"/>
      <c r="K414" s="79"/>
    </row>
    <row r="415">
      <c r="A415" s="58"/>
      <c r="B415" s="80" t="s">
        <v>108</v>
      </c>
      <c r="C415" s="59" t="s">
        <v>723</v>
      </c>
      <c r="D415" s="60"/>
      <c r="E415" s="60"/>
      <c r="F415" s="60"/>
      <c r="G415" s="60"/>
      <c r="H415" s="60"/>
      <c r="I415" s="60"/>
      <c r="J415" s="60"/>
      <c r="K415" s="61"/>
      <c r="BX415" s="81" t="s">
        <v>723</v>
      </c>
    </row>
    <row r="416">
      <c r="A416" s="82" t="s">
        <v>724</v>
      </c>
      <c r="B416" s="83" t="s">
        <v>725</v>
      </c>
      <c r="C416" s="84" t="s">
        <v>726</v>
      </c>
      <c r="D416" s="83"/>
      <c r="E416" s="83" t="s">
        <v>130</v>
      </c>
      <c r="F416" s="85" t="n">
        <v>20.03</v>
      </c>
      <c r="G416" s="85" t="n">
        <v>0</v>
      </c>
      <c r="H416" s="85">
        <f>F416*AO416</f>
      </c>
      <c r="I416" s="85">
        <f>F416*AP416</f>
      </c>
      <c r="J416" s="85">
        <f>F416*G416</f>
      </c>
      <c r="K416" s="86" t="s">
        <v>100</v>
      </c>
      <c r="Z416" s="56">
        <f>IF(AQ416="5",BJ416,0)</f>
      </c>
      <c r="AB416" s="56">
        <f>IF(AQ416="1",BH416,0)</f>
      </c>
      <c r="AC416" s="56">
        <f>IF(AQ416="1",BI416,0)</f>
      </c>
      <c r="AD416" s="56">
        <f>IF(AQ416="7",BH416,0)</f>
      </c>
      <c r="AE416" s="56">
        <f>IF(AQ416="7",BI416,0)</f>
      </c>
      <c r="AF416" s="56">
        <f>IF(AQ416="2",BH416,0)</f>
      </c>
      <c r="AG416" s="56">
        <f>IF(AQ416="2",BI416,0)</f>
      </c>
      <c r="AH416" s="56">
        <f>IF(AQ416="0",BJ416,0)</f>
      </c>
      <c r="AI416" s="28" t="s">
        <v>57</v>
      </c>
      <c r="AJ416" s="56">
        <f>IF(AN416=0,J416,0)</f>
      </c>
      <c r="AK416" s="56">
        <f>IF(AN416=12,J416,0)</f>
      </c>
      <c r="AL416" s="56">
        <f>IF(AN416=21,J416,0)</f>
      </c>
      <c r="AN416" s="56" t="n">
        <v>21</v>
      </c>
      <c r="AO416" s="56">
        <f>G416*0.00997669</f>
      </c>
      <c r="AP416" s="56">
        <f>G416*(1-0.00997669)</f>
      </c>
      <c r="AQ416" s="57" t="s">
        <v>85</v>
      </c>
      <c r="AV416" s="56">
        <f>AW416+AX416</f>
      </c>
      <c r="AW416" s="56">
        <f>F416*AO416</f>
      </c>
      <c r="AX416" s="56">
        <f>F416*AP416</f>
      </c>
      <c r="AY416" s="57" t="s">
        <v>535</v>
      </c>
      <c r="AZ416" s="57" t="s">
        <v>536</v>
      </c>
      <c r="BA416" s="28" t="s">
        <v>64</v>
      </c>
      <c r="BC416" s="56">
        <f>AW416+AX416</f>
      </c>
      <c r="BD416" s="56">
        <f>G416/(100-BE416)*100</f>
      </c>
      <c r="BE416" s="56" t="n">
        <v>0</v>
      </c>
      <c r="BF416" s="56">
        <f>416</f>
      </c>
      <c r="BH416" s="56">
        <f>F416*AO416</f>
      </c>
      <c r="BI416" s="56">
        <f>F416*AP416</f>
      </c>
      <c r="BJ416" s="56">
        <f>F416*G416</f>
      </c>
      <c r="BK416" s="56"/>
      <c r="BL416" s="56" t="n">
        <v>762</v>
      </c>
      <c r="BW416" s="56" t="n">
        <v>21</v>
      </c>
      <c r="BX416" s="14" t="s">
        <v>726</v>
      </c>
    </row>
    <row r="417">
      <c r="A417" s="74"/>
      <c r="B417" s="75"/>
      <c r="C417" s="76" t="s">
        <v>727</v>
      </c>
      <c r="D417" s="77" t="s">
        <v>728</v>
      </c>
      <c r="E417" s="75"/>
      <c r="F417" s="78" t="n">
        <v>0</v>
      </c>
      <c r="G417" s="75"/>
      <c r="H417" s="75"/>
      <c r="I417" s="75"/>
      <c r="J417" s="75"/>
      <c r="K417" s="79"/>
    </row>
    <row r="418">
      <c r="A418" s="74"/>
      <c r="B418" s="75"/>
      <c r="C418" s="76" t="s">
        <v>729</v>
      </c>
      <c r="D418" s="77" t="s">
        <v>730</v>
      </c>
      <c r="E418" s="75"/>
      <c r="F418" s="78" t="n">
        <v>10.7616</v>
      </c>
      <c r="G418" s="75"/>
      <c r="H418" s="75"/>
      <c r="I418" s="75"/>
      <c r="J418" s="75"/>
      <c r="K418" s="79"/>
    </row>
    <row r="419">
      <c r="A419" s="74"/>
      <c r="B419" s="75"/>
      <c r="C419" s="76" t="s">
        <v>731</v>
      </c>
      <c r="D419" s="77" t="s">
        <v>732</v>
      </c>
      <c r="E419" s="75"/>
      <c r="F419" s="78" t="n">
        <v>7.7644</v>
      </c>
      <c r="G419" s="75"/>
      <c r="H419" s="75"/>
      <c r="I419" s="75"/>
      <c r="J419" s="75"/>
      <c r="K419" s="79"/>
    </row>
    <row r="420">
      <c r="A420" s="74"/>
      <c r="B420" s="75"/>
      <c r="C420" s="76" t="s">
        <v>733</v>
      </c>
      <c r="D420" s="77" t="s">
        <v>734</v>
      </c>
      <c r="E420" s="75"/>
      <c r="F420" s="78" t="n">
        <v>1.504</v>
      </c>
      <c r="G420" s="75"/>
      <c r="H420" s="75"/>
      <c r="I420" s="75"/>
      <c r="J420" s="75"/>
      <c r="K420" s="79"/>
    </row>
    <row r="421">
      <c r="A421" s="58"/>
      <c r="B421" s="80" t="s">
        <v>108</v>
      </c>
      <c r="C421" s="59" t="s">
        <v>735</v>
      </c>
      <c r="D421" s="60"/>
      <c r="E421" s="60"/>
      <c r="F421" s="60"/>
      <c r="G421" s="60"/>
      <c r="H421" s="60"/>
      <c r="I421" s="60"/>
      <c r="J421" s="60"/>
      <c r="K421" s="61"/>
      <c r="BX421" s="81" t="s">
        <v>735</v>
      </c>
    </row>
    <row r="422">
      <c r="A422" s="82" t="s">
        <v>736</v>
      </c>
      <c r="B422" s="83" t="s">
        <v>737</v>
      </c>
      <c r="C422" s="84" t="s">
        <v>738</v>
      </c>
      <c r="D422" s="83"/>
      <c r="E422" s="83" t="s">
        <v>739</v>
      </c>
      <c r="F422" s="85" t="n">
        <v>33</v>
      </c>
      <c r="G422" s="85" t="n">
        <v>0</v>
      </c>
      <c r="H422" s="85">
        <f>F422*AO422</f>
      </c>
      <c r="I422" s="85">
        <f>F422*AP422</f>
      </c>
      <c r="J422" s="85">
        <f>F422*G422</f>
      </c>
      <c r="K422" s="86" t="s">
        <v>100</v>
      </c>
      <c r="Z422" s="56">
        <f>IF(AQ422="5",BJ422,0)</f>
      </c>
      <c r="AB422" s="56">
        <f>IF(AQ422="1",BH422,0)</f>
      </c>
      <c r="AC422" s="56">
        <f>IF(AQ422="1",BI422,0)</f>
      </c>
      <c r="AD422" s="56">
        <f>IF(AQ422="7",BH422,0)</f>
      </c>
      <c r="AE422" s="56">
        <f>IF(AQ422="7",BI422,0)</f>
      </c>
      <c r="AF422" s="56">
        <f>IF(AQ422="2",BH422,0)</f>
      </c>
      <c r="AG422" s="56">
        <f>IF(AQ422="2",BI422,0)</f>
      </c>
      <c r="AH422" s="56">
        <f>IF(AQ422="0",BJ422,0)</f>
      </c>
      <c r="AI422" s="28" t="s">
        <v>57</v>
      </c>
      <c r="AJ422" s="56">
        <f>IF(AN422=0,J422,0)</f>
      </c>
      <c r="AK422" s="56">
        <f>IF(AN422=12,J422,0)</f>
      </c>
      <c r="AL422" s="56">
        <f>IF(AN422=21,J422,0)</f>
      </c>
      <c r="AN422" s="56" t="n">
        <v>21</v>
      </c>
      <c r="AO422" s="56">
        <f>G422*0.199153439</f>
      </c>
      <c r="AP422" s="56">
        <f>G422*(1-0.199153439)</f>
      </c>
      <c r="AQ422" s="57" t="s">
        <v>85</v>
      </c>
      <c r="AV422" s="56">
        <f>AW422+AX422</f>
      </c>
      <c r="AW422" s="56">
        <f>F422*AO422</f>
      </c>
      <c r="AX422" s="56">
        <f>F422*AP422</f>
      </c>
      <c r="AY422" s="57" t="s">
        <v>535</v>
      </c>
      <c r="AZ422" s="57" t="s">
        <v>536</v>
      </c>
      <c r="BA422" s="28" t="s">
        <v>64</v>
      </c>
      <c r="BC422" s="56">
        <f>AW422+AX422</f>
      </c>
      <c r="BD422" s="56">
        <f>G422/(100-BE422)*100</f>
      </c>
      <c r="BE422" s="56" t="n">
        <v>0</v>
      </c>
      <c r="BF422" s="56">
        <f>422</f>
      </c>
      <c r="BH422" s="56">
        <f>F422*AO422</f>
      </c>
      <c r="BI422" s="56">
        <f>F422*AP422</f>
      </c>
      <c r="BJ422" s="56">
        <f>F422*G422</f>
      </c>
      <c r="BK422" s="56"/>
      <c r="BL422" s="56" t="n">
        <v>762</v>
      </c>
      <c r="BW422" s="56" t="n">
        <v>21</v>
      </c>
      <c r="BX422" s="14" t="s">
        <v>738</v>
      </c>
    </row>
    <row r="423" customHeight="true" ht="13.5">
      <c r="A423" s="58"/>
      <c r="C423" s="59" t="s">
        <v>740</v>
      </c>
      <c r="D423" s="60"/>
      <c r="E423" s="60"/>
      <c r="F423" s="60"/>
      <c r="G423" s="60"/>
      <c r="H423" s="60"/>
      <c r="I423" s="60"/>
      <c r="J423" s="60"/>
      <c r="K423" s="61"/>
    </row>
    <row r="424">
      <c r="A424" s="68"/>
      <c r="B424" s="69"/>
      <c r="C424" s="70" t="s">
        <v>116</v>
      </c>
      <c r="D424" s="71" t="s">
        <v>53</v>
      </c>
      <c r="E424" s="69"/>
      <c r="F424" s="72" t="n">
        <v>33</v>
      </c>
      <c r="G424" s="69"/>
      <c r="H424" s="69"/>
      <c r="I424" s="69"/>
      <c r="J424" s="69"/>
      <c r="K424" s="73"/>
    </row>
    <row r="425">
      <c r="A425" s="58"/>
      <c r="B425" s="80" t="s">
        <v>108</v>
      </c>
      <c r="C425" s="59" t="s">
        <v>741</v>
      </c>
      <c r="D425" s="60"/>
      <c r="E425" s="60"/>
      <c r="F425" s="60"/>
      <c r="G425" s="60"/>
      <c r="H425" s="60"/>
      <c r="I425" s="60"/>
      <c r="J425" s="60"/>
      <c r="K425" s="61"/>
      <c r="BX425" s="81" t="s">
        <v>741</v>
      </c>
    </row>
    <row r="426">
      <c r="A426" s="82" t="s">
        <v>742</v>
      </c>
      <c r="B426" s="83" t="s">
        <v>743</v>
      </c>
      <c r="C426" s="84" t="s">
        <v>744</v>
      </c>
      <c r="D426" s="83"/>
      <c r="E426" s="83" t="s">
        <v>242</v>
      </c>
      <c r="F426" s="85" t="n">
        <v>16.54373</v>
      </c>
      <c r="G426" s="85" t="n">
        <v>0</v>
      </c>
      <c r="H426" s="85">
        <f>F426*AO426</f>
      </c>
      <c r="I426" s="85">
        <f>F426*AP426</f>
      </c>
      <c r="J426" s="85">
        <f>F426*G426</f>
      </c>
      <c r="K426" s="86" t="s">
        <v>100</v>
      </c>
      <c r="Z426" s="56">
        <f>IF(AQ426="5",BJ426,0)</f>
      </c>
      <c r="AB426" s="56">
        <f>IF(AQ426="1",BH426,0)</f>
      </c>
      <c r="AC426" s="56">
        <f>IF(AQ426="1",BI426,0)</f>
      </c>
      <c r="AD426" s="56">
        <f>IF(AQ426="7",BH426,0)</f>
      </c>
      <c r="AE426" s="56">
        <f>IF(AQ426="7",BI426,0)</f>
      </c>
      <c r="AF426" s="56">
        <f>IF(AQ426="2",BH426,0)</f>
      </c>
      <c r="AG426" s="56">
        <f>IF(AQ426="2",BI426,0)</f>
      </c>
      <c r="AH426" s="56">
        <f>IF(AQ426="0",BJ426,0)</f>
      </c>
      <c r="AI426" s="28" t="s">
        <v>57</v>
      </c>
      <c r="AJ426" s="56">
        <f>IF(AN426=0,J426,0)</f>
      </c>
      <c r="AK426" s="56">
        <f>IF(AN426=12,J426,0)</f>
      </c>
      <c r="AL426" s="56">
        <f>IF(AN426=21,J426,0)</f>
      </c>
      <c r="AN426" s="56" t="n">
        <v>21</v>
      </c>
      <c r="AO426" s="56">
        <f>G426*0</f>
      </c>
      <c r="AP426" s="56">
        <f>G426*(1-0)</f>
      </c>
      <c r="AQ426" s="57" t="s">
        <v>79</v>
      </c>
      <c r="AV426" s="56">
        <f>AW426+AX426</f>
      </c>
      <c r="AW426" s="56">
        <f>F426*AO426</f>
      </c>
      <c r="AX426" s="56">
        <f>F426*AP426</f>
      </c>
      <c r="AY426" s="57" t="s">
        <v>535</v>
      </c>
      <c r="AZ426" s="57" t="s">
        <v>536</v>
      </c>
      <c r="BA426" s="28" t="s">
        <v>64</v>
      </c>
      <c r="BC426" s="56">
        <f>AW426+AX426</f>
      </c>
      <c r="BD426" s="56">
        <f>G426/(100-BE426)*100</f>
      </c>
      <c r="BE426" s="56" t="n">
        <v>0</v>
      </c>
      <c r="BF426" s="56">
        <f>426</f>
      </c>
      <c r="BH426" s="56">
        <f>F426*AO426</f>
      </c>
      <c r="BI426" s="56">
        <f>F426*AP426</f>
      </c>
      <c r="BJ426" s="56">
        <f>F426*G426</f>
      </c>
      <c r="BK426" s="56"/>
      <c r="BL426" s="56" t="n">
        <v>762</v>
      </c>
      <c r="BW426" s="56" t="n">
        <v>21</v>
      </c>
      <c r="BX426" s="14" t="s">
        <v>744</v>
      </c>
    </row>
    <row r="427">
      <c r="A427" s="45" t="s">
        <v>53</v>
      </c>
      <c r="B427" s="46" t="s">
        <v>745</v>
      </c>
      <c r="C427" s="47" t="s">
        <v>746</v>
      </c>
      <c r="D427" s="46"/>
      <c r="E427" s="48" t="s">
        <v>34</v>
      </c>
      <c r="F427" s="48" t="s">
        <v>34</v>
      </c>
      <c r="G427" s="48" t="s">
        <v>34</v>
      </c>
      <c r="H427" s="49">
        <f>SUM(H428:H543)</f>
      </c>
      <c r="I427" s="49">
        <f>SUM(I428:I543)</f>
      </c>
      <c r="J427" s="49">
        <f>SUM(J428:J543)</f>
      </c>
      <c r="K427" s="50" t="s">
        <v>53</v>
      </c>
      <c r="AI427" s="28" t="s">
        <v>57</v>
      </c>
      <c r="AS427" s="2">
        <f>SUM(AJ428:AJ543)</f>
      </c>
      <c r="AT427" s="2">
        <f>SUM(AK428:AK543)</f>
      </c>
      <c r="AU427" s="2">
        <f>SUM(AL428:AL543)</f>
      </c>
    </row>
    <row r="428">
      <c r="A428" s="51" t="s">
        <v>747</v>
      </c>
      <c r="B428" s="52" t="s">
        <v>748</v>
      </c>
      <c r="C428" s="53" t="s">
        <v>749</v>
      </c>
      <c r="D428" s="52"/>
      <c r="E428" s="52" t="s">
        <v>393</v>
      </c>
      <c r="F428" s="54" t="n">
        <v>51.85</v>
      </c>
      <c r="G428" s="54" t="n">
        <v>0</v>
      </c>
      <c r="H428" s="54">
        <f>F428*AO428</f>
      </c>
      <c r="I428" s="54">
        <f>F428*AP428</f>
      </c>
      <c r="J428" s="54">
        <f>F428*G428</f>
      </c>
      <c r="K428" s="55" t="s">
        <v>100</v>
      </c>
      <c r="Z428" s="56">
        <f>IF(AQ428="5",BJ428,0)</f>
      </c>
      <c r="AB428" s="56">
        <f>IF(AQ428="1",BH428,0)</f>
      </c>
      <c r="AC428" s="56">
        <f>IF(AQ428="1",BI428,0)</f>
      </c>
      <c r="AD428" s="56">
        <f>IF(AQ428="7",BH428,0)</f>
      </c>
      <c r="AE428" s="56">
        <f>IF(AQ428="7",BI428,0)</f>
      </c>
      <c r="AF428" s="56">
        <f>IF(AQ428="2",BH428,0)</f>
      </c>
      <c r="AG428" s="56">
        <f>IF(AQ428="2",BI428,0)</f>
      </c>
      <c r="AH428" s="56">
        <f>IF(AQ428="0",BJ428,0)</f>
      </c>
      <c r="AI428" s="28" t="s">
        <v>57</v>
      </c>
      <c r="AJ428" s="56">
        <f>IF(AN428=0,J428,0)</f>
      </c>
      <c r="AK428" s="56">
        <f>IF(AN428=12,J428,0)</f>
      </c>
      <c r="AL428" s="56">
        <f>IF(AN428=21,J428,0)</f>
      </c>
      <c r="AN428" s="56" t="n">
        <v>21</v>
      </c>
      <c r="AO428" s="56">
        <f>G428*0</f>
      </c>
      <c r="AP428" s="56">
        <f>G428*(1-0)</f>
      </c>
      <c r="AQ428" s="57" t="s">
        <v>85</v>
      </c>
      <c r="AV428" s="56">
        <f>AW428+AX428</f>
      </c>
      <c r="AW428" s="56">
        <f>F428*AO428</f>
      </c>
      <c r="AX428" s="56">
        <f>F428*AP428</f>
      </c>
      <c r="AY428" s="57" t="s">
        <v>750</v>
      </c>
      <c r="AZ428" s="57" t="s">
        <v>536</v>
      </c>
      <c r="BA428" s="28" t="s">
        <v>64</v>
      </c>
      <c r="BC428" s="56">
        <f>AW428+AX428</f>
      </c>
      <c r="BD428" s="56">
        <f>G428/(100-BE428)*100</f>
      </c>
      <c r="BE428" s="56" t="n">
        <v>0</v>
      </c>
      <c r="BF428" s="56">
        <f>428</f>
      </c>
      <c r="BH428" s="56">
        <f>F428*AO428</f>
      </c>
      <c r="BI428" s="56">
        <f>F428*AP428</f>
      </c>
      <c r="BJ428" s="56">
        <f>F428*G428</f>
      </c>
      <c r="BK428" s="56"/>
      <c r="BL428" s="56" t="n">
        <v>764</v>
      </c>
      <c r="BW428" s="56" t="n">
        <v>21</v>
      </c>
      <c r="BX428" s="14" t="s">
        <v>749</v>
      </c>
    </row>
    <row r="429">
      <c r="A429" s="74"/>
      <c r="B429" s="75"/>
      <c r="C429" s="76" t="s">
        <v>751</v>
      </c>
      <c r="D429" s="77" t="s">
        <v>752</v>
      </c>
      <c r="E429" s="75"/>
      <c r="F429" s="78" t="n">
        <v>51.85</v>
      </c>
      <c r="G429" s="75"/>
      <c r="H429" s="75"/>
      <c r="I429" s="75"/>
      <c r="J429" s="75"/>
      <c r="K429" s="79"/>
    </row>
    <row r="430">
      <c r="A430" s="51" t="s">
        <v>753</v>
      </c>
      <c r="B430" s="52" t="s">
        <v>754</v>
      </c>
      <c r="C430" s="53" t="s">
        <v>755</v>
      </c>
      <c r="D430" s="52"/>
      <c r="E430" s="52" t="s">
        <v>393</v>
      </c>
      <c r="F430" s="54" t="n">
        <v>51.85</v>
      </c>
      <c r="G430" s="54" t="n">
        <v>0</v>
      </c>
      <c r="H430" s="54">
        <f>F430*AO430</f>
      </c>
      <c r="I430" s="54">
        <f>F430*AP430</f>
      </c>
      <c r="J430" s="54">
        <f>F430*G430</f>
      </c>
      <c r="K430" s="55" t="s">
        <v>100</v>
      </c>
      <c r="Z430" s="56">
        <f>IF(AQ430="5",BJ430,0)</f>
      </c>
      <c r="AB430" s="56">
        <f>IF(AQ430="1",BH430,0)</f>
      </c>
      <c r="AC430" s="56">
        <f>IF(AQ430="1",BI430,0)</f>
      </c>
      <c r="AD430" s="56">
        <f>IF(AQ430="7",BH430,0)</f>
      </c>
      <c r="AE430" s="56">
        <f>IF(AQ430="7",BI430,0)</f>
      </c>
      <c r="AF430" s="56">
        <f>IF(AQ430="2",BH430,0)</f>
      </c>
      <c r="AG430" s="56">
        <f>IF(AQ430="2",BI430,0)</f>
      </c>
      <c r="AH430" s="56">
        <f>IF(AQ430="0",BJ430,0)</f>
      </c>
      <c r="AI430" s="28" t="s">
        <v>57</v>
      </c>
      <c r="AJ430" s="56">
        <f>IF(AN430=0,J430,0)</f>
      </c>
      <c r="AK430" s="56">
        <f>IF(AN430=12,J430,0)</f>
      </c>
      <c r="AL430" s="56">
        <f>IF(AN430=21,J430,0)</f>
      </c>
      <c r="AN430" s="56" t="n">
        <v>21</v>
      </c>
      <c r="AO430" s="56">
        <f>G430*0</f>
      </c>
      <c r="AP430" s="56">
        <f>G430*(1-0)</f>
      </c>
      <c r="AQ430" s="57" t="s">
        <v>85</v>
      </c>
      <c r="AV430" s="56">
        <f>AW430+AX430</f>
      </c>
      <c r="AW430" s="56">
        <f>F430*AO430</f>
      </c>
      <c r="AX430" s="56">
        <f>F430*AP430</f>
      </c>
      <c r="AY430" s="57" t="s">
        <v>750</v>
      </c>
      <c r="AZ430" s="57" t="s">
        <v>536</v>
      </c>
      <c r="BA430" s="28" t="s">
        <v>64</v>
      </c>
      <c r="BC430" s="56">
        <f>AW430+AX430</f>
      </c>
      <c r="BD430" s="56">
        <f>G430/(100-BE430)*100</f>
      </c>
      <c r="BE430" s="56" t="n">
        <v>0</v>
      </c>
      <c r="BF430" s="56">
        <f>430</f>
      </c>
      <c r="BH430" s="56">
        <f>F430*AO430</f>
      </c>
      <c r="BI430" s="56">
        <f>F430*AP430</f>
      </c>
      <c r="BJ430" s="56">
        <f>F430*G430</f>
      </c>
      <c r="BK430" s="56"/>
      <c r="BL430" s="56" t="n">
        <v>764</v>
      </c>
      <c r="BW430" s="56" t="n">
        <v>21</v>
      </c>
      <c r="BX430" s="14" t="s">
        <v>755</v>
      </c>
    </row>
    <row r="431" customHeight="true" ht="27">
      <c r="A431" s="58"/>
      <c r="C431" s="59" t="s">
        <v>756</v>
      </c>
      <c r="D431" s="60"/>
      <c r="E431" s="60"/>
      <c r="F431" s="60"/>
      <c r="G431" s="60"/>
      <c r="H431" s="60"/>
      <c r="I431" s="60"/>
      <c r="J431" s="60"/>
      <c r="K431" s="61"/>
    </row>
    <row r="432">
      <c r="A432" s="68"/>
      <c r="B432" s="69"/>
      <c r="C432" s="70" t="s">
        <v>751</v>
      </c>
      <c r="D432" s="71" t="s">
        <v>757</v>
      </c>
      <c r="E432" s="69"/>
      <c r="F432" s="72" t="n">
        <v>51.85</v>
      </c>
      <c r="G432" s="69"/>
      <c r="H432" s="69"/>
      <c r="I432" s="69"/>
      <c r="J432" s="69"/>
      <c r="K432" s="73"/>
    </row>
    <row r="433">
      <c r="A433" s="58"/>
      <c r="B433" s="80" t="s">
        <v>108</v>
      </c>
      <c r="C433" s="59" t="s">
        <v>758</v>
      </c>
      <c r="D433" s="60"/>
      <c r="E433" s="60"/>
      <c r="F433" s="60"/>
      <c r="G433" s="60"/>
      <c r="H433" s="60"/>
      <c r="I433" s="60"/>
      <c r="J433" s="60"/>
      <c r="K433" s="61"/>
      <c r="BX433" s="81" t="s">
        <v>758</v>
      </c>
    </row>
    <row r="434">
      <c r="A434" s="82" t="s">
        <v>759</v>
      </c>
      <c r="B434" s="83" t="s">
        <v>760</v>
      </c>
      <c r="C434" s="84" t="s">
        <v>761</v>
      </c>
      <c r="D434" s="83"/>
      <c r="E434" s="83" t="s">
        <v>130</v>
      </c>
      <c r="F434" s="85" t="n">
        <v>265.628</v>
      </c>
      <c r="G434" s="85" t="n">
        <v>0</v>
      </c>
      <c r="H434" s="85">
        <f>F434*AO434</f>
      </c>
      <c r="I434" s="85">
        <f>F434*AP434</f>
      </c>
      <c r="J434" s="85">
        <f>F434*G434</f>
      </c>
      <c r="K434" s="86" t="s">
        <v>100</v>
      </c>
      <c r="Z434" s="56">
        <f>IF(AQ434="5",BJ434,0)</f>
      </c>
      <c r="AB434" s="56">
        <f>IF(AQ434="1",BH434,0)</f>
      </c>
      <c r="AC434" s="56">
        <f>IF(AQ434="1",BI434,0)</f>
      </c>
      <c r="AD434" s="56">
        <f>IF(AQ434="7",BH434,0)</f>
      </c>
      <c r="AE434" s="56">
        <f>IF(AQ434="7",BI434,0)</f>
      </c>
      <c r="AF434" s="56">
        <f>IF(AQ434="2",BH434,0)</f>
      </c>
      <c r="AG434" s="56">
        <f>IF(AQ434="2",BI434,0)</f>
      </c>
      <c r="AH434" s="56">
        <f>IF(AQ434="0",BJ434,0)</f>
      </c>
      <c r="AI434" s="28" t="s">
        <v>57</v>
      </c>
      <c r="AJ434" s="56">
        <f>IF(AN434=0,J434,0)</f>
      </c>
      <c r="AK434" s="56">
        <f>IF(AN434=12,J434,0)</f>
      </c>
      <c r="AL434" s="56">
        <f>IF(AN434=21,J434,0)</f>
      </c>
      <c r="AN434" s="56" t="n">
        <v>21</v>
      </c>
      <c r="AO434" s="56">
        <f>G434*0.789666039</f>
      </c>
      <c r="AP434" s="56">
        <f>G434*(1-0.789666039)</f>
      </c>
      <c r="AQ434" s="57" t="s">
        <v>85</v>
      </c>
      <c r="AV434" s="56">
        <f>AW434+AX434</f>
      </c>
      <c r="AW434" s="56">
        <f>F434*AO434</f>
      </c>
      <c r="AX434" s="56">
        <f>F434*AP434</f>
      </c>
      <c r="AY434" s="57" t="s">
        <v>750</v>
      </c>
      <c r="AZ434" s="57" t="s">
        <v>536</v>
      </c>
      <c r="BA434" s="28" t="s">
        <v>64</v>
      </c>
      <c r="BC434" s="56">
        <f>AW434+AX434</f>
      </c>
      <c r="BD434" s="56">
        <f>G434/(100-BE434)*100</f>
      </c>
      <c r="BE434" s="56" t="n">
        <v>0</v>
      </c>
      <c r="BF434" s="56">
        <f>434</f>
      </c>
      <c r="BH434" s="56">
        <f>F434*AO434</f>
      </c>
      <c r="BI434" s="56">
        <f>F434*AP434</f>
      </c>
      <c r="BJ434" s="56">
        <f>F434*G434</f>
      </c>
      <c r="BK434" s="56"/>
      <c r="BL434" s="56" t="n">
        <v>764</v>
      </c>
      <c r="BW434" s="56" t="n">
        <v>21</v>
      </c>
      <c r="BX434" s="14" t="s">
        <v>761</v>
      </c>
    </row>
    <row r="435">
      <c r="A435" s="74"/>
      <c r="B435" s="75"/>
      <c r="C435" s="76" t="s">
        <v>472</v>
      </c>
      <c r="D435" s="77" t="s">
        <v>473</v>
      </c>
      <c r="E435" s="75"/>
      <c r="F435" s="78" t="n">
        <v>300.25</v>
      </c>
      <c r="G435" s="75"/>
      <c r="H435" s="75"/>
      <c r="I435" s="75"/>
      <c r="J435" s="75"/>
      <c r="K435" s="79"/>
    </row>
    <row r="436">
      <c r="A436" s="74"/>
      <c r="B436" s="75"/>
      <c r="C436" s="76" t="s">
        <v>459</v>
      </c>
      <c r="D436" s="77" t="s">
        <v>159</v>
      </c>
      <c r="E436" s="75"/>
      <c r="F436" s="78" t="n">
        <v>-34.622</v>
      </c>
      <c r="G436" s="75"/>
      <c r="H436" s="75"/>
      <c r="I436" s="75"/>
      <c r="J436" s="75"/>
      <c r="K436" s="79"/>
    </row>
    <row r="437">
      <c r="A437" s="58"/>
      <c r="B437" s="80" t="s">
        <v>108</v>
      </c>
      <c r="C437" s="59" t="s">
        <v>762</v>
      </c>
      <c r="D437" s="60"/>
      <c r="E437" s="60"/>
      <c r="F437" s="60"/>
      <c r="G437" s="60"/>
      <c r="H437" s="60"/>
      <c r="I437" s="60"/>
      <c r="J437" s="60"/>
      <c r="K437" s="61"/>
      <c r="BX437" s="81" t="s">
        <v>762</v>
      </c>
    </row>
    <row r="438">
      <c r="A438" s="82" t="s">
        <v>763</v>
      </c>
      <c r="B438" s="83" t="s">
        <v>764</v>
      </c>
      <c r="C438" s="84" t="s">
        <v>765</v>
      </c>
      <c r="D438" s="83"/>
      <c r="E438" s="83" t="s">
        <v>130</v>
      </c>
      <c r="F438" s="85" t="n">
        <v>301.438</v>
      </c>
      <c r="G438" s="85" t="n">
        <v>0</v>
      </c>
      <c r="H438" s="85">
        <f>F438*AO438</f>
      </c>
      <c r="I438" s="85">
        <f>F438*AP438</f>
      </c>
      <c r="J438" s="85">
        <f>F438*G438</f>
      </c>
      <c r="K438" s="86" t="s">
        <v>100</v>
      </c>
      <c r="Z438" s="56">
        <f>IF(AQ438="5",BJ438,0)</f>
      </c>
      <c r="AB438" s="56">
        <f>IF(AQ438="1",BH438,0)</f>
      </c>
      <c r="AC438" s="56">
        <f>IF(AQ438="1",BI438,0)</f>
      </c>
      <c r="AD438" s="56">
        <f>IF(AQ438="7",BH438,0)</f>
      </c>
      <c r="AE438" s="56">
        <f>IF(AQ438="7",BI438,0)</f>
      </c>
      <c r="AF438" s="56">
        <f>IF(AQ438="2",BH438,0)</f>
      </c>
      <c r="AG438" s="56">
        <f>IF(AQ438="2",BI438,0)</f>
      </c>
      <c r="AH438" s="56">
        <f>IF(AQ438="0",BJ438,0)</f>
      </c>
      <c r="AI438" s="28" t="s">
        <v>57</v>
      </c>
      <c r="AJ438" s="56">
        <f>IF(AN438=0,J438,0)</f>
      </c>
      <c r="AK438" s="56">
        <f>IF(AN438=12,J438,0)</f>
      </c>
      <c r="AL438" s="56">
        <f>IF(AN438=21,J438,0)</f>
      </c>
      <c r="AN438" s="56" t="n">
        <v>21</v>
      </c>
      <c r="AO438" s="56">
        <f>G438*0.679606885</f>
      </c>
      <c r="AP438" s="56">
        <f>G438*(1-0.679606885)</f>
      </c>
      <c r="AQ438" s="57" t="s">
        <v>85</v>
      </c>
      <c r="AV438" s="56">
        <f>AW438+AX438</f>
      </c>
      <c r="AW438" s="56">
        <f>F438*AO438</f>
      </c>
      <c r="AX438" s="56">
        <f>F438*AP438</f>
      </c>
      <c r="AY438" s="57" t="s">
        <v>750</v>
      </c>
      <c r="AZ438" s="57" t="s">
        <v>536</v>
      </c>
      <c r="BA438" s="28" t="s">
        <v>64</v>
      </c>
      <c r="BC438" s="56">
        <f>AW438+AX438</f>
      </c>
      <c r="BD438" s="56">
        <f>G438/(100-BE438)*100</f>
      </c>
      <c r="BE438" s="56" t="n">
        <v>0</v>
      </c>
      <c r="BF438" s="56">
        <f>438</f>
      </c>
      <c r="BH438" s="56">
        <f>F438*AO438</f>
      </c>
      <c r="BI438" s="56">
        <f>F438*AP438</f>
      </c>
      <c r="BJ438" s="56">
        <f>F438*G438</f>
      </c>
      <c r="BK438" s="56"/>
      <c r="BL438" s="56" t="n">
        <v>764</v>
      </c>
      <c r="BW438" s="56" t="n">
        <v>21</v>
      </c>
      <c r="BX438" s="14" t="s">
        <v>765</v>
      </c>
    </row>
    <row r="439" customHeight="true" ht="13.5">
      <c r="A439" s="58"/>
      <c r="C439" s="59" t="s">
        <v>766</v>
      </c>
      <c r="D439" s="60"/>
      <c r="E439" s="60"/>
      <c r="F439" s="60"/>
      <c r="G439" s="60"/>
      <c r="H439" s="60"/>
      <c r="I439" s="60"/>
      <c r="J439" s="60"/>
      <c r="K439" s="61"/>
    </row>
    <row r="440">
      <c r="A440" s="68"/>
      <c r="B440" s="69"/>
      <c r="C440" s="70" t="s">
        <v>767</v>
      </c>
      <c r="D440" s="71" t="s">
        <v>768</v>
      </c>
      <c r="E440" s="69"/>
      <c r="F440" s="72" t="n">
        <v>336.06</v>
      </c>
      <c r="G440" s="69"/>
      <c r="H440" s="69"/>
      <c r="I440" s="69"/>
      <c r="J440" s="69"/>
      <c r="K440" s="73"/>
    </row>
    <row r="441">
      <c r="A441" s="74"/>
      <c r="B441" s="75"/>
      <c r="C441" s="76" t="s">
        <v>459</v>
      </c>
      <c r="D441" s="77" t="s">
        <v>159</v>
      </c>
      <c r="E441" s="75"/>
      <c r="F441" s="78" t="n">
        <v>-34.622</v>
      </c>
      <c r="G441" s="75"/>
      <c r="H441" s="75"/>
      <c r="I441" s="75"/>
      <c r="J441" s="75"/>
      <c r="K441" s="79"/>
    </row>
    <row r="442">
      <c r="A442" s="58"/>
      <c r="B442" s="80" t="s">
        <v>108</v>
      </c>
      <c r="C442" s="59" t="s">
        <v>769</v>
      </c>
      <c r="D442" s="60"/>
      <c r="E442" s="60"/>
      <c r="F442" s="60"/>
      <c r="G442" s="60"/>
      <c r="H442" s="60"/>
      <c r="I442" s="60"/>
      <c r="J442" s="60"/>
      <c r="K442" s="61"/>
      <c r="BX442" s="81" t="s">
        <v>769</v>
      </c>
    </row>
    <row r="443">
      <c r="A443" s="82" t="s">
        <v>770</v>
      </c>
      <c r="B443" s="83" t="s">
        <v>771</v>
      </c>
      <c r="C443" s="84" t="s">
        <v>772</v>
      </c>
      <c r="D443" s="83"/>
      <c r="E443" s="83" t="s">
        <v>180</v>
      </c>
      <c r="F443" s="85" t="n">
        <v>24</v>
      </c>
      <c r="G443" s="85" t="n">
        <v>0</v>
      </c>
      <c r="H443" s="85">
        <f>F443*AO443</f>
      </c>
      <c r="I443" s="85">
        <f>F443*AP443</f>
      </c>
      <c r="J443" s="85">
        <f>F443*G443</f>
      </c>
      <c r="K443" s="86" t="s">
        <v>71</v>
      </c>
      <c r="Z443" s="56">
        <f>IF(AQ443="5",BJ443,0)</f>
      </c>
      <c r="AB443" s="56">
        <f>IF(AQ443="1",BH443,0)</f>
      </c>
      <c r="AC443" s="56">
        <f>IF(AQ443="1",BI443,0)</f>
      </c>
      <c r="AD443" s="56">
        <f>IF(AQ443="7",BH443,0)</f>
      </c>
      <c r="AE443" s="56">
        <f>IF(AQ443="7",BI443,0)</f>
      </c>
      <c r="AF443" s="56">
        <f>IF(AQ443="2",BH443,0)</f>
      </c>
      <c r="AG443" s="56">
        <f>IF(AQ443="2",BI443,0)</f>
      </c>
      <c r="AH443" s="56">
        <f>IF(AQ443="0",BJ443,0)</f>
      </c>
      <c r="AI443" s="28" t="s">
        <v>57</v>
      </c>
      <c r="AJ443" s="56">
        <f>IF(AN443=0,J443,0)</f>
      </c>
      <c r="AK443" s="56">
        <f>IF(AN443=12,J443,0)</f>
      </c>
      <c r="AL443" s="56">
        <f>IF(AN443=21,J443,0)</f>
      </c>
      <c r="AN443" s="56" t="n">
        <v>21</v>
      </c>
      <c r="AO443" s="56">
        <f>G443*0.353955603</f>
      </c>
      <c r="AP443" s="56">
        <f>G443*(1-0.353955603)</f>
      </c>
      <c r="AQ443" s="57" t="s">
        <v>85</v>
      </c>
      <c r="AV443" s="56">
        <f>AW443+AX443</f>
      </c>
      <c r="AW443" s="56">
        <f>F443*AO443</f>
      </c>
      <c r="AX443" s="56">
        <f>F443*AP443</f>
      </c>
      <c r="AY443" s="57" t="s">
        <v>750</v>
      </c>
      <c r="AZ443" s="57" t="s">
        <v>536</v>
      </c>
      <c r="BA443" s="28" t="s">
        <v>64</v>
      </c>
      <c r="BC443" s="56">
        <f>AW443+AX443</f>
      </c>
      <c r="BD443" s="56">
        <f>G443/(100-BE443)*100</f>
      </c>
      <c r="BE443" s="56" t="n">
        <v>0</v>
      </c>
      <c r="BF443" s="56">
        <f>443</f>
      </c>
      <c r="BH443" s="56">
        <f>F443*AO443</f>
      </c>
      <c r="BI443" s="56">
        <f>F443*AP443</f>
      </c>
      <c r="BJ443" s="56">
        <f>F443*G443</f>
      </c>
      <c r="BK443" s="56"/>
      <c r="BL443" s="56" t="n">
        <v>764</v>
      </c>
      <c r="BW443" s="56" t="n">
        <v>21</v>
      </c>
      <c r="BX443" s="14" t="s">
        <v>772</v>
      </c>
    </row>
    <row r="444" customHeight="true" ht="13.5">
      <c r="A444" s="58"/>
      <c r="C444" s="59" t="s">
        <v>766</v>
      </c>
      <c r="D444" s="60"/>
      <c r="E444" s="60"/>
      <c r="F444" s="60"/>
      <c r="G444" s="60"/>
      <c r="H444" s="60"/>
      <c r="I444" s="60"/>
      <c r="J444" s="60"/>
      <c r="K444" s="61"/>
    </row>
    <row r="445">
      <c r="A445" s="68"/>
      <c r="B445" s="69"/>
      <c r="C445" s="70" t="s">
        <v>181</v>
      </c>
      <c r="D445" s="71" t="s">
        <v>773</v>
      </c>
      <c r="E445" s="69"/>
      <c r="F445" s="72" t="n">
        <v>24</v>
      </c>
      <c r="G445" s="69"/>
      <c r="H445" s="69"/>
      <c r="I445" s="69"/>
      <c r="J445" s="69"/>
      <c r="K445" s="73"/>
    </row>
    <row r="446" ht="24.75">
      <c r="A446" s="58"/>
      <c r="B446" s="80" t="s">
        <v>108</v>
      </c>
      <c r="C446" s="59" t="s">
        <v>774</v>
      </c>
      <c r="D446" s="60"/>
      <c r="E446" s="60"/>
      <c r="F446" s="60"/>
      <c r="G446" s="60"/>
      <c r="H446" s="60"/>
      <c r="I446" s="60"/>
      <c r="J446" s="60"/>
      <c r="K446" s="61"/>
      <c r="BX446" s="81" t="s">
        <v>774</v>
      </c>
    </row>
    <row r="447">
      <c r="A447" s="82" t="s">
        <v>775</v>
      </c>
      <c r="B447" s="83" t="s">
        <v>776</v>
      </c>
      <c r="C447" s="84" t="s">
        <v>777</v>
      </c>
      <c r="D447" s="83"/>
      <c r="E447" s="83" t="s">
        <v>393</v>
      </c>
      <c r="F447" s="85" t="n">
        <v>51.85</v>
      </c>
      <c r="G447" s="85" t="n">
        <v>0</v>
      </c>
      <c r="H447" s="85">
        <f>F447*AO447</f>
      </c>
      <c r="I447" s="85">
        <f>F447*AP447</f>
      </c>
      <c r="J447" s="85">
        <f>F447*G447</f>
      </c>
      <c r="K447" s="86" t="s">
        <v>100</v>
      </c>
      <c r="Z447" s="56">
        <f>IF(AQ447="5",BJ447,0)</f>
      </c>
      <c r="AB447" s="56">
        <f>IF(AQ447="1",BH447,0)</f>
      </c>
      <c r="AC447" s="56">
        <f>IF(AQ447="1",BI447,0)</f>
      </c>
      <c r="AD447" s="56">
        <f>IF(AQ447="7",BH447,0)</f>
      </c>
      <c r="AE447" s="56">
        <f>IF(AQ447="7",BI447,0)</f>
      </c>
      <c r="AF447" s="56">
        <f>IF(AQ447="2",BH447,0)</f>
      </c>
      <c r="AG447" s="56">
        <f>IF(AQ447="2",BI447,0)</f>
      </c>
      <c r="AH447" s="56">
        <f>IF(AQ447="0",BJ447,0)</f>
      </c>
      <c r="AI447" s="28" t="s">
        <v>57</v>
      </c>
      <c r="AJ447" s="56">
        <f>IF(AN447=0,J447,0)</f>
      </c>
      <c r="AK447" s="56">
        <f>IF(AN447=12,J447,0)</f>
      </c>
      <c r="AL447" s="56">
        <f>IF(AN447=21,J447,0)</f>
      </c>
      <c r="AN447" s="56" t="n">
        <v>21</v>
      </c>
      <c r="AO447" s="56">
        <f>G447*0.060514023</f>
      </c>
      <c r="AP447" s="56">
        <f>G447*(1-0.060514023)</f>
      </c>
      <c r="AQ447" s="57" t="s">
        <v>85</v>
      </c>
      <c r="AV447" s="56">
        <f>AW447+AX447</f>
      </c>
      <c r="AW447" s="56">
        <f>F447*AO447</f>
      </c>
      <c r="AX447" s="56">
        <f>F447*AP447</f>
      </c>
      <c r="AY447" s="57" t="s">
        <v>750</v>
      </c>
      <c r="AZ447" s="57" t="s">
        <v>536</v>
      </c>
      <c r="BA447" s="28" t="s">
        <v>64</v>
      </c>
      <c r="BC447" s="56">
        <f>AW447+AX447</f>
      </c>
      <c r="BD447" s="56">
        <f>G447/(100-BE447)*100</f>
      </c>
      <c r="BE447" s="56" t="n">
        <v>0</v>
      </c>
      <c r="BF447" s="56">
        <f>447</f>
      </c>
      <c r="BH447" s="56">
        <f>F447*AO447</f>
      </c>
      <c r="BI447" s="56">
        <f>F447*AP447</f>
      </c>
      <c r="BJ447" s="56">
        <f>F447*G447</f>
      </c>
      <c r="BK447" s="56"/>
      <c r="BL447" s="56" t="n">
        <v>764</v>
      </c>
      <c r="BW447" s="56" t="n">
        <v>21</v>
      </c>
      <c r="BX447" s="14" t="s">
        <v>777</v>
      </c>
    </row>
    <row r="448" customHeight="true" ht="27">
      <c r="A448" s="58"/>
      <c r="C448" s="59" t="s">
        <v>778</v>
      </c>
      <c r="D448" s="60"/>
      <c r="E448" s="60"/>
      <c r="F448" s="60"/>
      <c r="G448" s="60"/>
      <c r="H448" s="60"/>
      <c r="I448" s="60"/>
      <c r="J448" s="60"/>
      <c r="K448" s="61"/>
    </row>
    <row r="449">
      <c r="A449" s="68"/>
      <c r="B449" s="69"/>
      <c r="C449" s="70" t="s">
        <v>779</v>
      </c>
      <c r="D449" s="71" t="s">
        <v>780</v>
      </c>
      <c r="E449" s="69"/>
      <c r="F449" s="72" t="n">
        <v>20.2</v>
      </c>
      <c r="G449" s="69"/>
      <c r="H449" s="69"/>
      <c r="I449" s="69"/>
      <c r="J449" s="69"/>
      <c r="K449" s="73"/>
    </row>
    <row r="450">
      <c r="A450" s="74"/>
      <c r="B450" s="75"/>
      <c r="C450" s="76" t="s">
        <v>781</v>
      </c>
      <c r="D450" s="77" t="s">
        <v>782</v>
      </c>
      <c r="E450" s="75"/>
      <c r="F450" s="78" t="n">
        <v>10.75</v>
      </c>
      <c r="G450" s="75"/>
      <c r="H450" s="75"/>
      <c r="I450" s="75"/>
      <c r="J450" s="75"/>
      <c r="K450" s="79"/>
    </row>
    <row r="451">
      <c r="A451" s="74"/>
      <c r="B451" s="75"/>
      <c r="C451" s="76" t="s">
        <v>783</v>
      </c>
      <c r="D451" s="77" t="s">
        <v>784</v>
      </c>
      <c r="E451" s="75"/>
      <c r="F451" s="78" t="n">
        <v>13.25</v>
      </c>
      <c r="G451" s="75"/>
      <c r="H451" s="75"/>
      <c r="I451" s="75"/>
      <c r="J451" s="75"/>
      <c r="K451" s="79"/>
    </row>
    <row r="452">
      <c r="A452" s="74"/>
      <c r="B452" s="75"/>
      <c r="C452" s="76" t="s">
        <v>785</v>
      </c>
      <c r="D452" s="77" t="s">
        <v>786</v>
      </c>
      <c r="E452" s="75"/>
      <c r="F452" s="78" t="n">
        <v>2.65</v>
      </c>
      <c r="G452" s="75"/>
      <c r="H452" s="75"/>
      <c r="I452" s="75"/>
      <c r="J452" s="75"/>
      <c r="K452" s="79"/>
    </row>
    <row r="453">
      <c r="A453" s="74"/>
      <c r="B453" s="75"/>
      <c r="C453" s="76" t="s">
        <v>787</v>
      </c>
      <c r="D453" s="77" t="s">
        <v>788</v>
      </c>
      <c r="E453" s="75"/>
      <c r="F453" s="78" t="n">
        <v>5</v>
      </c>
      <c r="G453" s="75"/>
      <c r="H453" s="75"/>
      <c r="I453" s="75"/>
      <c r="J453" s="75"/>
      <c r="K453" s="79"/>
    </row>
    <row r="454">
      <c r="A454" s="58"/>
      <c r="B454" s="80" t="s">
        <v>108</v>
      </c>
      <c r="C454" s="59" t="s">
        <v>789</v>
      </c>
      <c r="D454" s="60"/>
      <c r="E454" s="60"/>
      <c r="F454" s="60"/>
      <c r="G454" s="60"/>
      <c r="H454" s="60"/>
      <c r="I454" s="60"/>
      <c r="J454" s="60"/>
      <c r="K454" s="61"/>
      <c r="BX454" s="81" t="s">
        <v>789</v>
      </c>
    </row>
    <row r="455">
      <c r="A455" s="87" t="s">
        <v>790</v>
      </c>
      <c r="B455" s="88" t="s">
        <v>791</v>
      </c>
      <c r="C455" s="89" t="s">
        <v>792</v>
      </c>
      <c r="D455" s="88"/>
      <c r="E455" s="88" t="s">
        <v>393</v>
      </c>
      <c r="F455" s="90" t="n">
        <v>14.25875</v>
      </c>
      <c r="G455" s="90" t="n">
        <v>0</v>
      </c>
      <c r="H455" s="90">
        <f>F455*AO455</f>
      </c>
      <c r="I455" s="90">
        <f>F455*AP455</f>
      </c>
      <c r="J455" s="90">
        <f>F455*G455</f>
      </c>
      <c r="K455" s="91" t="s">
        <v>100</v>
      </c>
      <c r="Z455" s="56">
        <f>IF(AQ455="5",BJ455,0)</f>
      </c>
      <c r="AB455" s="56">
        <f>IF(AQ455="1",BH455,0)</f>
      </c>
      <c r="AC455" s="56">
        <f>IF(AQ455="1",BI455,0)</f>
      </c>
      <c r="AD455" s="56">
        <f>IF(AQ455="7",BH455,0)</f>
      </c>
      <c r="AE455" s="56">
        <f>IF(AQ455="7",BI455,0)</f>
      </c>
      <c r="AF455" s="56">
        <f>IF(AQ455="2",BH455,0)</f>
      </c>
      <c r="AG455" s="56">
        <f>IF(AQ455="2",BI455,0)</f>
      </c>
      <c r="AH455" s="56">
        <f>IF(AQ455="0",BJ455,0)</f>
      </c>
      <c r="AI455" s="28" t="s">
        <v>57</v>
      </c>
      <c r="AJ455" s="92">
        <f>IF(AN455=0,J455,0)</f>
      </c>
      <c r="AK455" s="92">
        <f>IF(AN455=12,J455,0)</f>
      </c>
      <c r="AL455" s="92">
        <f>IF(AN455=21,J455,0)</f>
      </c>
      <c r="AN455" s="56" t="n">
        <v>21</v>
      </c>
      <c r="AO455" s="56">
        <f>G455*1</f>
      </c>
      <c r="AP455" s="56">
        <f>G455*(1-1)</f>
      </c>
      <c r="AQ455" s="93" t="s">
        <v>85</v>
      </c>
      <c r="AV455" s="56">
        <f>AW455+AX455</f>
      </c>
      <c r="AW455" s="56">
        <f>F455*AO455</f>
      </c>
      <c r="AX455" s="56">
        <f>F455*AP455</f>
      </c>
      <c r="AY455" s="57" t="s">
        <v>750</v>
      </c>
      <c r="AZ455" s="57" t="s">
        <v>536</v>
      </c>
      <c r="BA455" s="28" t="s">
        <v>64</v>
      </c>
      <c r="BC455" s="56">
        <f>AW455+AX455</f>
      </c>
      <c r="BD455" s="56">
        <f>G455/(100-BE455)*100</f>
      </c>
      <c r="BE455" s="56" t="n">
        <v>0</v>
      </c>
      <c r="BF455" s="56">
        <f>455</f>
      </c>
      <c r="BH455" s="92">
        <f>F455*AO455</f>
      </c>
      <c r="BI455" s="92">
        <f>F455*AP455</f>
      </c>
      <c r="BJ455" s="92">
        <f>F455*G455</f>
      </c>
      <c r="BK455" s="92"/>
      <c r="BL455" s="56" t="n">
        <v>764</v>
      </c>
      <c r="BW455" s="56" t="n">
        <v>21</v>
      </c>
      <c r="BX455" s="94" t="s">
        <v>792</v>
      </c>
    </row>
    <row r="456">
      <c r="A456" s="74"/>
      <c r="B456" s="75"/>
      <c r="C456" s="76" t="s">
        <v>793</v>
      </c>
      <c r="D456" s="77" t="s">
        <v>794</v>
      </c>
      <c r="E456" s="75"/>
      <c r="F456" s="78" t="n">
        <v>12.9625</v>
      </c>
      <c r="G456" s="75"/>
      <c r="H456" s="75"/>
      <c r="I456" s="75"/>
      <c r="J456" s="75"/>
      <c r="K456" s="79"/>
    </row>
    <row r="457">
      <c r="A457" s="74"/>
      <c r="B457" s="75"/>
      <c r="C457" s="76" t="s">
        <v>795</v>
      </c>
      <c r="D457" s="77" t="s">
        <v>53</v>
      </c>
      <c r="E457" s="75"/>
      <c r="F457" s="78" t="n">
        <v>1.29625</v>
      </c>
      <c r="G457" s="75"/>
      <c r="H457" s="75"/>
      <c r="I457" s="75"/>
      <c r="J457" s="75"/>
      <c r="K457" s="79"/>
    </row>
    <row r="458" ht="24.75">
      <c r="A458" s="58"/>
      <c r="B458" s="80" t="s">
        <v>108</v>
      </c>
      <c r="C458" s="59" t="s">
        <v>796</v>
      </c>
      <c r="D458" s="60"/>
      <c r="E458" s="60"/>
      <c r="F458" s="60"/>
      <c r="G458" s="60"/>
      <c r="H458" s="60"/>
      <c r="I458" s="60"/>
      <c r="J458" s="60"/>
      <c r="K458" s="61"/>
      <c r="BX458" s="95" t="s">
        <v>796</v>
      </c>
    </row>
    <row r="459">
      <c r="A459" s="82" t="s">
        <v>797</v>
      </c>
      <c r="B459" s="83" t="s">
        <v>798</v>
      </c>
      <c r="C459" s="84" t="s">
        <v>799</v>
      </c>
      <c r="D459" s="83"/>
      <c r="E459" s="83" t="s">
        <v>393</v>
      </c>
      <c r="F459" s="85" t="n">
        <v>51.85</v>
      </c>
      <c r="G459" s="85" t="n">
        <v>0</v>
      </c>
      <c r="H459" s="85">
        <f>F459*AO459</f>
      </c>
      <c r="I459" s="85">
        <f>F459*AP459</f>
      </c>
      <c r="J459" s="85">
        <f>F459*G459</f>
      </c>
      <c r="K459" s="86" t="s">
        <v>100</v>
      </c>
      <c r="Z459" s="56">
        <f>IF(AQ459="5",BJ459,0)</f>
      </c>
      <c r="AB459" s="56">
        <f>IF(AQ459="1",BH459,0)</f>
      </c>
      <c r="AC459" s="56">
        <f>IF(AQ459="1",BI459,0)</f>
      </c>
      <c r="AD459" s="56">
        <f>IF(AQ459="7",BH459,0)</f>
      </c>
      <c r="AE459" s="56">
        <f>IF(AQ459="7",BI459,0)</f>
      </c>
      <c r="AF459" s="56">
        <f>IF(AQ459="2",BH459,0)</f>
      </c>
      <c r="AG459" s="56">
        <f>IF(AQ459="2",BI459,0)</f>
      </c>
      <c r="AH459" s="56">
        <f>IF(AQ459="0",BJ459,0)</f>
      </c>
      <c r="AI459" s="28" t="s">
        <v>57</v>
      </c>
      <c r="AJ459" s="56">
        <f>IF(AN459=0,J459,0)</f>
      </c>
      <c r="AK459" s="56">
        <f>IF(AN459=12,J459,0)</f>
      </c>
      <c r="AL459" s="56">
        <f>IF(AN459=21,J459,0)</f>
      </c>
      <c r="AN459" s="56" t="n">
        <v>21</v>
      </c>
      <c r="AO459" s="56">
        <f>G459*0.75622807</f>
      </c>
      <c r="AP459" s="56">
        <f>G459*(1-0.75622807)</f>
      </c>
      <c r="AQ459" s="57" t="s">
        <v>85</v>
      </c>
      <c r="AV459" s="56">
        <f>AW459+AX459</f>
      </c>
      <c r="AW459" s="56">
        <f>F459*AO459</f>
      </c>
      <c r="AX459" s="56">
        <f>F459*AP459</f>
      </c>
      <c r="AY459" s="57" t="s">
        <v>750</v>
      </c>
      <c r="AZ459" s="57" t="s">
        <v>536</v>
      </c>
      <c r="BA459" s="28" t="s">
        <v>64</v>
      </c>
      <c r="BC459" s="56">
        <f>AW459+AX459</f>
      </c>
      <c r="BD459" s="56">
        <f>G459/(100-BE459)*100</f>
      </c>
      <c r="BE459" s="56" t="n">
        <v>0</v>
      </c>
      <c r="BF459" s="56">
        <f>459</f>
      </c>
      <c r="BH459" s="56">
        <f>F459*AO459</f>
      </c>
      <c r="BI459" s="56">
        <f>F459*AP459</f>
      </c>
      <c r="BJ459" s="56">
        <f>F459*G459</f>
      </c>
      <c r="BK459" s="56"/>
      <c r="BL459" s="56" t="n">
        <v>764</v>
      </c>
      <c r="BW459" s="56" t="n">
        <v>21</v>
      </c>
      <c r="BX459" s="14" t="s">
        <v>799</v>
      </c>
    </row>
    <row r="460">
      <c r="A460" s="74"/>
      <c r="B460" s="75"/>
      <c r="C460" s="76" t="s">
        <v>779</v>
      </c>
      <c r="D460" s="77" t="s">
        <v>800</v>
      </c>
      <c r="E460" s="75"/>
      <c r="F460" s="78" t="n">
        <v>20.2</v>
      </c>
      <c r="G460" s="75"/>
      <c r="H460" s="75"/>
      <c r="I460" s="75"/>
      <c r="J460" s="75"/>
      <c r="K460" s="79"/>
    </row>
    <row r="461">
      <c r="A461" s="74"/>
      <c r="B461" s="75"/>
      <c r="C461" s="76" t="s">
        <v>781</v>
      </c>
      <c r="D461" s="77" t="s">
        <v>801</v>
      </c>
      <c r="E461" s="75"/>
      <c r="F461" s="78" t="n">
        <v>10.75</v>
      </c>
      <c r="G461" s="75"/>
      <c r="H461" s="75"/>
      <c r="I461" s="75"/>
      <c r="J461" s="75"/>
      <c r="K461" s="79"/>
    </row>
    <row r="462">
      <c r="A462" s="74"/>
      <c r="B462" s="75"/>
      <c r="C462" s="76" t="s">
        <v>783</v>
      </c>
      <c r="D462" s="77" t="s">
        <v>802</v>
      </c>
      <c r="E462" s="75"/>
      <c r="F462" s="78" t="n">
        <v>13.25</v>
      </c>
      <c r="G462" s="75"/>
      <c r="H462" s="75"/>
      <c r="I462" s="75"/>
      <c r="J462" s="75"/>
      <c r="K462" s="79"/>
    </row>
    <row r="463">
      <c r="A463" s="74"/>
      <c r="B463" s="75"/>
      <c r="C463" s="76" t="s">
        <v>785</v>
      </c>
      <c r="D463" s="77" t="s">
        <v>803</v>
      </c>
      <c r="E463" s="75"/>
      <c r="F463" s="78" t="n">
        <v>2.65</v>
      </c>
      <c r="G463" s="75"/>
      <c r="H463" s="75"/>
      <c r="I463" s="75"/>
      <c r="J463" s="75"/>
      <c r="K463" s="79"/>
    </row>
    <row r="464">
      <c r="A464" s="74"/>
      <c r="B464" s="75"/>
      <c r="C464" s="76" t="s">
        <v>787</v>
      </c>
      <c r="D464" s="77" t="s">
        <v>804</v>
      </c>
      <c r="E464" s="75"/>
      <c r="F464" s="78" t="n">
        <v>5</v>
      </c>
      <c r="G464" s="75"/>
      <c r="H464" s="75"/>
      <c r="I464" s="75"/>
      <c r="J464" s="75"/>
      <c r="K464" s="79"/>
    </row>
    <row r="465">
      <c r="A465" s="51" t="s">
        <v>805</v>
      </c>
      <c r="B465" s="52" t="s">
        <v>776</v>
      </c>
      <c r="C465" s="53" t="s">
        <v>806</v>
      </c>
      <c r="D465" s="52"/>
      <c r="E465" s="52" t="s">
        <v>393</v>
      </c>
      <c r="F465" s="54" t="n">
        <v>51.85</v>
      </c>
      <c r="G465" s="54" t="n">
        <v>0</v>
      </c>
      <c r="H465" s="54">
        <f>F465*AO465</f>
      </c>
      <c r="I465" s="54">
        <f>F465*AP465</f>
      </c>
      <c r="J465" s="54">
        <f>F465*G465</f>
      </c>
      <c r="K465" s="55" t="s">
        <v>100</v>
      </c>
      <c r="Z465" s="56">
        <f>IF(AQ465="5",BJ465,0)</f>
      </c>
      <c r="AB465" s="56">
        <f>IF(AQ465="1",BH465,0)</f>
      </c>
      <c r="AC465" s="56">
        <f>IF(AQ465="1",BI465,0)</f>
      </c>
      <c r="AD465" s="56">
        <f>IF(AQ465="7",BH465,0)</f>
      </c>
      <c r="AE465" s="56">
        <f>IF(AQ465="7",BI465,0)</f>
      </c>
      <c r="AF465" s="56">
        <f>IF(AQ465="2",BH465,0)</f>
      </c>
      <c r="AG465" s="56">
        <f>IF(AQ465="2",BI465,0)</f>
      </c>
      <c r="AH465" s="56">
        <f>IF(AQ465="0",BJ465,0)</f>
      </c>
      <c r="AI465" s="28" t="s">
        <v>57</v>
      </c>
      <c r="AJ465" s="56">
        <f>IF(AN465=0,J465,0)</f>
      </c>
      <c r="AK465" s="56">
        <f>IF(AN465=12,J465,0)</f>
      </c>
      <c r="AL465" s="56">
        <f>IF(AN465=21,J465,0)</f>
      </c>
      <c r="AN465" s="56" t="n">
        <v>21</v>
      </c>
      <c r="AO465" s="56">
        <f>G465*0.061145038</f>
      </c>
      <c r="AP465" s="56">
        <f>G465*(1-0.061145038)</f>
      </c>
      <c r="AQ465" s="57" t="s">
        <v>85</v>
      </c>
      <c r="AV465" s="56">
        <f>AW465+AX465</f>
      </c>
      <c r="AW465" s="56">
        <f>F465*AO465</f>
      </c>
      <c r="AX465" s="56">
        <f>F465*AP465</f>
      </c>
      <c r="AY465" s="57" t="s">
        <v>750</v>
      </c>
      <c r="AZ465" s="57" t="s">
        <v>536</v>
      </c>
      <c r="BA465" s="28" t="s">
        <v>64</v>
      </c>
      <c r="BC465" s="56">
        <f>AW465+AX465</f>
      </c>
      <c r="BD465" s="56">
        <f>G465/(100-BE465)*100</f>
      </c>
      <c r="BE465" s="56" t="n">
        <v>0</v>
      </c>
      <c r="BF465" s="56">
        <f>465</f>
      </c>
      <c r="BH465" s="56">
        <f>F465*AO465</f>
      </c>
      <c r="BI465" s="56">
        <f>F465*AP465</f>
      </c>
      <c r="BJ465" s="56">
        <f>F465*G465</f>
      </c>
      <c r="BK465" s="56"/>
      <c r="BL465" s="56" t="n">
        <v>764</v>
      </c>
      <c r="BW465" s="56" t="n">
        <v>21</v>
      </c>
      <c r="BX465" s="14" t="s">
        <v>806</v>
      </c>
    </row>
    <row r="466">
      <c r="A466" s="74"/>
      <c r="B466" s="75"/>
      <c r="C466" s="76" t="s">
        <v>779</v>
      </c>
      <c r="D466" s="77" t="s">
        <v>807</v>
      </c>
      <c r="E466" s="75"/>
      <c r="F466" s="78" t="n">
        <v>20.2</v>
      </c>
      <c r="G466" s="75"/>
      <c r="H466" s="75"/>
      <c r="I466" s="75"/>
      <c r="J466" s="75"/>
      <c r="K466" s="79"/>
    </row>
    <row r="467">
      <c r="A467" s="74"/>
      <c r="B467" s="75"/>
      <c r="C467" s="76" t="s">
        <v>781</v>
      </c>
      <c r="D467" s="77" t="s">
        <v>808</v>
      </c>
      <c r="E467" s="75"/>
      <c r="F467" s="78" t="n">
        <v>10.75</v>
      </c>
      <c r="G467" s="75"/>
      <c r="H467" s="75"/>
      <c r="I467" s="75"/>
      <c r="J467" s="75"/>
      <c r="K467" s="79"/>
    </row>
    <row r="468">
      <c r="A468" s="74"/>
      <c r="B468" s="75"/>
      <c r="C468" s="76" t="s">
        <v>783</v>
      </c>
      <c r="D468" s="77" t="s">
        <v>809</v>
      </c>
      <c r="E468" s="75"/>
      <c r="F468" s="78" t="n">
        <v>13.25</v>
      </c>
      <c r="G468" s="75"/>
      <c r="H468" s="75"/>
      <c r="I468" s="75"/>
      <c r="J468" s="75"/>
      <c r="K468" s="79"/>
    </row>
    <row r="469">
      <c r="A469" s="74"/>
      <c r="B469" s="75"/>
      <c r="C469" s="76" t="s">
        <v>785</v>
      </c>
      <c r="D469" s="77" t="s">
        <v>810</v>
      </c>
      <c r="E469" s="75"/>
      <c r="F469" s="78" t="n">
        <v>2.65</v>
      </c>
      <c r="G469" s="75"/>
      <c r="H469" s="75"/>
      <c r="I469" s="75"/>
      <c r="J469" s="75"/>
      <c r="K469" s="79"/>
    </row>
    <row r="470">
      <c r="A470" s="74"/>
      <c r="B470" s="75"/>
      <c r="C470" s="76" t="s">
        <v>787</v>
      </c>
      <c r="D470" s="77" t="s">
        <v>811</v>
      </c>
      <c r="E470" s="75"/>
      <c r="F470" s="78" t="n">
        <v>5</v>
      </c>
      <c r="G470" s="75"/>
      <c r="H470" s="75"/>
      <c r="I470" s="75"/>
      <c r="J470" s="75"/>
      <c r="K470" s="79"/>
    </row>
    <row r="471">
      <c r="A471" s="58"/>
      <c r="B471" s="80" t="s">
        <v>108</v>
      </c>
      <c r="C471" s="59" t="s">
        <v>789</v>
      </c>
      <c r="D471" s="60"/>
      <c r="E471" s="60"/>
      <c r="F471" s="60"/>
      <c r="G471" s="60"/>
      <c r="H471" s="60"/>
      <c r="I471" s="60"/>
      <c r="J471" s="60"/>
      <c r="K471" s="61"/>
      <c r="BX471" s="81" t="s">
        <v>789</v>
      </c>
    </row>
    <row r="472">
      <c r="A472" s="87" t="s">
        <v>812</v>
      </c>
      <c r="B472" s="88" t="s">
        <v>791</v>
      </c>
      <c r="C472" s="89" t="s">
        <v>813</v>
      </c>
      <c r="D472" s="88"/>
      <c r="E472" s="88" t="s">
        <v>393</v>
      </c>
      <c r="F472" s="90" t="n">
        <v>28.5175</v>
      </c>
      <c r="G472" s="90" t="n">
        <v>0</v>
      </c>
      <c r="H472" s="90">
        <f>F472*AO472</f>
      </c>
      <c r="I472" s="90">
        <f>F472*AP472</f>
      </c>
      <c r="J472" s="90">
        <f>F472*G472</f>
      </c>
      <c r="K472" s="91" t="s">
        <v>100</v>
      </c>
      <c r="Z472" s="56">
        <f>IF(AQ472="5",BJ472,0)</f>
      </c>
      <c r="AB472" s="56">
        <f>IF(AQ472="1",BH472,0)</f>
      </c>
      <c r="AC472" s="56">
        <f>IF(AQ472="1",BI472,0)</f>
      </c>
      <c r="AD472" s="56">
        <f>IF(AQ472="7",BH472,0)</f>
      </c>
      <c r="AE472" s="56">
        <f>IF(AQ472="7",BI472,0)</f>
      </c>
      <c r="AF472" s="56">
        <f>IF(AQ472="2",BH472,0)</f>
      </c>
      <c r="AG472" s="56">
        <f>IF(AQ472="2",BI472,0)</f>
      </c>
      <c r="AH472" s="56">
        <f>IF(AQ472="0",BJ472,0)</f>
      </c>
      <c r="AI472" s="28" t="s">
        <v>57</v>
      </c>
      <c r="AJ472" s="92">
        <f>IF(AN472=0,J472,0)</f>
      </c>
      <c r="AK472" s="92">
        <f>IF(AN472=12,J472,0)</f>
      </c>
      <c r="AL472" s="92">
        <f>IF(AN472=21,J472,0)</f>
      </c>
      <c r="AN472" s="56" t="n">
        <v>21</v>
      </c>
      <c r="AO472" s="56">
        <f>G472*1</f>
      </c>
      <c r="AP472" s="56">
        <f>G472*(1-1)</f>
      </c>
      <c r="AQ472" s="93" t="s">
        <v>85</v>
      </c>
      <c r="AV472" s="56">
        <f>AW472+AX472</f>
      </c>
      <c r="AW472" s="56">
        <f>F472*AO472</f>
      </c>
      <c r="AX472" s="56">
        <f>F472*AP472</f>
      </c>
      <c r="AY472" s="57" t="s">
        <v>750</v>
      </c>
      <c r="AZ472" s="57" t="s">
        <v>536</v>
      </c>
      <c r="BA472" s="28" t="s">
        <v>64</v>
      </c>
      <c r="BC472" s="56">
        <f>AW472+AX472</f>
      </c>
      <c r="BD472" s="56">
        <f>G472/(100-BE472)*100</f>
      </c>
      <c r="BE472" s="56" t="n">
        <v>0</v>
      </c>
      <c r="BF472" s="56">
        <f>472</f>
      </c>
      <c r="BH472" s="92">
        <f>F472*AO472</f>
      </c>
      <c r="BI472" s="92">
        <f>F472*AP472</f>
      </c>
      <c r="BJ472" s="92">
        <f>F472*G472</f>
      </c>
      <c r="BK472" s="92"/>
      <c r="BL472" s="56" t="n">
        <v>764</v>
      </c>
      <c r="BW472" s="56" t="n">
        <v>21</v>
      </c>
      <c r="BX472" s="94" t="s">
        <v>813</v>
      </c>
    </row>
    <row r="473">
      <c r="A473" s="74"/>
      <c r="B473" s="75"/>
      <c r="C473" s="76" t="s">
        <v>814</v>
      </c>
      <c r="D473" s="77" t="s">
        <v>815</v>
      </c>
      <c r="E473" s="75"/>
      <c r="F473" s="78" t="n">
        <v>25.925</v>
      </c>
      <c r="G473" s="75"/>
      <c r="H473" s="75"/>
      <c r="I473" s="75"/>
      <c r="J473" s="75"/>
      <c r="K473" s="79"/>
    </row>
    <row r="474">
      <c r="A474" s="74"/>
      <c r="B474" s="75"/>
      <c r="C474" s="76" t="s">
        <v>816</v>
      </c>
      <c r="D474" s="77" t="s">
        <v>53</v>
      </c>
      <c r="E474" s="75"/>
      <c r="F474" s="78" t="n">
        <v>2.5925</v>
      </c>
      <c r="G474" s="75"/>
      <c r="H474" s="75"/>
      <c r="I474" s="75"/>
      <c r="J474" s="75"/>
      <c r="K474" s="79"/>
    </row>
    <row r="475" ht="24.75">
      <c r="A475" s="58"/>
      <c r="B475" s="80" t="s">
        <v>108</v>
      </c>
      <c r="C475" s="59" t="s">
        <v>796</v>
      </c>
      <c r="D475" s="60"/>
      <c r="E475" s="60"/>
      <c r="F475" s="60"/>
      <c r="G475" s="60"/>
      <c r="H475" s="60"/>
      <c r="I475" s="60"/>
      <c r="J475" s="60"/>
      <c r="K475" s="61"/>
      <c r="BX475" s="95" t="s">
        <v>796</v>
      </c>
    </row>
    <row r="476">
      <c r="A476" s="82" t="s">
        <v>817</v>
      </c>
      <c r="B476" s="83" t="s">
        <v>818</v>
      </c>
      <c r="C476" s="84" t="s">
        <v>819</v>
      </c>
      <c r="D476" s="83"/>
      <c r="E476" s="83" t="s">
        <v>393</v>
      </c>
      <c r="F476" s="85" t="n">
        <v>37.82</v>
      </c>
      <c r="G476" s="85" t="n">
        <v>0</v>
      </c>
      <c r="H476" s="85">
        <f>F476*AO476</f>
      </c>
      <c r="I476" s="85">
        <f>F476*AP476</f>
      </c>
      <c r="J476" s="85">
        <f>F476*G476</f>
      </c>
      <c r="K476" s="86" t="s">
        <v>100</v>
      </c>
      <c r="Z476" s="56">
        <f>IF(AQ476="5",BJ476,0)</f>
      </c>
      <c r="AB476" s="56">
        <f>IF(AQ476="1",BH476,0)</f>
      </c>
      <c r="AC476" s="56">
        <f>IF(AQ476="1",BI476,0)</f>
      </c>
      <c r="AD476" s="56">
        <f>IF(AQ476="7",BH476,0)</f>
      </c>
      <c r="AE476" s="56">
        <f>IF(AQ476="7",BI476,0)</f>
      </c>
      <c r="AF476" s="56">
        <f>IF(AQ476="2",BH476,0)</f>
      </c>
      <c r="AG476" s="56">
        <f>IF(AQ476="2",BI476,0)</f>
      </c>
      <c r="AH476" s="56">
        <f>IF(AQ476="0",BJ476,0)</f>
      </c>
      <c r="AI476" s="28" t="s">
        <v>57</v>
      </c>
      <c r="AJ476" s="56">
        <f>IF(AN476=0,J476,0)</f>
      </c>
      <c r="AK476" s="56">
        <f>IF(AN476=12,J476,0)</f>
      </c>
      <c r="AL476" s="56">
        <f>IF(AN476=21,J476,0)</f>
      </c>
      <c r="AN476" s="56" t="n">
        <v>21</v>
      </c>
      <c r="AO476" s="56">
        <f>G476*0.683203463</f>
      </c>
      <c r="AP476" s="56">
        <f>G476*(1-0.683203463)</f>
      </c>
      <c r="AQ476" s="57" t="s">
        <v>85</v>
      </c>
      <c r="AV476" s="56">
        <f>AW476+AX476</f>
      </c>
      <c r="AW476" s="56">
        <f>F476*AO476</f>
      </c>
      <c r="AX476" s="56">
        <f>F476*AP476</f>
      </c>
      <c r="AY476" s="57" t="s">
        <v>750</v>
      </c>
      <c r="AZ476" s="57" t="s">
        <v>536</v>
      </c>
      <c r="BA476" s="28" t="s">
        <v>64</v>
      </c>
      <c r="BC476" s="56">
        <f>AW476+AX476</f>
      </c>
      <c r="BD476" s="56">
        <f>G476/(100-BE476)*100</f>
      </c>
      <c r="BE476" s="56" t="n">
        <v>0</v>
      </c>
      <c r="BF476" s="56">
        <f>476</f>
      </c>
      <c r="BH476" s="56">
        <f>F476*AO476</f>
      </c>
      <c r="BI476" s="56">
        <f>F476*AP476</f>
      </c>
      <c r="BJ476" s="56">
        <f>F476*G476</f>
      </c>
      <c r="BK476" s="56"/>
      <c r="BL476" s="56" t="n">
        <v>764</v>
      </c>
      <c r="BW476" s="56" t="n">
        <v>21</v>
      </c>
      <c r="BX476" s="14" t="s">
        <v>819</v>
      </c>
    </row>
    <row r="477">
      <c r="A477" s="74"/>
      <c r="B477" s="75"/>
      <c r="C477" s="76" t="s">
        <v>820</v>
      </c>
      <c r="D477" s="77" t="s">
        <v>821</v>
      </c>
      <c r="E477" s="75"/>
      <c r="F477" s="78" t="n">
        <v>17.7</v>
      </c>
      <c r="G477" s="75"/>
      <c r="H477" s="75"/>
      <c r="I477" s="75"/>
      <c r="J477" s="75"/>
      <c r="K477" s="79"/>
    </row>
    <row r="478">
      <c r="A478" s="74"/>
      <c r="B478" s="75"/>
      <c r="C478" s="76" t="s">
        <v>822</v>
      </c>
      <c r="D478" s="77" t="s">
        <v>823</v>
      </c>
      <c r="E478" s="75"/>
      <c r="F478" s="78" t="n">
        <v>11.32</v>
      </c>
      <c r="G478" s="75"/>
      <c r="H478" s="75"/>
      <c r="I478" s="75"/>
      <c r="J478" s="75"/>
      <c r="K478" s="79"/>
    </row>
    <row r="479">
      <c r="A479" s="74"/>
      <c r="B479" s="75"/>
      <c r="C479" s="76" t="s">
        <v>824</v>
      </c>
      <c r="D479" s="77" t="s">
        <v>825</v>
      </c>
      <c r="E479" s="75"/>
      <c r="F479" s="78" t="n">
        <v>8.8</v>
      </c>
      <c r="G479" s="75"/>
      <c r="H479" s="75"/>
      <c r="I479" s="75"/>
      <c r="J479" s="75"/>
      <c r="K479" s="79"/>
    </row>
    <row r="480">
      <c r="A480" s="51" t="s">
        <v>826</v>
      </c>
      <c r="B480" s="52" t="s">
        <v>827</v>
      </c>
      <c r="C480" s="53" t="s">
        <v>828</v>
      </c>
      <c r="D480" s="52"/>
      <c r="E480" s="52" t="s">
        <v>393</v>
      </c>
      <c r="F480" s="54" t="n">
        <v>37.82</v>
      </c>
      <c r="G480" s="54" t="n">
        <v>0</v>
      </c>
      <c r="H480" s="54">
        <f>F480*AO480</f>
      </c>
      <c r="I480" s="54">
        <f>F480*AP480</f>
      </c>
      <c r="J480" s="54">
        <f>F480*G480</f>
      </c>
      <c r="K480" s="55" t="s">
        <v>100</v>
      </c>
      <c r="Z480" s="56">
        <f>IF(AQ480="5",BJ480,0)</f>
      </c>
      <c r="AB480" s="56">
        <f>IF(AQ480="1",BH480,0)</f>
      </c>
      <c r="AC480" s="56">
        <f>IF(AQ480="1",BI480,0)</f>
      </c>
      <c r="AD480" s="56">
        <f>IF(AQ480="7",BH480,0)</f>
      </c>
      <c r="AE480" s="56">
        <f>IF(AQ480="7",BI480,0)</f>
      </c>
      <c r="AF480" s="56">
        <f>IF(AQ480="2",BH480,0)</f>
      </c>
      <c r="AG480" s="56">
        <f>IF(AQ480="2",BI480,0)</f>
      </c>
      <c r="AH480" s="56">
        <f>IF(AQ480="0",BJ480,0)</f>
      </c>
      <c r="AI480" s="28" t="s">
        <v>57</v>
      </c>
      <c r="AJ480" s="56">
        <f>IF(AN480=0,J480,0)</f>
      </c>
      <c r="AK480" s="56">
        <f>IF(AN480=12,J480,0)</f>
      </c>
      <c r="AL480" s="56">
        <f>IF(AN480=21,J480,0)</f>
      </c>
      <c r="AN480" s="56" t="n">
        <v>21</v>
      </c>
      <c r="AO480" s="56">
        <f>G480*0.101531532</f>
      </c>
      <c r="AP480" s="56">
        <f>G480*(1-0.101531532)</f>
      </c>
      <c r="AQ480" s="57" t="s">
        <v>85</v>
      </c>
      <c r="AV480" s="56">
        <f>AW480+AX480</f>
      </c>
      <c r="AW480" s="56">
        <f>F480*AO480</f>
      </c>
      <c r="AX480" s="56">
        <f>F480*AP480</f>
      </c>
      <c r="AY480" s="57" t="s">
        <v>750</v>
      </c>
      <c r="AZ480" s="57" t="s">
        <v>536</v>
      </c>
      <c r="BA480" s="28" t="s">
        <v>64</v>
      </c>
      <c r="BC480" s="56">
        <f>AW480+AX480</f>
      </c>
      <c r="BD480" s="56">
        <f>G480/(100-BE480)*100</f>
      </c>
      <c r="BE480" s="56" t="n">
        <v>0</v>
      </c>
      <c r="BF480" s="56">
        <f>480</f>
      </c>
      <c r="BH480" s="56">
        <f>F480*AO480</f>
      </c>
      <c r="BI480" s="56">
        <f>F480*AP480</f>
      </c>
      <c r="BJ480" s="56">
        <f>F480*G480</f>
      </c>
      <c r="BK480" s="56"/>
      <c r="BL480" s="56" t="n">
        <v>764</v>
      </c>
      <c r="BW480" s="56" t="n">
        <v>21</v>
      </c>
      <c r="BX480" s="14" t="s">
        <v>828</v>
      </c>
    </row>
    <row r="481">
      <c r="A481" s="74"/>
      <c r="B481" s="75"/>
      <c r="C481" s="76" t="s">
        <v>820</v>
      </c>
      <c r="D481" s="77" t="s">
        <v>821</v>
      </c>
      <c r="E481" s="75"/>
      <c r="F481" s="78" t="n">
        <v>17.7</v>
      </c>
      <c r="G481" s="75"/>
      <c r="H481" s="75"/>
      <c r="I481" s="75"/>
      <c r="J481" s="75"/>
      <c r="K481" s="79"/>
    </row>
    <row r="482">
      <c r="A482" s="74"/>
      <c r="B482" s="75"/>
      <c r="C482" s="76" t="s">
        <v>822</v>
      </c>
      <c r="D482" s="77" t="s">
        <v>823</v>
      </c>
      <c r="E482" s="75"/>
      <c r="F482" s="78" t="n">
        <v>11.32</v>
      </c>
      <c r="G482" s="75"/>
      <c r="H482" s="75"/>
      <c r="I482" s="75"/>
      <c r="J482" s="75"/>
      <c r="K482" s="79"/>
    </row>
    <row r="483">
      <c r="A483" s="74"/>
      <c r="B483" s="75"/>
      <c r="C483" s="76" t="s">
        <v>824</v>
      </c>
      <c r="D483" s="77" t="s">
        <v>825</v>
      </c>
      <c r="E483" s="75"/>
      <c r="F483" s="78" t="n">
        <v>8.8</v>
      </c>
      <c r="G483" s="75"/>
      <c r="H483" s="75"/>
      <c r="I483" s="75"/>
      <c r="J483" s="75"/>
      <c r="K483" s="79"/>
    </row>
    <row r="484">
      <c r="A484" s="58"/>
      <c r="B484" s="80" t="s">
        <v>108</v>
      </c>
      <c r="C484" s="59" t="s">
        <v>789</v>
      </c>
      <c r="D484" s="60"/>
      <c r="E484" s="60"/>
      <c r="F484" s="60"/>
      <c r="G484" s="60"/>
      <c r="H484" s="60"/>
      <c r="I484" s="60"/>
      <c r="J484" s="60"/>
      <c r="K484" s="61"/>
      <c r="BX484" s="81" t="s">
        <v>789</v>
      </c>
    </row>
    <row r="485">
      <c r="A485" s="87" t="s">
        <v>829</v>
      </c>
      <c r="B485" s="88" t="s">
        <v>791</v>
      </c>
      <c r="C485" s="89" t="s">
        <v>830</v>
      </c>
      <c r="D485" s="88"/>
      <c r="E485" s="88" t="s">
        <v>393</v>
      </c>
      <c r="F485" s="90" t="n">
        <v>14.49767</v>
      </c>
      <c r="G485" s="90" t="n">
        <v>0</v>
      </c>
      <c r="H485" s="90">
        <f>F485*AO485</f>
      </c>
      <c r="I485" s="90">
        <f>F485*AP485</f>
      </c>
      <c r="J485" s="90">
        <f>F485*G485</f>
      </c>
      <c r="K485" s="91" t="s">
        <v>100</v>
      </c>
      <c r="Z485" s="56">
        <f>IF(AQ485="5",BJ485,0)</f>
      </c>
      <c r="AB485" s="56">
        <f>IF(AQ485="1",BH485,0)</f>
      </c>
      <c r="AC485" s="56">
        <f>IF(AQ485="1",BI485,0)</f>
      </c>
      <c r="AD485" s="56">
        <f>IF(AQ485="7",BH485,0)</f>
      </c>
      <c r="AE485" s="56">
        <f>IF(AQ485="7",BI485,0)</f>
      </c>
      <c r="AF485" s="56">
        <f>IF(AQ485="2",BH485,0)</f>
      </c>
      <c r="AG485" s="56">
        <f>IF(AQ485="2",BI485,0)</f>
      </c>
      <c r="AH485" s="56">
        <f>IF(AQ485="0",BJ485,0)</f>
      </c>
      <c r="AI485" s="28" t="s">
        <v>57</v>
      </c>
      <c r="AJ485" s="92">
        <f>IF(AN485=0,J485,0)</f>
      </c>
      <c r="AK485" s="92">
        <f>IF(AN485=12,J485,0)</f>
      </c>
      <c r="AL485" s="92">
        <f>IF(AN485=21,J485,0)</f>
      </c>
      <c r="AN485" s="56" t="n">
        <v>21</v>
      </c>
      <c r="AO485" s="56">
        <f>G485*1</f>
      </c>
      <c r="AP485" s="56">
        <f>G485*(1-1)</f>
      </c>
      <c r="AQ485" s="93" t="s">
        <v>85</v>
      </c>
      <c r="AV485" s="56">
        <f>AW485+AX485</f>
      </c>
      <c r="AW485" s="56">
        <f>F485*AO485</f>
      </c>
      <c r="AX485" s="56">
        <f>F485*AP485</f>
      </c>
      <c r="AY485" s="57" t="s">
        <v>750</v>
      </c>
      <c r="AZ485" s="57" t="s">
        <v>536</v>
      </c>
      <c r="BA485" s="28" t="s">
        <v>64</v>
      </c>
      <c r="BC485" s="56">
        <f>AW485+AX485</f>
      </c>
      <c r="BD485" s="56">
        <f>G485/(100-BE485)*100</f>
      </c>
      <c r="BE485" s="56" t="n">
        <v>0</v>
      </c>
      <c r="BF485" s="56">
        <f>485</f>
      </c>
      <c r="BH485" s="92">
        <f>F485*AO485</f>
      </c>
      <c r="BI485" s="92">
        <f>F485*AP485</f>
      </c>
      <c r="BJ485" s="92">
        <f>F485*G485</f>
      </c>
      <c r="BK485" s="92"/>
      <c r="BL485" s="56" t="n">
        <v>764</v>
      </c>
      <c r="BW485" s="56" t="n">
        <v>21</v>
      </c>
      <c r="BX485" s="94" t="s">
        <v>830</v>
      </c>
    </row>
    <row r="486">
      <c r="A486" s="74"/>
      <c r="B486" s="75"/>
      <c r="C486" s="76" t="s">
        <v>831</v>
      </c>
      <c r="D486" s="77" t="s">
        <v>832</v>
      </c>
      <c r="E486" s="75"/>
      <c r="F486" s="78" t="n">
        <v>12.60667</v>
      </c>
      <c r="G486" s="75"/>
      <c r="H486" s="75"/>
      <c r="I486" s="75"/>
      <c r="J486" s="75"/>
      <c r="K486" s="79"/>
    </row>
    <row r="487">
      <c r="A487" s="74"/>
      <c r="B487" s="75"/>
      <c r="C487" s="76" t="s">
        <v>833</v>
      </c>
      <c r="D487" s="77" t="s">
        <v>53</v>
      </c>
      <c r="E487" s="75"/>
      <c r="F487" s="78" t="n">
        <v>1.891</v>
      </c>
      <c r="G487" s="75"/>
      <c r="H487" s="75"/>
      <c r="I487" s="75"/>
      <c r="J487" s="75"/>
      <c r="K487" s="79"/>
    </row>
    <row r="488" ht="24.75">
      <c r="A488" s="58"/>
      <c r="B488" s="80" t="s">
        <v>108</v>
      </c>
      <c r="C488" s="59" t="s">
        <v>796</v>
      </c>
      <c r="D488" s="60"/>
      <c r="E488" s="60"/>
      <c r="F488" s="60"/>
      <c r="G488" s="60"/>
      <c r="H488" s="60"/>
      <c r="I488" s="60"/>
      <c r="J488" s="60"/>
      <c r="K488" s="61"/>
      <c r="BX488" s="95" t="s">
        <v>796</v>
      </c>
    </row>
    <row r="489">
      <c r="A489" s="82" t="s">
        <v>834</v>
      </c>
      <c r="B489" s="83" t="s">
        <v>835</v>
      </c>
      <c r="C489" s="84" t="s">
        <v>836</v>
      </c>
      <c r="D489" s="83"/>
      <c r="E489" s="83" t="s">
        <v>393</v>
      </c>
      <c r="F489" s="85" t="n">
        <v>8.8</v>
      </c>
      <c r="G489" s="85" t="n">
        <v>0</v>
      </c>
      <c r="H489" s="85">
        <f>F489*AO489</f>
      </c>
      <c r="I489" s="85">
        <f>F489*AP489</f>
      </c>
      <c r="J489" s="85">
        <f>F489*G489</f>
      </c>
      <c r="K489" s="86" t="s">
        <v>100</v>
      </c>
      <c r="Z489" s="56">
        <f>IF(AQ489="5",BJ489,0)</f>
      </c>
      <c r="AB489" s="56">
        <f>IF(AQ489="1",BH489,0)</f>
      </c>
      <c r="AC489" s="56">
        <f>IF(AQ489="1",BI489,0)</f>
      </c>
      <c r="AD489" s="56">
        <f>IF(AQ489="7",BH489,0)</f>
      </c>
      <c r="AE489" s="56">
        <f>IF(AQ489="7",BI489,0)</f>
      </c>
      <c r="AF489" s="56">
        <f>IF(AQ489="2",BH489,0)</f>
      </c>
      <c r="AG489" s="56">
        <f>IF(AQ489="2",BI489,0)</f>
      </c>
      <c r="AH489" s="56">
        <f>IF(AQ489="0",BJ489,0)</f>
      </c>
      <c r="AI489" s="28" t="s">
        <v>57</v>
      </c>
      <c r="AJ489" s="56">
        <f>IF(AN489=0,J489,0)</f>
      </c>
      <c r="AK489" s="56">
        <f>IF(AN489=12,J489,0)</f>
      </c>
      <c r="AL489" s="56">
        <f>IF(AN489=21,J489,0)</f>
      </c>
      <c r="AN489" s="56" t="n">
        <v>21</v>
      </c>
      <c r="AO489" s="56">
        <f>G489*0.06610951</f>
      </c>
      <c r="AP489" s="56">
        <f>G489*(1-0.06610951)</f>
      </c>
      <c r="AQ489" s="57" t="s">
        <v>85</v>
      </c>
      <c r="AV489" s="56">
        <f>AW489+AX489</f>
      </c>
      <c r="AW489" s="56">
        <f>F489*AO489</f>
      </c>
      <c r="AX489" s="56">
        <f>F489*AP489</f>
      </c>
      <c r="AY489" s="57" t="s">
        <v>750</v>
      </c>
      <c r="AZ489" s="57" t="s">
        <v>536</v>
      </c>
      <c r="BA489" s="28" t="s">
        <v>64</v>
      </c>
      <c r="BC489" s="56">
        <f>AW489+AX489</f>
      </c>
      <c r="BD489" s="56">
        <f>G489/(100-BE489)*100</f>
      </c>
      <c r="BE489" s="56" t="n">
        <v>0</v>
      </c>
      <c r="BF489" s="56">
        <f>489</f>
      </c>
      <c r="BH489" s="56">
        <f>F489*AO489</f>
      </c>
      <c r="BI489" s="56">
        <f>F489*AP489</f>
      </c>
      <c r="BJ489" s="56">
        <f>F489*G489</f>
      </c>
      <c r="BK489" s="56"/>
      <c r="BL489" s="56" t="n">
        <v>764</v>
      </c>
      <c r="BW489" s="56" t="n">
        <v>21</v>
      </c>
      <c r="BX489" s="14" t="s">
        <v>836</v>
      </c>
    </row>
    <row r="490">
      <c r="A490" s="74"/>
      <c r="B490" s="75"/>
      <c r="C490" s="76" t="s">
        <v>824</v>
      </c>
      <c r="D490" s="77" t="s">
        <v>837</v>
      </c>
      <c r="E490" s="75"/>
      <c r="F490" s="78" t="n">
        <v>8.8</v>
      </c>
      <c r="G490" s="75"/>
      <c r="H490" s="75"/>
      <c r="I490" s="75"/>
      <c r="J490" s="75"/>
      <c r="K490" s="79"/>
    </row>
    <row r="491">
      <c r="A491" s="58"/>
      <c r="B491" s="80" t="s">
        <v>108</v>
      </c>
      <c r="C491" s="59" t="s">
        <v>838</v>
      </c>
      <c r="D491" s="60"/>
      <c r="E491" s="60"/>
      <c r="F491" s="60"/>
      <c r="G491" s="60"/>
      <c r="H491" s="60"/>
      <c r="I491" s="60"/>
      <c r="J491" s="60"/>
      <c r="K491" s="61"/>
      <c r="BX491" s="81" t="s">
        <v>838</v>
      </c>
    </row>
    <row r="492">
      <c r="A492" s="87" t="s">
        <v>839</v>
      </c>
      <c r="B492" s="88" t="s">
        <v>840</v>
      </c>
      <c r="C492" s="89" t="s">
        <v>841</v>
      </c>
      <c r="D492" s="88"/>
      <c r="E492" s="88" t="s">
        <v>242</v>
      </c>
      <c r="F492" s="90" t="n">
        <v>0.01174</v>
      </c>
      <c r="G492" s="90" t="n">
        <v>0</v>
      </c>
      <c r="H492" s="90">
        <f>F492*AO492</f>
      </c>
      <c r="I492" s="90">
        <f>F492*AP492</f>
      </c>
      <c r="J492" s="90">
        <f>F492*G492</f>
      </c>
      <c r="K492" s="91" t="s">
        <v>100</v>
      </c>
      <c r="Z492" s="56">
        <f>IF(AQ492="5",BJ492,0)</f>
      </c>
      <c r="AB492" s="56">
        <f>IF(AQ492="1",BH492,0)</f>
      </c>
      <c r="AC492" s="56">
        <f>IF(AQ492="1",BI492,0)</f>
      </c>
      <c r="AD492" s="56">
        <f>IF(AQ492="7",BH492,0)</f>
      </c>
      <c r="AE492" s="56">
        <f>IF(AQ492="7",BI492,0)</f>
      </c>
      <c r="AF492" s="56">
        <f>IF(AQ492="2",BH492,0)</f>
      </c>
      <c r="AG492" s="56">
        <f>IF(AQ492="2",BI492,0)</f>
      </c>
      <c r="AH492" s="56">
        <f>IF(AQ492="0",BJ492,0)</f>
      </c>
      <c r="AI492" s="28" t="s">
        <v>57</v>
      </c>
      <c r="AJ492" s="92">
        <f>IF(AN492=0,J492,0)</f>
      </c>
      <c r="AK492" s="92">
        <f>IF(AN492=12,J492,0)</f>
      </c>
      <c r="AL492" s="92">
        <f>IF(AN492=21,J492,0)</f>
      </c>
      <c r="AN492" s="56" t="n">
        <v>21</v>
      </c>
      <c r="AO492" s="56">
        <f>G492*1</f>
      </c>
      <c r="AP492" s="56">
        <f>G492*(1-1)</f>
      </c>
      <c r="AQ492" s="93" t="s">
        <v>85</v>
      </c>
      <c r="AV492" s="56">
        <f>AW492+AX492</f>
      </c>
      <c r="AW492" s="56">
        <f>F492*AO492</f>
      </c>
      <c r="AX492" s="56">
        <f>F492*AP492</f>
      </c>
      <c r="AY492" s="57" t="s">
        <v>750</v>
      </c>
      <c r="AZ492" s="57" t="s">
        <v>536</v>
      </c>
      <c r="BA492" s="28" t="s">
        <v>64</v>
      </c>
      <c r="BC492" s="56">
        <f>AW492+AX492</f>
      </c>
      <c r="BD492" s="56">
        <f>G492/(100-BE492)*100</f>
      </c>
      <c r="BE492" s="56" t="n">
        <v>0</v>
      </c>
      <c r="BF492" s="56">
        <f>492</f>
      </c>
      <c r="BH492" s="92">
        <f>F492*AO492</f>
      </c>
      <c r="BI492" s="92">
        <f>F492*AP492</f>
      </c>
      <c r="BJ492" s="92">
        <f>F492*G492</f>
      </c>
      <c r="BK492" s="92"/>
      <c r="BL492" s="56" t="n">
        <v>764</v>
      </c>
      <c r="BW492" s="56" t="n">
        <v>21</v>
      </c>
      <c r="BX492" s="94" t="s">
        <v>841</v>
      </c>
    </row>
    <row r="493">
      <c r="A493" s="74"/>
      <c r="B493" s="75"/>
      <c r="C493" s="76" t="s">
        <v>842</v>
      </c>
      <c r="D493" s="77" t="s">
        <v>837</v>
      </c>
      <c r="E493" s="75"/>
      <c r="F493" s="78" t="n">
        <v>0.00939</v>
      </c>
      <c r="G493" s="75"/>
      <c r="H493" s="75"/>
      <c r="I493" s="75"/>
      <c r="J493" s="75"/>
      <c r="K493" s="79"/>
    </row>
    <row r="494">
      <c r="A494" s="74"/>
      <c r="B494" s="75"/>
      <c r="C494" s="76" t="s">
        <v>843</v>
      </c>
      <c r="D494" s="77" t="s">
        <v>53</v>
      </c>
      <c r="E494" s="75"/>
      <c r="F494" s="78" t="n">
        <v>0.00235</v>
      </c>
      <c r="G494" s="75"/>
      <c r="H494" s="75"/>
      <c r="I494" s="75"/>
      <c r="J494" s="75"/>
      <c r="K494" s="79"/>
    </row>
    <row r="495">
      <c r="A495" s="58"/>
      <c r="B495" s="80" t="s">
        <v>108</v>
      </c>
      <c r="C495" s="59" t="s">
        <v>844</v>
      </c>
      <c r="D495" s="60"/>
      <c r="E495" s="60"/>
      <c r="F495" s="60"/>
      <c r="G495" s="60"/>
      <c r="H495" s="60"/>
      <c r="I495" s="60"/>
      <c r="J495" s="60"/>
      <c r="K495" s="61"/>
      <c r="BX495" s="95" t="s">
        <v>844</v>
      </c>
    </row>
    <row r="496" ht="24.75">
      <c r="A496" s="82" t="s">
        <v>845</v>
      </c>
      <c r="B496" s="83" t="s">
        <v>846</v>
      </c>
      <c r="C496" s="84" t="s">
        <v>847</v>
      </c>
      <c r="D496" s="83"/>
      <c r="E496" s="83" t="s">
        <v>393</v>
      </c>
      <c r="F496" s="85" t="n">
        <v>21.05</v>
      </c>
      <c r="G496" s="85" t="n">
        <v>0</v>
      </c>
      <c r="H496" s="85">
        <f>F496*AO496</f>
      </c>
      <c r="I496" s="85">
        <f>F496*AP496</f>
      </c>
      <c r="J496" s="85">
        <f>F496*G496</f>
      </c>
      <c r="K496" s="86" t="s">
        <v>100</v>
      </c>
      <c r="Z496" s="56">
        <f>IF(AQ496="5",BJ496,0)</f>
      </c>
      <c r="AB496" s="56">
        <f>IF(AQ496="1",BH496,0)</f>
      </c>
      <c r="AC496" s="56">
        <f>IF(AQ496="1",BI496,0)</f>
      </c>
      <c r="AD496" s="56">
        <f>IF(AQ496="7",BH496,0)</f>
      </c>
      <c r="AE496" s="56">
        <f>IF(AQ496="7",BI496,0)</f>
      </c>
      <c r="AF496" s="56">
        <f>IF(AQ496="2",BH496,0)</f>
      </c>
      <c r="AG496" s="56">
        <f>IF(AQ496="2",BI496,0)</f>
      </c>
      <c r="AH496" s="56">
        <f>IF(AQ496="0",BJ496,0)</f>
      </c>
      <c r="AI496" s="28" t="s">
        <v>57</v>
      </c>
      <c r="AJ496" s="56">
        <f>IF(AN496=0,J496,0)</f>
      </c>
      <c r="AK496" s="56">
        <f>IF(AN496=12,J496,0)</f>
      </c>
      <c r="AL496" s="56">
        <f>IF(AN496=21,J496,0)</f>
      </c>
      <c r="AN496" s="56" t="n">
        <v>21</v>
      </c>
      <c r="AO496" s="56">
        <f>G496*0.589213439</f>
      </c>
      <c r="AP496" s="56">
        <f>G496*(1-0.589213439)</f>
      </c>
      <c r="AQ496" s="57" t="s">
        <v>85</v>
      </c>
      <c r="AV496" s="56">
        <f>AW496+AX496</f>
      </c>
      <c r="AW496" s="56">
        <f>F496*AO496</f>
      </c>
      <c r="AX496" s="56">
        <f>F496*AP496</f>
      </c>
      <c r="AY496" s="57" t="s">
        <v>750</v>
      </c>
      <c r="AZ496" s="57" t="s">
        <v>536</v>
      </c>
      <c r="BA496" s="28" t="s">
        <v>64</v>
      </c>
      <c r="BC496" s="56">
        <f>AW496+AX496</f>
      </c>
      <c r="BD496" s="56">
        <f>G496/(100-BE496)*100</f>
      </c>
      <c r="BE496" s="56" t="n">
        <v>0</v>
      </c>
      <c r="BF496" s="56">
        <f>496</f>
      </c>
      <c r="BH496" s="56">
        <f>F496*AO496</f>
      </c>
      <c r="BI496" s="56">
        <f>F496*AP496</f>
      </c>
      <c r="BJ496" s="56">
        <f>F496*G496</f>
      </c>
      <c r="BK496" s="56"/>
      <c r="BL496" s="56" t="n">
        <v>764</v>
      </c>
      <c r="BW496" s="56" t="n">
        <v>21</v>
      </c>
      <c r="BX496" s="14" t="s">
        <v>847</v>
      </c>
    </row>
    <row r="497" customHeight="true" ht="13.5">
      <c r="A497" s="58"/>
      <c r="C497" s="59" t="s">
        <v>848</v>
      </c>
      <c r="D497" s="60"/>
      <c r="E497" s="60"/>
      <c r="F497" s="60"/>
      <c r="G497" s="60"/>
      <c r="H497" s="60"/>
      <c r="I497" s="60"/>
      <c r="J497" s="60"/>
      <c r="K497" s="61"/>
    </row>
    <row r="498">
      <c r="A498" s="68"/>
      <c r="B498" s="69"/>
      <c r="C498" s="70" t="s">
        <v>849</v>
      </c>
      <c r="D498" s="71" t="s">
        <v>850</v>
      </c>
      <c r="E498" s="69"/>
      <c r="F498" s="72" t="n">
        <v>21.05</v>
      </c>
      <c r="G498" s="69"/>
      <c r="H498" s="69"/>
      <c r="I498" s="69"/>
      <c r="J498" s="69"/>
      <c r="K498" s="73"/>
    </row>
    <row r="499" ht="24.75">
      <c r="A499" s="58"/>
      <c r="B499" s="80" t="s">
        <v>108</v>
      </c>
      <c r="C499" s="59" t="s">
        <v>851</v>
      </c>
      <c r="D499" s="60"/>
      <c r="E499" s="60"/>
      <c r="F499" s="60"/>
      <c r="G499" s="60"/>
      <c r="H499" s="60"/>
      <c r="I499" s="60"/>
      <c r="J499" s="60"/>
      <c r="K499" s="61"/>
      <c r="BX499" s="81" t="s">
        <v>851</v>
      </c>
    </row>
    <row r="500" ht="24.75">
      <c r="A500" s="82" t="s">
        <v>852</v>
      </c>
      <c r="B500" s="83" t="s">
        <v>853</v>
      </c>
      <c r="C500" s="84" t="s">
        <v>854</v>
      </c>
      <c r="D500" s="83"/>
      <c r="E500" s="83" t="s">
        <v>393</v>
      </c>
      <c r="F500" s="85" t="n">
        <v>20.2</v>
      </c>
      <c r="G500" s="85" t="n">
        <v>0</v>
      </c>
      <c r="H500" s="85">
        <f>F500*AO500</f>
      </c>
      <c r="I500" s="85">
        <f>F500*AP500</f>
      </c>
      <c r="J500" s="85">
        <f>F500*G500</f>
      </c>
      <c r="K500" s="86" t="s">
        <v>100</v>
      </c>
      <c r="Z500" s="56">
        <f>IF(AQ500="5",BJ500,0)</f>
      </c>
      <c r="AB500" s="56">
        <f>IF(AQ500="1",BH500,0)</f>
      </c>
      <c r="AC500" s="56">
        <f>IF(AQ500="1",BI500,0)</f>
      </c>
      <c r="AD500" s="56">
        <f>IF(AQ500="7",BH500,0)</f>
      </c>
      <c r="AE500" s="56">
        <f>IF(AQ500="7",BI500,0)</f>
      </c>
      <c r="AF500" s="56">
        <f>IF(AQ500="2",BH500,0)</f>
      </c>
      <c r="AG500" s="56">
        <f>IF(AQ500="2",BI500,0)</f>
      </c>
      <c r="AH500" s="56">
        <f>IF(AQ500="0",BJ500,0)</f>
      </c>
      <c r="AI500" s="28" t="s">
        <v>57</v>
      </c>
      <c r="AJ500" s="56">
        <f>IF(AN500=0,J500,0)</f>
      </c>
      <c r="AK500" s="56">
        <f>IF(AN500=12,J500,0)</f>
      </c>
      <c r="AL500" s="56">
        <f>IF(AN500=21,J500,0)</f>
      </c>
      <c r="AN500" s="56" t="n">
        <v>21</v>
      </c>
      <c r="AO500" s="56">
        <f>G500*0.682620482</f>
      </c>
      <c r="AP500" s="56">
        <f>G500*(1-0.682620482)</f>
      </c>
      <c r="AQ500" s="57" t="s">
        <v>85</v>
      </c>
      <c r="AV500" s="56">
        <f>AW500+AX500</f>
      </c>
      <c r="AW500" s="56">
        <f>F500*AO500</f>
      </c>
      <c r="AX500" s="56">
        <f>F500*AP500</f>
      </c>
      <c r="AY500" s="57" t="s">
        <v>750</v>
      </c>
      <c r="AZ500" s="57" t="s">
        <v>536</v>
      </c>
      <c r="BA500" s="28" t="s">
        <v>64</v>
      </c>
      <c r="BC500" s="56">
        <f>AW500+AX500</f>
      </c>
      <c r="BD500" s="56">
        <f>G500/(100-BE500)*100</f>
      </c>
      <c r="BE500" s="56" t="n">
        <v>0</v>
      </c>
      <c r="BF500" s="56">
        <f>500</f>
      </c>
      <c r="BH500" s="56">
        <f>F500*AO500</f>
      </c>
      <c r="BI500" s="56">
        <f>F500*AP500</f>
      </c>
      <c r="BJ500" s="56">
        <f>F500*G500</f>
      </c>
      <c r="BK500" s="56"/>
      <c r="BL500" s="56" t="n">
        <v>764</v>
      </c>
      <c r="BW500" s="56" t="n">
        <v>21</v>
      </c>
      <c r="BX500" s="14" t="s">
        <v>854</v>
      </c>
    </row>
    <row r="501" customHeight="true" ht="27">
      <c r="A501" s="58"/>
      <c r="C501" s="59" t="s">
        <v>855</v>
      </c>
      <c r="D501" s="60"/>
      <c r="E501" s="60"/>
      <c r="F501" s="60"/>
      <c r="G501" s="60"/>
      <c r="H501" s="60"/>
      <c r="I501" s="60"/>
      <c r="J501" s="60"/>
      <c r="K501" s="61"/>
    </row>
    <row r="502">
      <c r="A502" s="68"/>
      <c r="B502" s="69"/>
      <c r="C502" s="70" t="s">
        <v>856</v>
      </c>
      <c r="D502" s="71" t="s">
        <v>857</v>
      </c>
      <c r="E502" s="69"/>
      <c r="F502" s="72" t="n">
        <v>8.85</v>
      </c>
      <c r="G502" s="69"/>
      <c r="H502" s="69"/>
      <c r="I502" s="69"/>
      <c r="J502" s="69"/>
      <c r="K502" s="73"/>
    </row>
    <row r="503">
      <c r="A503" s="74"/>
      <c r="B503" s="75"/>
      <c r="C503" s="76" t="s">
        <v>858</v>
      </c>
      <c r="D503" s="77" t="s">
        <v>859</v>
      </c>
      <c r="E503" s="75"/>
      <c r="F503" s="78" t="n">
        <v>11.35</v>
      </c>
      <c r="G503" s="75"/>
      <c r="H503" s="75"/>
      <c r="I503" s="75"/>
      <c r="J503" s="75"/>
      <c r="K503" s="79"/>
    </row>
    <row r="504" ht="36.75">
      <c r="A504" s="58"/>
      <c r="B504" s="80" t="s">
        <v>108</v>
      </c>
      <c r="C504" s="59" t="s">
        <v>860</v>
      </c>
      <c r="D504" s="60"/>
      <c r="E504" s="60"/>
      <c r="F504" s="60"/>
      <c r="G504" s="60"/>
      <c r="H504" s="60"/>
      <c r="I504" s="60"/>
      <c r="J504" s="60"/>
      <c r="K504" s="61"/>
      <c r="BX504" s="81" t="s">
        <v>860</v>
      </c>
    </row>
    <row r="505">
      <c r="A505" s="82" t="s">
        <v>861</v>
      </c>
      <c r="B505" s="83" t="s">
        <v>862</v>
      </c>
      <c r="C505" s="84" t="s">
        <v>863</v>
      </c>
      <c r="D505" s="83"/>
      <c r="E505" s="83" t="s">
        <v>180</v>
      </c>
      <c r="F505" s="85" t="n">
        <v>1</v>
      </c>
      <c r="G505" s="85" t="n">
        <v>0</v>
      </c>
      <c r="H505" s="85">
        <f>F505*AO505</f>
      </c>
      <c r="I505" s="85">
        <f>F505*AP505</f>
      </c>
      <c r="J505" s="85">
        <f>F505*G505</f>
      </c>
      <c r="K505" s="86" t="s">
        <v>100</v>
      </c>
      <c r="Z505" s="56">
        <f>IF(AQ505="5",BJ505,0)</f>
      </c>
      <c r="AB505" s="56">
        <f>IF(AQ505="1",BH505,0)</f>
      </c>
      <c r="AC505" s="56">
        <f>IF(AQ505="1",BI505,0)</f>
      </c>
      <c r="AD505" s="56">
        <f>IF(AQ505="7",BH505,0)</f>
      </c>
      <c r="AE505" s="56">
        <f>IF(AQ505="7",BI505,0)</f>
      </c>
      <c r="AF505" s="56">
        <f>IF(AQ505="2",BH505,0)</f>
      </c>
      <c r="AG505" s="56">
        <f>IF(AQ505="2",BI505,0)</f>
      </c>
      <c r="AH505" s="56">
        <f>IF(AQ505="0",BJ505,0)</f>
      </c>
      <c r="AI505" s="28" t="s">
        <v>57</v>
      </c>
      <c r="AJ505" s="56">
        <f>IF(AN505=0,J505,0)</f>
      </c>
      <c r="AK505" s="56">
        <f>IF(AN505=12,J505,0)</f>
      </c>
      <c r="AL505" s="56">
        <f>IF(AN505=21,J505,0)</f>
      </c>
      <c r="AN505" s="56" t="n">
        <v>21</v>
      </c>
      <c r="AO505" s="56">
        <f>G505*0.048454259</f>
      </c>
      <c r="AP505" s="56">
        <f>G505*(1-0.048454259)</f>
      </c>
      <c r="AQ505" s="57" t="s">
        <v>85</v>
      </c>
      <c r="AV505" s="56">
        <f>AW505+AX505</f>
      </c>
      <c r="AW505" s="56">
        <f>F505*AO505</f>
      </c>
      <c r="AX505" s="56">
        <f>F505*AP505</f>
      </c>
      <c r="AY505" s="57" t="s">
        <v>750</v>
      </c>
      <c r="AZ505" s="57" t="s">
        <v>536</v>
      </c>
      <c r="BA505" s="28" t="s">
        <v>64</v>
      </c>
      <c r="BC505" s="56">
        <f>AW505+AX505</f>
      </c>
      <c r="BD505" s="56">
        <f>G505/(100-BE505)*100</f>
      </c>
      <c r="BE505" s="56" t="n">
        <v>0</v>
      </c>
      <c r="BF505" s="56">
        <f>505</f>
      </c>
      <c r="BH505" s="56">
        <f>F505*AO505</f>
      </c>
      <c r="BI505" s="56">
        <f>F505*AP505</f>
      </c>
      <c r="BJ505" s="56">
        <f>F505*G505</f>
      </c>
      <c r="BK505" s="56"/>
      <c r="BL505" s="56" t="n">
        <v>764</v>
      </c>
      <c r="BW505" s="56" t="n">
        <v>21</v>
      </c>
      <c r="BX505" s="14" t="s">
        <v>863</v>
      </c>
    </row>
    <row r="506">
      <c r="A506" s="74"/>
      <c r="B506" s="75"/>
      <c r="C506" s="76" t="s">
        <v>58</v>
      </c>
      <c r="D506" s="77" t="s">
        <v>864</v>
      </c>
      <c r="E506" s="75"/>
      <c r="F506" s="78" t="n">
        <v>1</v>
      </c>
      <c r="G506" s="75"/>
      <c r="H506" s="75"/>
      <c r="I506" s="75"/>
      <c r="J506" s="75"/>
      <c r="K506" s="79"/>
    </row>
    <row r="507">
      <c r="A507" s="58"/>
      <c r="B507" s="80" t="s">
        <v>108</v>
      </c>
      <c r="C507" s="59" t="s">
        <v>838</v>
      </c>
      <c r="D507" s="60"/>
      <c r="E507" s="60"/>
      <c r="F507" s="60"/>
      <c r="G507" s="60"/>
      <c r="H507" s="60"/>
      <c r="I507" s="60"/>
      <c r="J507" s="60"/>
      <c r="K507" s="61"/>
      <c r="BX507" s="81" t="s">
        <v>838</v>
      </c>
    </row>
    <row r="508">
      <c r="A508" s="87" t="s">
        <v>865</v>
      </c>
      <c r="B508" s="88" t="s">
        <v>866</v>
      </c>
      <c r="C508" s="89" t="s">
        <v>867</v>
      </c>
      <c r="D508" s="88"/>
      <c r="E508" s="88" t="s">
        <v>393</v>
      </c>
      <c r="F508" s="90" t="n">
        <v>0.55</v>
      </c>
      <c r="G508" s="90" t="n">
        <v>0</v>
      </c>
      <c r="H508" s="90">
        <f>F508*AO508</f>
      </c>
      <c r="I508" s="90">
        <f>F508*AP508</f>
      </c>
      <c r="J508" s="90">
        <f>F508*G508</f>
      </c>
      <c r="K508" s="91" t="s">
        <v>100</v>
      </c>
      <c r="Z508" s="56">
        <f>IF(AQ508="5",BJ508,0)</f>
      </c>
      <c r="AB508" s="56">
        <f>IF(AQ508="1",BH508,0)</f>
      </c>
      <c r="AC508" s="56">
        <f>IF(AQ508="1",BI508,0)</f>
      </c>
      <c r="AD508" s="56">
        <f>IF(AQ508="7",BH508,0)</f>
      </c>
      <c r="AE508" s="56">
        <f>IF(AQ508="7",BI508,0)</f>
      </c>
      <c r="AF508" s="56">
        <f>IF(AQ508="2",BH508,0)</f>
      </c>
      <c r="AG508" s="56">
        <f>IF(AQ508="2",BI508,0)</f>
      </c>
      <c r="AH508" s="56">
        <f>IF(AQ508="0",BJ508,0)</f>
      </c>
      <c r="AI508" s="28" t="s">
        <v>57</v>
      </c>
      <c r="AJ508" s="92">
        <f>IF(AN508=0,J508,0)</f>
      </c>
      <c r="AK508" s="92">
        <f>IF(AN508=12,J508,0)</f>
      </c>
      <c r="AL508" s="92">
        <f>IF(AN508=21,J508,0)</f>
      </c>
      <c r="AN508" s="56" t="n">
        <v>21</v>
      </c>
      <c r="AO508" s="56">
        <f>G508*1</f>
      </c>
      <c r="AP508" s="56">
        <f>G508*(1-1)</f>
      </c>
      <c r="AQ508" s="93" t="s">
        <v>85</v>
      </c>
      <c r="AV508" s="56">
        <f>AW508+AX508</f>
      </c>
      <c r="AW508" s="56">
        <f>F508*AO508</f>
      </c>
      <c r="AX508" s="56">
        <f>F508*AP508</f>
      </c>
      <c r="AY508" s="57" t="s">
        <v>750</v>
      </c>
      <c r="AZ508" s="57" t="s">
        <v>536</v>
      </c>
      <c r="BA508" s="28" t="s">
        <v>64</v>
      </c>
      <c r="BC508" s="56">
        <f>AW508+AX508</f>
      </c>
      <c r="BD508" s="56">
        <f>G508/(100-BE508)*100</f>
      </c>
      <c r="BE508" s="56" t="n">
        <v>0</v>
      </c>
      <c r="BF508" s="56">
        <f>508</f>
      </c>
      <c r="BH508" s="92">
        <f>F508*AO508</f>
      </c>
      <c r="BI508" s="92">
        <f>F508*AP508</f>
      </c>
      <c r="BJ508" s="92">
        <f>F508*G508</f>
      </c>
      <c r="BK508" s="92"/>
      <c r="BL508" s="56" t="n">
        <v>764</v>
      </c>
      <c r="BW508" s="56" t="n">
        <v>21</v>
      </c>
      <c r="BX508" s="94" t="s">
        <v>867</v>
      </c>
    </row>
    <row r="509">
      <c r="A509" s="74"/>
      <c r="B509" s="75"/>
      <c r="C509" s="76" t="s">
        <v>868</v>
      </c>
      <c r="D509" s="77" t="s">
        <v>864</v>
      </c>
      <c r="E509" s="75"/>
      <c r="F509" s="78" t="n">
        <v>0.5</v>
      </c>
      <c r="G509" s="75"/>
      <c r="H509" s="75"/>
      <c r="I509" s="75"/>
      <c r="J509" s="75"/>
      <c r="K509" s="79"/>
    </row>
    <row r="510">
      <c r="A510" s="74"/>
      <c r="B510" s="75"/>
      <c r="C510" s="76" t="s">
        <v>869</v>
      </c>
      <c r="D510" s="77" t="s">
        <v>53</v>
      </c>
      <c r="E510" s="75"/>
      <c r="F510" s="78" t="n">
        <v>0.05</v>
      </c>
      <c r="G510" s="75"/>
      <c r="H510" s="75"/>
      <c r="I510" s="75"/>
      <c r="J510" s="75"/>
      <c r="K510" s="79"/>
    </row>
    <row r="511" ht="36.75">
      <c r="A511" s="58"/>
      <c r="B511" s="80" t="s">
        <v>108</v>
      </c>
      <c r="C511" s="59" t="s">
        <v>870</v>
      </c>
      <c r="D511" s="60"/>
      <c r="E511" s="60"/>
      <c r="F511" s="60"/>
      <c r="G511" s="60"/>
      <c r="H511" s="60"/>
      <c r="I511" s="60"/>
      <c r="J511" s="60"/>
      <c r="K511" s="61"/>
      <c r="BX511" s="95" t="s">
        <v>870</v>
      </c>
    </row>
    <row r="512" ht="24.75">
      <c r="A512" s="82" t="s">
        <v>871</v>
      </c>
      <c r="B512" s="83" t="s">
        <v>872</v>
      </c>
      <c r="C512" s="84" t="s">
        <v>873</v>
      </c>
      <c r="D512" s="83"/>
      <c r="E512" s="83" t="s">
        <v>393</v>
      </c>
      <c r="F512" s="85" t="n">
        <v>52.9</v>
      </c>
      <c r="G512" s="85" t="n">
        <v>0</v>
      </c>
      <c r="H512" s="85">
        <f>F512*AO512</f>
      </c>
      <c r="I512" s="85">
        <f>F512*AP512</f>
      </c>
      <c r="J512" s="85">
        <f>F512*G512</f>
      </c>
      <c r="K512" s="86" t="s">
        <v>100</v>
      </c>
      <c r="Z512" s="56">
        <f>IF(AQ512="5",BJ512,0)</f>
      </c>
      <c r="AB512" s="56">
        <f>IF(AQ512="1",BH512,0)</f>
      </c>
      <c r="AC512" s="56">
        <f>IF(AQ512="1",BI512,0)</f>
      </c>
      <c r="AD512" s="56">
        <f>IF(AQ512="7",BH512,0)</f>
      </c>
      <c r="AE512" s="56">
        <f>IF(AQ512="7",BI512,0)</f>
      </c>
      <c r="AF512" s="56">
        <f>IF(AQ512="2",BH512,0)</f>
      </c>
      <c r="AG512" s="56">
        <f>IF(AQ512="2",BI512,0)</f>
      </c>
      <c r="AH512" s="56">
        <f>IF(AQ512="0",BJ512,0)</f>
      </c>
      <c r="AI512" s="28" t="s">
        <v>57</v>
      </c>
      <c r="AJ512" s="56">
        <f>IF(AN512=0,J512,0)</f>
      </c>
      <c r="AK512" s="56">
        <f>IF(AN512=12,J512,0)</f>
      </c>
      <c r="AL512" s="56">
        <f>IF(AN512=21,J512,0)</f>
      </c>
      <c r="AN512" s="56" t="n">
        <v>21</v>
      </c>
      <c r="AO512" s="56">
        <f>G512*0.810284879</f>
      </c>
      <c r="AP512" s="56">
        <f>G512*(1-0.810284879)</f>
      </c>
      <c r="AQ512" s="57" t="s">
        <v>85</v>
      </c>
      <c r="AV512" s="56">
        <f>AW512+AX512</f>
      </c>
      <c r="AW512" s="56">
        <f>F512*AO512</f>
      </c>
      <c r="AX512" s="56">
        <f>F512*AP512</f>
      </c>
      <c r="AY512" s="57" t="s">
        <v>750</v>
      </c>
      <c r="AZ512" s="57" t="s">
        <v>536</v>
      </c>
      <c r="BA512" s="28" t="s">
        <v>64</v>
      </c>
      <c r="BC512" s="56">
        <f>AW512+AX512</f>
      </c>
      <c r="BD512" s="56">
        <f>G512/(100-BE512)*100</f>
      </c>
      <c r="BE512" s="56" t="n">
        <v>0</v>
      </c>
      <c r="BF512" s="56">
        <f>512</f>
      </c>
      <c r="BH512" s="56">
        <f>F512*AO512</f>
      </c>
      <c r="BI512" s="56">
        <f>F512*AP512</f>
      </c>
      <c r="BJ512" s="56">
        <f>F512*G512</f>
      </c>
      <c r="BK512" s="56"/>
      <c r="BL512" s="56" t="n">
        <v>764</v>
      </c>
      <c r="BW512" s="56" t="n">
        <v>21</v>
      </c>
      <c r="BX512" s="14" t="s">
        <v>873</v>
      </c>
    </row>
    <row r="513" customHeight="true" ht="13.5">
      <c r="A513" s="58"/>
      <c r="C513" s="59" t="s">
        <v>848</v>
      </c>
      <c r="D513" s="60"/>
      <c r="E513" s="60"/>
      <c r="F513" s="60"/>
      <c r="G513" s="60"/>
      <c r="H513" s="60"/>
      <c r="I513" s="60"/>
      <c r="J513" s="60"/>
      <c r="K513" s="61"/>
    </row>
    <row r="514">
      <c r="A514" s="68"/>
      <c r="B514" s="69"/>
      <c r="C514" s="70" t="s">
        <v>874</v>
      </c>
      <c r="D514" s="71" t="s">
        <v>875</v>
      </c>
      <c r="E514" s="69"/>
      <c r="F514" s="72" t="n">
        <v>20.4</v>
      </c>
      <c r="G514" s="69"/>
      <c r="H514" s="69"/>
      <c r="I514" s="69"/>
      <c r="J514" s="69"/>
      <c r="K514" s="73"/>
    </row>
    <row r="515">
      <c r="A515" s="74"/>
      <c r="B515" s="75"/>
      <c r="C515" s="76" t="s">
        <v>876</v>
      </c>
      <c r="D515" s="77" t="s">
        <v>877</v>
      </c>
      <c r="E515" s="75"/>
      <c r="F515" s="78" t="n">
        <v>11.15</v>
      </c>
      <c r="G515" s="75"/>
      <c r="H515" s="75"/>
      <c r="I515" s="75"/>
      <c r="J515" s="75"/>
      <c r="K515" s="79"/>
    </row>
    <row r="516">
      <c r="A516" s="74"/>
      <c r="B516" s="75"/>
      <c r="C516" s="76" t="s">
        <v>878</v>
      </c>
      <c r="D516" s="77" t="s">
        <v>879</v>
      </c>
      <c r="E516" s="75"/>
      <c r="F516" s="78" t="n">
        <v>13.4</v>
      </c>
      <c r="G516" s="75"/>
      <c r="H516" s="75"/>
      <c r="I516" s="75"/>
      <c r="J516" s="75"/>
      <c r="K516" s="79"/>
    </row>
    <row r="517">
      <c r="A517" s="74"/>
      <c r="B517" s="75"/>
      <c r="C517" s="76" t="s">
        <v>880</v>
      </c>
      <c r="D517" s="77" t="s">
        <v>881</v>
      </c>
      <c r="E517" s="75"/>
      <c r="F517" s="78" t="n">
        <v>2.8</v>
      </c>
      <c r="G517" s="75"/>
      <c r="H517" s="75"/>
      <c r="I517" s="75"/>
      <c r="J517" s="75"/>
      <c r="K517" s="79"/>
    </row>
    <row r="518">
      <c r="A518" s="74"/>
      <c r="B518" s="75"/>
      <c r="C518" s="76" t="s">
        <v>882</v>
      </c>
      <c r="D518" s="77" t="s">
        <v>883</v>
      </c>
      <c r="E518" s="75"/>
      <c r="F518" s="78" t="n">
        <v>5.15</v>
      </c>
      <c r="G518" s="75"/>
      <c r="H518" s="75"/>
      <c r="I518" s="75"/>
      <c r="J518" s="75"/>
      <c r="K518" s="79"/>
    </row>
    <row r="519">
      <c r="A519" s="58"/>
      <c r="B519" s="80" t="s">
        <v>108</v>
      </c>
      <c r="C519" s="59" t="s">
        <v>884</v>
      </c>
      <c r="D519" s="60"/>
      <c r="E519" s="60"/>
      <c r="F519" s="60"/>
      <c r="G519" s="60"/>
      <c r="H519" s="60"/>
      <c r="I519" s="60"/>
      <c r="J519" s="60"/>
      <c r="K519" s="61"/>
      <c r="BX519" s="81" t="s">
        <v>884</v>
      </c>
    </row>
    <row r="520">
      <c r="A520" s="82" t="s">
        <v>885</v>
      </c>
      <c r="B520" s="83" t="s">
        <v>886</v>
      </c>
      <c r="C520" s="84" t="s">
        <v>887</v>
      </c>
      <c r="D520" s="83"/>
      <c r="E520" s="83" t="s">
        <v>393</v>
      </c>
      <c r="F520" s="85" t="n">
        <v>52.05</v>
      </c>
      <c r="G520" s="85" t="n">
        <v>0</v>
      </c>
      <c r="H520" s="85">
        <f>F520*AO520</f>
      </c>
      <c r="I520" s="85">
        <f>F520*AP520</f>
      </c>
      <c r="J520" s="85">
        <f>F520*G520</f>
      </c>
      <c r="K520" s="86" t="s">
        <v>100</v>
      </c>
      <c r="Z520" s="56">
        <f>IF(AQ520="5",BJ520,0)</f>
      </c>
      <c r="AB520" s="56">
        <f>IF(AQ520="1",BH520,0)</f>
      </c>
      <c r="AC520" s="56">
        <f>IF(AQ520="1",BI520,0)</f>
      </c>
      <c r="AD520" s="56">
        <f>IF(AQ520="7",BH520,0)</f>
      </c>
      <c r="AE520" s="56">
        <f>IF(AQ520="7",BI520,0)</f>
      </c>
      <c r="AF520" s="56">
        <f>IF(AQ520="2",BH520,0)</f>
      </c>
      <c r="AG520" s="56">
        <f>IF(AQ520="2",BI520,0)</f>
      </c>
      <c r="AH520" s="56">
        <f>IF(AQ520="0",BJ520,0)</f>
      </c>
      <c r="AI520" s="28" t="s">
        <v>57</v>
      </c>
      <c r="AJ520" s="56">
        <f>IF(AN520=0,J520,0)</f>
      </c>
      <c r="AK520" s="56">
        <f>IF(AN520=12,J520,0)</f>
      </c>
      <c r="AL520" s="56">
        <f>IF(AN520=21,J520,0)</f>
      </c>
      <c r="AN520" s="56" t="n">
        <v>21</v>
      </c>
      <c r="AO520" s="56">
        <f>G520*0.027367022</f>
      </c>
      <c r="AP520" s="56">
        <f>G520*(1-0.027367022)</f>
      </c>
      <c r="AQ520" s="57" t="s">
        <v>85</v>
      </c>
      <c r="AV520" s="56">
        <f>AW520+AX520</f>
      </c>
      <c r="AW520" s="56">
        <f>F520*AO520</f>
      </c>
      <c r="AX520" s="56">
        <f>F520*AP520</f>
      </c>
      <c r="AY520" s="57" t="s">
        <v>750</v>
      </c>
      <c r="AZ520" s="57" t="s">
        <v>536</v>
      </c>
      <c r="BA520" s="28" t="s">
        <v>64</v>
      </c>
      <c r="BC520" s="56">
        <f>AW520+AX520</f>
      </c>
      <c r="BD520" s="56">
        <f>G520/(100-BE520)*100</f>
      </c>
      <c r="BE520" s="56" t="n">
        <v>0</v>
      </c>
      <c r="BF520" s="56">
        <f>520</f>
      </c>
      <c r="BH520" s="56">
        <f>F520*AO520</f>
      </c>
      <c r="BI520" s="56">
        <f>F520*AP520</f>
      </c>
      <c r="BJ520" s="56">
        <f>F520*G520</f>
      </c>
      <c r="BK520" s="56"/>
      <c r="BL520" s="56" t="n">
        <v>764</v>
      </c>
      <c r="BW520" s="56" t="n">
        <v>21</v>
      </c>
      <c r="BX520" s="14" t="s">
        <v>887</v>
      </c>
    </row>
    <row r="521">
      <c r="A521" s="74"/>
      <c r="B521" s="75"/>
      <c r="C521" s="76" t="s">
        <v>888</v>
      </c>
      <c r="D521" s="77" t="s">
        <v>889</v>
      </c>
      <c r="E521" s="75"/>
      <c r="F521" s="78" t="n">
        <v>52.05</v>
      </c>
      <c r="G521" s="75"/>
      <c r="H521" s="75"/>
      <c r="I521" s="75"/>
      <c r="J521" s="75"/>
      <c r="K521" s="79"/>
    </row>
    <row r="522">
      <c r="A522" s="58"/>
      <c r="B522" s="80" t="s">
        <v>108</v>
      </c>
      <c r="C522" s="59" t="s">
        <v>838</v>
      </c>
      <c r="D522" s="60"/>
      <c r="E522" s="60"/>
      <c r="F522" s="60"/>
      <c r="G522" s="60"/>
      <c r="H522" s="60"/>
      <c r="I522" s="60"/>
      <c r="J522" s="60"/>
      <c r="K522" s="61"/>
      <c r="BX522" s="81" t="s">
        <v>838</v>
      </c>
    </row>
    <row r="523">
      <c r="A523" s="87" t="s">
        <v>890</v>
      </c>
      <c r="B523" s="88" t="s">
        <v>891</v>
      </c>
      <c r="C523" s="89" t="s">
        <v>892</v>
      </c>
      <c r="D523" s="88"/>
      <c r="E523" s="88" t="s">
        <v>180</v>
      </c>
      <c r="F523" s="90" t="n">
        <v>89.3525</v>
      </c>
      <c r="G523" s="90" t="n">
        <v>0</v>
      </c>
      <c r="H523" s="90">
        <f>F523*AO523</f>
      </c>
      <c r="I523" s="90">
        <f>F523*AP523</f>
      </c>
      <c r="J523" s="90">
        <f>F523*G523</f>
      </c>
      <c r="K523" s="91" t="s">
        <v>71</v>
      </c>
      <c r="Z523" s="56">
        <f>IF(AQ523="5",BJ523,0)</f>
      </c>
      <c r="AB523" s="56">
        <f>IF(AQ523="1",BH523,0)</f>
      </c>
      <c r="AC523" s="56">
        <f>IF(AQ523="1",BI523,0)</f>
      </c>
      <c r="AD523" s="56">
        <f>IF(AQ523="7",BH523,0)</f>
      </c>
      <c r="AE523" s="56">
        <f>IF(AQ523="7",BI523,0)</f>
      </c>
      <c r="AF523" s="56">
        <f>IF(AQ523="2",BH523,0)</f>
      </c>
      <c r="AG523" s="56">
        <f>IF(AQ523="2",BI523,0)</f>
      </c>
      <c r="AH523" s="56">
        <f>IF(AQ523="0",BJ523,0)</f>
      </c>
      <c r="AI523" s="28" t="s">
        <v>57</v>
      </c>
      <c r="AJ523" s="92">
        <f>IF(AN523=0,J523,0)</f>
      </c>
      <c r="AK523" s="92">
        <f>IF(AN523=12,J523,0)</f>
      </c>
      <c r="AL523" s="92">
        <f>IF(AN523=21,J523,0)</f>
      </c>
      <c r="AN523" s="56" t="n">
        <v>21</v>
      </c>
      <c r="AO523" s="56">
        <f>G523*1</f>
      </c>
      <c r="AP523" s="56">
        <f>G523*(1-1)</f>
      </c>
      <c r="AQ523" s="93" t="s">
        <v>85</v>
      </c>
      <c r="AV523" s="56">
        <f>AW523+AX523</f>
      </c>
      <c r="AW523" s="56">
        <f>F523*AO523</f>
      </c>
      <c r="AX523" s="56">
        <f>F523*AP523</f>
      </c>
      <c r="AY523" s="57" t="s">
        <v>750</v>
      </c>
      <c r="AZ523" s="57" t="s">
        <v>536</v>
      </c>
      <c r="BA523" s="28" t="s">
        <v>64</v>
      </c>
      <c r="BC523" s="56">
        <f>AW523+AX523</f>
      </c>
      <c r="BD523" s="56">
        <f>G523/(100-BE523)*100</f>
      </c>
      <c r="BE523" s="56" t="n">
        <v>0</v>
      </c>
      <c r="BF523" s="56">
        <f>523</f>
      </c>
      <c r="BH523" s="92">
        <f>F523*AO523</f>
      </c>
      <c r="BI523" s="92">
        <f>F523*AP523</f>
      </c>
      <c r="BJ523" s="92">
        <f>F523*G523</f>
      </c>
      <c r="BK523" s="92"/>
      <c r="BL523" s="56" t="n">
        <v>764</v>
      </c>
      <c r="BW523" s="56" t="n">
        <v>21</v>
      </c>
      <c r="BX523" s="94" t="s">
        <v>892</v>
      </c>
    </row>
    <row r="524">
      <c r="A524" s="74"/>
      <c r="B524" s="75"/>
      <c r="C524" s="76" t="s">
        <v>893</v>
      </c>
      <c r="D524" s="77" t="s">
        <v>53</v>
      </c>
      <c r="E524" s="75"/>
      <c r="F524" s="78" t="n">
        <v>86.75</v>
      </c>
      <c r="G524" s="75"/>
      <c r="H524" s="75"/>
      <c r="I524" s="75"/>
      <c r="J524" s="75"/>
      <c r="K524" s="79"/>
    </row>
    <row r="525">
      <c r="A525" s="74"/>
      <c r="B525" s="75"/>
      <c r="C525" s="76" t="s">
        <v>894</v>
      </c>
      <c r="D525" s="77" t="s">
        <v>53</v>
      </c>
      <c r="E525" s="75"/>
      <c r="F525" s="78" t="n">
        <v>2.6025</v>
      </c>
      <c r="G525" s="75"/>
      <c r="H525" s="75"/>
      <c r="I525" s="75"/>
      <c r="J525" s="75"/>
      <c r="K525" s="79"/>
    </row>
    <row r="526">
      <c r="A526" s="58"/>
      <c r="B526" s="80" t="s">
        <v>108</v>
      </c>
      <c r="C526" s="59" t="s">
        <v>895</v>
      </c>
      <c r="D526" s="60"/>
      <c r="E526" s="60"/>
      <c r="F526" s="60"/>
      <c r="G526" s="60"/>
      <c r="H526" s="60"/>
      <c r="I526" s="60"/>
      <c r="J526" s="60"/>
      <c r="K526" s="61"/>
      <c r="BX526" s="95" t="s">
        <v>895</v>
      </c>
    </row>
    <row r="527">
      <c r="A527" s="87" t="s">
        <v>896</v>
      </c>
      <c r="B527" s="88" t="s">
        <v>897</v>
      </c>
      <c r="C527" s="89" t="s">
        <v>898</v>
      </c>
      <c r="D527" s="88"/>
      <c r="E527" s="88" t="s">
        <v>393</v>
      </c>
      <c r="F527" s="90" t="n">
        <v>54.6525</v>
      </c>
      <c r="G527" s="90" t="n">
        <v>0</v>
      </c>
      <c r="H527" s="90">
        <f>F527*AO527</f>
      </c>
      <c r="I527" s="90">
        <f>F527*AP527</f>
      </c>
      <c r="J527" s="90">
        <f>F527*G527</f>
      </c>
      <c r="K527" s="91" t="s">
        <v>71</v>
      </c>
      <c r="Z527" s="56">
        <f>IF(AQ527="5",BJ527,0)</f>
      </c>
      <c r="AB527" s="56">
        <f>IF(AQ527="1",BH527,0)</f>
      </c>
      <c r="AC527" s="56">
        <f>IF(AQ527="1",BI527,0)</f>
      </c>
      <c r="AD527" s="56">
        <f>IF(AQ527="7",BH527,0)</f>
      </c>
      <c r="AE527" s="56">
        <f>IF(AQ527="7",BI527,0)</f>
      </c>
      <c r="AF527" s="56">
        <f>IF(AQ527="2",BH527,0)</f>
      </c>
      <c r="AG527" s="56">
        <f>IF(AQ527="2",BI527,0)</f>
      </c>
      <c r="AH527" s="56">
        <f>IF(AQ527="0",BJ527,0)</f>
      </c>
      <c r="AI527" s="28" t="s">
        <v>57</v>
      </c>
      <c r="AJ527" s="92">
        <f>IF(AN527=0,J527,0)</f>
      </c>
      <c r="AK527" s="92">
        <f>IF(AN527=12,J527,0)</f>
      </c>
      <c r="AL527" s="92">
        <f>IF(AN527=21,J527,0)</f>
      </c>
      <c r="AN527" s="56" t="n">
        <v>21</v>
      </c>
      <c r="AO527" s="56">
        <f>G527*1</f>
      </c>
      <c r="AP527" s="56">
        <f>G527*(1-1)</f>
      </c>
      <c r="AQ527" s="93" t="s">
        <v>85</v>
      </c>
      <c r="AV527" s="56">
        <f>AW527+AX527</f>
      </c>
      <c r="AW527" s="56">
        <f>F527*AO527</f>
      </c>
      <c r="AX527" s="56">
        <f>F527*AP527</f>
      </c>
      <c r="AY527" s="57" t="s">
        <v>750</v>
      </c>
      <c r="AZ527" s="57" t="s">
        <v>536</v>
      </c>
      <c r="BA527" s="28" t="s">
        <v>64</v>
      </c>
      <c r="BC527" s="56">
        <f>AW527+AX527</f>
      </c>
      <c r="BD527" s="56">
        <f>G527/(100-BE527)*100</f>
      </c>
      <c r="BE527" s="56" t="n">
        <v>0</v>
      </c>
      <c r="BF527" s="56">
        <f>527</f>
      </c>
      <c r="BH527" s="92">
        <f>F527*AO527</f>
      </c>
      <c r="BI527" s="92">
        <f>F527*AP527</f>
      </c>
      <c r="BJ527" s="92">
        <f>F527*G527</f>
      </c>
      <c r="BK527" s="92"/>
      <c r="BL527" s="56" t="n">
        <v>764</v>
      </c>
      <c r="BW527" s="56" t="n">
        <v>21</v>
      </c>
      <c r="BX527" s="94" t="s">
        <v>898</v>
      </c>
    </row>
    <row r="528">
      <c r="A528" s="74"/>
      <c r="B528" s="75"/>
      <c r="C528" s="76" t="s">
        <v>899</v>
      </c>
      <c r="D528" s="77" t="s">
        <v>53</v>
      </c>
      <c r="E528" s="75"/>
      <c r="F528" s="78" t="n">
        <v>52.05</v>
      </c>
      <c r="G528" s="75"/>
      <c r="H528" s="75"/>
      <c r="I528" s="75"/>
      <c r="J528" s="75"/>
      <c r="K528" s="79"/>
    </row>
    <row r="529">
      <c r="A529" s="74"/>
      <c r="B529" s="75"/>
      <c r="C529" s="76" t="s">
        <v>900</v>
      </c>
      <c r="D529" s="77" t="s">
        <v>53</v>
      </c>
      <c r="E529" s="75"/>
      <c r="F529" s="78" t="n">
        <v>2.6025</v>
      </c>
      <c r="G529" s="75"/>
      <c r="H529" s="75"/>
      <c r="I529" s="75"/>
      <c r="J529" s="75"/>
      <c r="K529" s="79"/>
    </row>
    <row r="530">
      <c r="A530" s="58"/>
      <c r="B530" s="80" t="s">
        <v>108</v>
      </c>
      <c r="C530" s="59" t="s">
        <v>901</v>
      </c>
      <c r="D530" s="60"/>
      <c r="E530" s="60"/>
      <c r="F530" s="60"/>
      <c r="G530" s="60"/>
      <c r="H530" s="60"/>
      <c r="I530" s="60"/>
      <c r="J530" s="60"/>
      <c r="K530" s="61"/>
      <c r="BX530" s="95" t="s">
        <v>901</v>
      </c>
    </row>
    <row r="531">
      <c r="A531" s="87" t="s">
        <v>902</v>
      </c>
      <c r="B531" s="88" t="s">
        <v>903</v>
      </c>
      <c r="C531" s="89" t="s">
        <v>904</v>
      </c>
      <c r="D531" s="88"/>
      <c r="E531" s="88" t="s">
        <v>180</v>
      </c>
      <c r="F531" s="90" t="n">
        <v>9.5425</v>
      </c>
      <c r="G531" s="90" t="n">
        <v>0</v>
      </c>
      <c r="H531" s="90">
        <f>F531*AO531</f>
      </c>
      <c r="I531" s="90">
        <f>F531*AP531</f>
      </c>
      <c r="J531" s="90">
        <f>F531*G531</f>
      </c>
      <c r="K531" s="91" t="s">
        <v>71</v>
      </c>
      <c r="Z531" s="56">
        <f>IF(AQ531="5",BJ531,0)</f>
      </c>
      <c r="AB531" s="56">
        <f>IF(AQ531="1",BH531,0)</f>
      </c>
      <c r="AC531" s="56">
        <f>IF(AQ531="1",BI531,0)</f>
      </c>
      <c r="AD531" s="56">
        <f>IF(AQ531="7",BH531,0)</f>
      </c>
      <c r="AE531" s="56">
        <f>IF(AQ531="7",BI531,0)</f>
      </c>
      <c r="AF531" s="56">
        <f>IF(AQ531="2",BH531,0)</f>
      </c>
      <c r="AG531" s="56">
        <f>IF(AQ531="2",BI531,0)</f>
      </c>
      <c r="AH531" s="56">
        <f>IF(AQ531="0",BJ531,0)</f>
      </c>
      <c r="AI531" s="28" t="s">
        <v>57</v>
      </c>
      <c r="AJ531" s="92">
        <f>IF(AN531=0,J531,0)</f>
      </c>
      <c r="AK531" s="92">
        <f>IF(AN531=12,J531,0)</f>
      </c>
      <c r="AL531" s="92">
        <f>IF(AN531=21,J531,0)</f>
      </c>
      <c r="AN531" s="56" t="n">
        <v>21</v>
      </c>
      <c r="AO531" s="56">
        <f>G531*1</f>
      </c>
      <c r="AP531" s="56">
        <f>G531*(1-1)</f>
      </c>
      <c r="AQ531" s="93" t="s">
        <v>85</v>
      </c>
      <c r="AV531" s="56">
        <f>AW531+AX531</f>
      </c>
      <c r="AW531" s="56">
        <f>F531*AO531</f>
      </c>
      <c r="AX531" s="56">
        <f>F531*AP531</f>
      </c>
      <c r="AY531" s="57" t="s">
        <v>750</v>
      </c>
      <c r="AZ531" s="57" t="s">
        <v>536</v>
      </c>
      <c r="BA531" s="28" t="s">
        <v>64</v>
      </c>
      <c r="BC531" s="56">
        <f>AW531+AX531</f>
      </c>
      <c r="BD531" s="56">
        <f>G531/(100-BE531)*100</f>
      </c>
      <c r="BE531" s="56" t="n">
        <v>0</v>
      </c>
      <c r="BF531" s="56">
        <f>531</f>
      </c>
      <c r="BH531" s="92">
        <f>F531*AO531</f>
      </c>
      <c r="BI531" s="92">
        <f>F531*AP531</f>
      </c>
      <c r="BJ531" s="92">
        <f>F531*G531</f>
      </c>
      <c r="BK531" s="92"/>
      <c r="BL531" s="56" t="n">
        <v>764</v>
      </c>
      <c r="BW531" s="56" t="n">
        <v>21</v>
      </c>
      <c r="BX531" s="94" t="s">
        <v>904</v>
      </c>
    </row>
    <row r="532">
      <c r="A532" s="74"/>
      <c r="B532" s="75"/>
      <c r="C532" s="76" t="s">
        <v>905</v>
      </c>
      <c r="D532" s="77" t="s">
        <v>53</v>
      </c>
      <c r="E532" s="75"/>
      <c r="F532" s="78" t="n">
        <v>8.675</v>
      </c>
      <c r="G532" s="75"/>
      <c r="H532" s="75"/>
      <c r="I532" s="75"/>
      <c r="J532" s="75"/>
      <c r="K532" s="79"/>
    </row>
    <row r="533">
      <c r="A533" s="74"/>
      <c r="B533" s="75"/>
      <c r="C533" s="76" t="s">
        <v>906</v>
      </c>
      <c r="D533" s="77" t="s">
        <v>53</v>
      </c>
      <c r="E533" s="75"/>
      <c r="F533" s="78" t="n">
        <v>0.8675</v>
      </c>
      <c r="G533" s="75"/>
      <c r="H533" s="75"/>
      <c r="I533" s="75"/>
      <c r="J533" s="75"/>
      <c r="K533" s="79"/>
    </row>
    <row r="534">
      <c r="A534" s="58"/>
      <c r="B534" s="80" t="s">
        <v>108</v>
      </c>
      <c r="C534" s="59" t="s">
        <v>901</v>
      </c>
      <c r="D534" s="60"/>
      <c r="E534" s="60"/>
      <c r="F534" s="60"/>
      <c r="G534" s="60"/>
      <c r="H534" s="60"/>
      <c r="I534" s="60"/>
      <c r="J534" s="60"/>
      <c r="K534" s="61"/>
      <c r="BX534" s="95" t="s">
        <v>901</v>
      </c>
    </row>
    <row r="535">
      <c r="A535" s="87" t="s">
        <v>907</v>
      </c>
      <c r="B535" s="88" t="s">
        <v>908</v>
      </c>
      <c r="C535" s="89" t="s">
        <v>909</v>
      </c>
      <c r="D535" s="88"/>
      <c r="E535" s="88" t="s">
        <v>180</v>
      </c>
      <c r="F535" s="90" t="n">
        <v>91.0875</v>
      </c>
      <c r="G535" s="90" t="n">
        <v>0</v>
      </c>
      <c r="H535" s="90">
        <f>F535*AO535</f>
      </c>
      <c r="I535" s="90">
        <f>F535*AP535</f>
      </c>
      <c r="J535" s="90">
        <f>F535*G535</f>
      </c>
      <c r="K535" s="91" t="s">
        <v>71</v>
      </c>
      <c r="Z535" s="56">
        <f>IF(AQ535="5",BJ535,0)</f>
      </c>
      <c r="AB535" s="56">
        <f>IF(AQ535="1",BH535,0)</f>
      </c>
      <c r="AC535" s="56">
        <f>IF(AQ535="1",BI535,0)</f>
      </c>
      <c r="AD535" s="56">
        <f>IF(AQ535="7",BH535,0)</f>
      </c>
      <c r="AE535" s="56">
        <f>IF(AQ535="7",BI535,0)</f>
      </c>
      <c r="AF535" s="56">
        <f>IF(AQ535="2",BH535,0)</f>
      </c>
      <c r="AG535" s="56">
        <f>IF(AQ535="2",BI535,0)</f>
      </c>
      <c r="AH535" s="56">
        <f>IF(AQ535="0",BJ535,0)</f>
      </c>
      <c r="AI535" s="28" t="s">
        <v>57</v>
      </c>
      <c r="AJ535" s="92">
        <f>IF(AN535=0,J535,0)</f>
      </c>
      <c r="AK535" s="92">
        <f>IF(AN535=12,J535,0)</f>
      </c>
      <c r="AL535" s="92">
        <f>IF(AN535=21,J535,0)</f>
      </c>
      <c r="AN535" s="56" t="n">
        <v>21</v>
      </c>
      <c r="AO535" s="56">
        <f>G535*1</f>
      </c>
      <c r="AP535" s="56">
        <f>G535*(1-1)</f>
      </c>
      <c r="AQ535" s="93" t="s">
        <v>85</v>
      </c>
      <c r="AV535" s="56">
        <f>AW535+AX535</f>
      </c>
      <c r="AW535" s="56">
        <f>F535*AO535</f>
      </c>
      <c r="AX535" s="56">
        <f>F535*AP535</f>
      </c>
      <c r="AY535" s="57" t="s">
        <v>750</v>
      </c>
      <c r="AZ535" s="57" t="s">
        <v>536</v>
      </c>
      <c r="BA535" s="28" t="s">
        <v>64</v>
      </c>
      <c r="BC535" s="56">
        <f>AW535+AX535</f>
      </c>
      <c r="BD535" s="56">
        <f>G535/(100-BE535)*100</f>
      </c>
      <c r="BE535" s="56" t="n">
        <v>0</v>
      </c>
      <c r="BF535" s="56">
        <f>535</f>
      </c>
      <c r="BH535" s="92">
        <f>F535*AO535</f>
      </c>
      <c r="BI535" s="92">
        <f>F535*AP535</f>
      </c>
      <c r="BJ535" s="92">
        <f>F535*G535</f>
      </c>
      <c r="BK535" s="92"/>
      <c r="BL535" s="56" t="n">
        <v>764</v>
      </c>
      <c r="BW535" s="56" t="n">
        <v>21</v>
      </c>
      <c r="BX535" s="94" t="s">
        <v>909</v>
      </c>
    </row>
    <row r="536">
      <c r="A536" s="74"/>
      <c r="B536" s="75"/>
      <c r="C536" s="76" t="s">
        <v>893</v>
      </c>
      <c r="D536" s="77" t="s">
        <v>53</v>
      </c>
      <c r="E536" s="75"/>
      <c r="F536" s="78" t="n">
        <v>86.75</v>
      </c>
      <c r="G536" s="75"/>
      <c r="H536" s="75"/>
      <c r="I536" s="75"/>
      <c r="J536" s="75"/>
      <c r="K536" s="79"/>
    </row>
    <row r="537">
      <c r="A537" s="74"/>
      <c r="B537" s="75"/>
      <c r="C537" s="76" t="s">
        <v>910</v>
      </c>
      <c r="D537" s="77" t="s">
        <v>53</v>
      </c>
      <c r="E537" s="75"/>
      <c r="F537" s="78" t="n">
        <v>4.3375</v>
      </c>
      <c r="G537" s="75"/>
      <c r="H537" s="75"/>
      <c r="I537" s="75"/>
      <c r="J537" s="75"/>
      <c r="K537" s="79"/>
    </row>
    <row r="538">
      <c r="A538" s="58"/>
      <c r="B538" s="80" t="s">
        <v>108</v>
      </c>
      <c r="C538" s="59" t="s">
        <v>901</v>
      </c>
      <c r="D538" s="60"/>
      <c r="E538" s="60"/>
      <c r="F538" s="60"/>
      <c r="G538" s="60"/>
      <c r="H538" s="60"/>
      <c r="I538" s="60"/>
      <c r="J538" s="60"/>
      <c r="K538" s="61"/>
      <c r="BX538" s="95" t="s">
        <v>901</v>
      </c>
    </row>
    <row r="539">
      <c r="A539" s="82" t="s">
        <v>911</v>
      </c>
      <c r="B539" s="83" t="s">
        <v>912</v>
      </c>
      <c r="C539" s="84" t="s">
        <v>913</v>
      </c>
      <c r="D539" s="83"/>
      <c r="E539" s="83" t="s">
        <v>180</v>
      </c>
      <c r="F539" s="85" t="n">
        <v>1</v>
      </c>
      <c r="G539" s="85" t="n">
        <v>0</v>
      </c>
      <c r="H539" s="85">
        <f>F539*AO539</f>
      </c>
      <c r="I539" s="85">
        <f>F539*AP539</f>
      </c>
      <c r="J539" s="85">
        <f>F539*G539</f>
      </c>
      <c r="K539" s="86" t="s">
        <v>100</v>
      </c>
      <c r="Z539" s="56">
        <f>IF(AQ539="5",BJ539,0)</f>
      </c>
      <c r="AB539" s="56">
        <f>IF(AQ539="1",BH539,0)</f>
      </c>
      <c r="AC539" s="56">
        <f>IF(AQ539="1",BI539,0)</f>
      </c>
      <c r="AD539" s="56">
        <f>IF(AQ539="7",BH539,0)</f>
      </c>
      <c r="AE539" s="56">
        <f>IF(AQ539="7",BI539,0)</f>
      </c>
      <c r="AF539" s="56">
        <f>IF(AQ539="2",BH539,0)</f>
      </c>
      <c r="AG539" s="56">
        <f>IF(AQ539="2",BI539,0)</f>
      </c>
      <c r="AH539" s="56">
        <f>IF(AQ539="0",BJ539,0)</f>
      </c>
      <c r="AI539" s="28" t="s">
        <v>57</v>
      </c>
      <c r="AJ539" s="56">
        <f>IF(AN539=0,J539,0)</f>
      </c>
      <c r="AK539" s="56">
        <f>IF(AN539=12,J539,0)</f>
      </c>
      <c r="AL539" s="56">
        <f>IF(AN539=21,J539,0)</f>
      </c>
      <c r="AN539" s="56" t="n">
        <v>21</v>
      </c>
      <c r="AO539" s="56">
        <f>G539*0.319647799</f>
      </c>
      <c r="AP539" s="56">
        <f>G539*(1-0.319647799)</f>
      </c>
      <c r="AQ539" s="57" t="s">
        <v>85</v>
      </c>
      <c r="AV539" s="56">
        <f>AW539+AX539</f>
      </c>
      <c r="AW539" s="56">
        <f>F539*AO539</f>
      </c>
      <c r="AX539" s="56">
        <f>F539*AP539</f>
      </c>
      <c r="AY539" s="57" t="s">
        <v>750</v>
      </c>
      <c r="AZ539" s="57" t="s">
        <v>536</v>
      </c>
      <c r="BA539" s="28" t="s">
        <v>64</v>
      </c>
      <c r="BC539" s="56">
        <f>AW539+AX539</f>
      </c>
      <c r="BD539" s="56">
        <f>G539/(100-BE539)*100</f>
      </c>
      <c r="BE539" s="56" t="n">
        <v>0</v>
      </c>
      <c r="BF539" s="56">
        <f>539</f>
      </c>
      <c r="BH539" s="56">
        <f>F539*AO539</f>
      </c>
      <c r="BI539" s="56">
        <f>F539*AP539</f>
      </c>
      <c r="BJ539" s="56">
        <f>F539*G539</f>
      </c>
      <c r="BK539" s="56"/>
      <c r="BL539" s="56" t="n">
        <v>764</v>
      </c>
      <c r="BW539" s="56" t="n">
        <v>21</v>
      </c>
      <c r="BX539" s="14" t="s">
        <v>913</v>
      </c>
    </row>
    <row r="540" customHeight="true" ht="13.5">
      <c r="A540" s="58"/>
      <c r="C540" s="59" t="s">
        <v>848</v>
      </c>
      <c r="D540" s="60"/>
      <c r="E540" s="60"/>
      <c r="F540" s="60"/>
      <c r="G540" s="60"/>
      <c r="H540" s="60"/>
      <c r="I540" s="60"/>
      <c r="J540" s="60"/>
      <c r="K540" s="61"/>
    </row>
    <row r="541">
      <c r="A541" s="68"/>
      <c r="B541" s="69"/>
      <c r="C541" s="70" t="s">
        <v>58</v>
      </c>
      <c r="D541" s="71" t="s">
        <v>914</v>
      </c>
      <c r="E541" s="69"/>
      <c r="F541" s="72" t="n">
        <v>1</v>
      </c>
      <c r="G541" s="69"/>
      <c r="H541" s="69"/>
      <c r="I541" s="69"/>
      <c r="J541" s="69"/>
      <c r="K541" s="73"/>
    </row>
    <row r="542" ht="24.75">
      <c r="A542" s="58"/>
      <c r="B542" s="80" t="s">
        <v>108</v>
      </c>
      <c r="C542" s="59" t="s">
        <v>915</v>
      </c>
      <c r="D542" s="60"/>
      <c r="E542" s="60"/>
      <c r="F542" s="60"/>
      <c r="G542" s="60"/>
      <c r="H542" s="60"/>
      <c r="I542" s="60"/>
      <c r="J542" s="60"/>
      <c r="K542" s="61"/>
      <c r="BX542" s="81" t="s">
        <v>915</v>
      </c>
    </row>
    <row r="543">
      <c r="A543" s="82" t="s">
        <v>916</v>
      </c>
      <c r="B543" s="83" t="s">
        <v>917</v>
      </c>
      <c r="C543" s="84" t="s">
        <v>918</v>
      </c>
      <c r="D543" s="83"/>
      <c r="E543" s="83" t="s">
        <v>242</v>
      </c>
      <c r="F543" s="85" t="n">
        <v>3.14737</v>
      </c>
      <c r="G543" s="85" t="n">
        <v>0</v>
      </c>
      <c r="H543" s="85">
        <f>F543*AO543</f>
      </c>
      <c r="I543" s="85">
        <f>F543*AP543</f>
      </c>
      <c r="J543" s="85">
        <f>F543*G543</f>
      </c>
      <c r="K543" s="86" t="s">
        <v>100</v>
      </c>
      <c r="Z543" s="56">
        <f>IF(AQ543="5",BJ543,0)</f>
      </c>
      <c r="AB543" s="56">
        <f>IF(AQ543="1",BH543,0)</f>
      </c>
      <c r="AC543" s="56">
        <f>IF(AQ543="1",BI543,0)</f>
      </c>
      <c r="AD543" s="56">
        <f>IF(AQ543="7",BH543,0)</f>
      </c>
      <c r="AE543" s="56">
        <f>IF(AQ543="7",BI543,0)</f>
      </c>
      <c r="AF543" s="56">
        <f>IF(AQ543="2",BH543,0)</f>
      </c>
      <c r="AG543" s="56">
        <f>IF(AQ543="2",BI543,0)</f>
      </c>
      <c r="AH543" s="56">
        <f>IF(AQ543="0",BJ543,0)</f>
      </c>
      <c r="AI543" s="28" t="s">
        <v>57</v>
      </c>
      <c r="AJ543" s="56">
        <f>IF(AN543=0,J543,0)</f>
      </c>
      <c r="AK543" s="56">
        <f>IF(AN543=12,J543,0)</f>
      </c>
      <c r="AL543" s="56">
        <f>IF(AN543=21,J543,0)</f>
      </c>
      <c r="AN543" s="56" t="n">
        <v>21</v>
      </c>
      <c r="AO543" s="56">
        <f>G543*0</f>
      </c>
      <c r="AP543" s="56">
        <f>G543*(1-0)</f>
      </c>
      <c r="AQ543" s="57" t="s">
        <v>79</v>
      </c>
      <c r="AV543" s="56">
        <f>AW543+AX543</f>
      </c>
      <c r="AW543" s="56">
        <f>F543*AO543</f>
      </c>
      <c r="AX543" s="56">
        <f>F543*AP543</f>
      </c>
      <c r="AY543" s="57" t="s">
        <v>750</v>
      </c>
      <c r="AZ543" s="57" t="s">
        <v>536</v>
      </c>
      <c r="BA543" s="28" t="s">
        <v>64</v>
      </c>
      <c r="BC543" s="56">
        <f>AW543+AX543</f>
      </c>
      <c r="BD543" s="56">
        <f>G543/(100-BE543)*100</f>
      </c>
      <c r="BE543" s="56" t="n">
        <v>0</v>
      </c>
      <c r="BF543" s="56">
        <f>543</f>
      </c>
      <c r="BH543" s="56">
        <f>F543*AO543</f>
      </c>
      <c r="BI543" s="56">
        <f>F543*AP543</f>
      </c>
      <c r="BJ543" s="56">
        <f>F543*G543</f>
      </c>
      <c r="BK543" s="56"/>
      <c r="BL543" s="56" t="n">
        <v>764</v>
      </c>
      <c r="BW543" s="56" t="n">
        <v>21</v>
      </c>
      <c r="BX543" s="14" t="s">
        <v>918</v>
      </c>
    </row>
    <row r="544">
      <c r="A544" s="45" t="s">
        <v>53</v>
      </c>
      <c r="B544" s="46" t="s">
        <v>919</v>
      </c>
      <c r="C544" s="47" t="s">
        <v>920</v>
      </c>
      <c r="D544" s="46"/>
      <c r="E544" s="48" t="s">
        <v>34</v>
      </c>
      <c r="F544" s="48" t="s">
        <v>34</v>
      </c>
      <c r="G544" s="48" t="s">
        <v>34</v>
      </c>
      <c r="H544" s="49">
        <f>SUM(H545:H579)</f>
      </c>
      <c r="I544" s="49">
        <f>SUM(I545:I579)</f>
      </c>
      <c r="J544" s="49">
        <f>SUM(J545:J579)</f>
      </c>
      <c r="K544" s="50" t="s">
        <v>53</v>
      </c>
      <c r="AI544" s="28" t="s">
        <v>57</v>
      </c>
      <c r="AS544" s="2">
        <f>SUM(AJ545:AJ579)</f>
      </c>
      <c r="AT544" s="2">
        <f>SUM(AK545:AK579)</f>
      </c>
      <c r="AU544" s="2">
        <f>SUM(AL545:AL579)</f>
      </c>
    </row>
    <row r="545">
      <c r="A545" s="51" t="s">
        <v>921</v>
      </c>
      <c r="B545" s="52" t="s">
        <v>922</v>
      </c>
      <c r="C545" s="53" t="s">
        <v>923</v>
      </c>
      <c r="D545" s="52"/>
      <c r="E545" s="52" t="s">
        <v>130</v>
      </c>
      <c r="F545" s="54" t="n">
        <v>347.41</v>
      </c>
      <c r="G545" s="54" t="n">
        <v>0</v>
      </c>
      <c r="H545" s="54">
        <f>F545*AO545</f>
      </c>
      <c r="I545" s="54">
        <f>F545*AP545</f>
      </c>
      <c r="J545" s="54">
        <f>F545*G545</f>
      </c>
      <c r="K545" s="55" t="s">
        <v>100</v>
      </c>
      <c r="Z545" s="56">
        <f>IF(AQ545="5",BJ545,0)</f>
      </c>
      <c r="AB545" s="56">
        <f>IF(AQ545="1",BH545,0)</f>
      </c>
      <c r="AC545" s="56">
        <f>IF(AQ545="1",BI545,0)</f>
      </c>
      <c r="AD545" s="56">
        <f>IF(AQ545="7",BH545,0)</f>
      </c>
      <c r="AE545" s="56">
        <f>IF(AQ545="7",BI545,0)</f>
      </c>
      <c r="AF545" s="56">
        <f>IF(AQ545="2",BH545,0)</f>
      </c>
      <c r="AG545" s="56">
        <f>IF(AQ545="2",BI545,0)</f>
      </c>
      <c r="AH545" s="56">
        <f>IF(AQ545="0",BJ545,0)</f>
      </c>
      <c r="AI545" s="28" t="s">
        <v>57</v>
      </c>
      <c r="AJ545" s="56">
        <f>IF(AN545=0,J545,0)</f>
      </c>
      <c r="AK545" s="56">
        <f>IF(AN545=12,J545,0)</f>
      </c>
      <c r="AL545" s="56">
        <f>IF(AN545=21,J545,0)</f>
      </c>
      <c r="AN545" s="56" t="n">
        <v>21</v>
      </c>
      <c r="AO545" s="56">
        <f>G545*0</f>
      </c>
      <c r="AP545" s="56">
        <f>G545*(1-0)</f>
      </c>
      <c r="AQ545" s="57" t="s">
        <v>85</v>
      </c>
      <c r="AV545" s="56">
        <f>AW545+AX545</f>
      </c>
      <c r="AW545" s="56">
        <f>F545*AO545</f>
      </c>
      <c r="AX545" s="56">
        <f>F545*AP545</f>
      </c>
      <c r="AY545" s="57" t="s">
        <v>924</v>
      </c>
      <c r="AZ545" s="57" t="s">
        <v>536</v>
      </c>
      <c r="BA545" s="28" t="s">
        <v>64</v>
      </c>
      <c r="BC545" s="56">
        <f>AW545+AX545</f>
      </c>
      <c r="BD545" s="56">
        <f>G545/(100-BE545)*100</f>
      </c>
      <c r="BE545" s="56" t="n">
        <v>0</v>
      </c>
      <c r="BF545" s="56">
        <f>545</f>
      </c>
      <c r="BH545" s="56">
        <f>F545*AO545</f>
      </c>
      <c r="BI545" s="56">
        <f>F545*AP545</f>
      </c>
      <c r="BJ545" s="56">
        <f>F545*G545</f>
      </c>
      <c r="BK545" s="56"/>
      <c r="BL545" s="56" t="n">
        <v>765</v>
      </c>
      <c r="BW545" s="56" t="n">
        <v>21</v>
      </c>
      <c r="BX545" s="14" t="s">
        <v>923</v>
      </c>
    </row>
    <row r="546" customHeight="true" ht="13.5">
      <c r="A546" s="58"/>
      <c r="C546" s="59" t="s">
        <v>925</v>
      </c>
      <c r="D546" s="60"/>
      <c r="E546" s="60"/>
      <c r="F546" s="60"/>
      <c r="G546" s="60"/>
      <c r="H546" s="60"/>
      <c r="I546" s="60"/>
      <c r="J546" s="60"/>
      <c r="K546" s="61"/>
    </row>
    <row r="547">
      <c r="A547" s="68"/>
      <c r="B547" s="69"/>
      <c r="C547" s="70" t="s">
        <v>767</v>
      </c>
      <c r="D547" s="71" t="s">
        <v>926</v>
      </c>
      <c r="E547" s="69"/>
      <c r="F547" s="72" t="n">
        <v>336.06</v>
      </c>
      <c r="G547" s="69"/>
      <c r="H547" s="69"/>
      <c r="I547" s="69"/>
      <c r="J547" s="69"/>
      <c r="K547" s="73"/>
    </row>
    <row r="548">
      <c r="A548" s="74"/>
      <c r="B548" s="75"/>
      <c r="C548" s="76" t="s">
        <v>927</v>
      </c>
      <c r="D548" s="77" t="s">
        <v>928</v>
      </c>
      <c r="E548" s="75"/>
      <c r="F548" s="78" t="n">
        <v>11.35</v>
      </c>
      <c r="G548" s="75"/>
      <c r="H548" s="75"/>
      <c r="I548" s="75"/>
      <c r="J548" s="75"/>
      <c r="K548" s="79"/>
    </row>
    <row r="549">
      <c r="A549" s="51" t="s">
        <v>929</v>
      </c>
      <c r="B549" s="52" t="s">
        <v>930</v>
      </c>
      <c r="C549" s="53" t="s">
        <v>931</v>
      </c>
      <c r="D549" s="52"/>
      <c r="E549" s="52" t="s">
        <v>130</v>
      </c>
      <c r="F549" s="54" t="n">
        <v>154.142</v>
      </c>
      <c r="G549" s="54" t="n">
        <v>0</v>
      </c>
      <c r="H549" s="54">
        <f>F549*AO549</f>
      </c>
      <c r="I549" s="54">
        <f>F549*AP549</f>
      </c>
      <c r="J549" s="54">
        <f>F549*G549</f>
      </c>
      <c r="K549" s="55" t="s">
        <v>100</v>
      </c>
      <c r="Z549" s="56">
        <f>IF(AQ549="5",BJ549,0)</f>
      </c>
      <c r="AB549" s="56">
        <f>IF(AQ549="1",BH549,0)</f>
      </c>
      <c r="AC549" s="56">
        <f>IF(AQ549="1",BI549,0)</f>
      </c>
      <c r="AD549" s="56">
        <f>IF(AQ549="7",BH549,0)</f>
      </c>
      <c r="AE549" s="56">
        <f>IF(AQ549="7",BI549,0)</f>
      </c>
      <c r="AF549" s="56">
        <f>IF(AQ549="2",BH549,0)</f>
      </c>
      <c r="AG549" s="56">
        <f>IF(AQ549="2",BI549,0)</f>
      </c>
      <c r="AH549" s="56">
        <f>IF(AQ549="0",BJ549,0)</f>
      </c>
      <c r="AI549" s="28" t="s">
        <v>57</v>
      </c>
      <c r="AJ549" s="56">
        <f>IF(AN549=0,J549,0)</f>
      </c>
      <c r="AK549" s="56">
        <f>IF(AN549=12,J549,0)</f>
      </c>
      <c r="AL549" s="56">
        <f>IF(AN549=21,J549,0)</f>
      </c>
      <c r="AN549" s="56" t="n">
        <v>21</v>
      </c>
      <c r="AO549" s="56">
        <f>G549*0</f>
      </c>
      <c r="AP549" s="56">
        <f>G549*(1-0)</f>
      </c>
      <c r="AQ549" s="57" t="s">
        <v>85</v>
      </c>
      <c r="AV549" s="56">
        <f>AW549+AX549</f>
      </c>
      <c r="AW549" s="56">
        <f>F549*AO549</f>
      </c>
      <c r="AX549" s="56">
        <f>F549*AP549</f>
      </c>
      <c r="AY549" s="57" t="s">
        <v>924</v>
      </c>
      <c r="AZ549" s="57" t="s">
        <v>536</v>
      </c>
      <c r="BA549" s="28" t="s">
        <v>64</v>
      </c>
      <c r="BC549" s="56">
        <f>AW549+AX549</f>
      </c>
      <c r="BD549" s="56">
        <f>G549/(100-BE549)*100</f>
      </c>
      <c r="BE549" s="56" t="n">
        <v>0</v>
      </c>
      <c r="BF549" s="56">
        <f>549</f>
      </c>
      <c r="BH549" s="56">
        <f>F549*AO549</f>
      </c>
      <c r="BI549" s="56">
        <f>F549*AP549</f>
      </c>
      <c r="BJ549" s="56">
        <f>F549*G549</f>
      </c>
      <c r="BK549" s="56"/>
      <c r="BL549" s="56" t="n">
        <v>765</v>
      </c>
      <c r="BW549" s="56" t="n">
        <v>21</v>
      </c>
      <c r="BX549" s="14" t="s">
        <v>931</v>
      </c>
    </row>
    <row r="550">
      <c r="A550" s="74"/>
      <c r="B550" s="75"/>
      <c r="C550" s="76" t="s">
        <v>388</v>
      </c>
      <c r="D550" s="77" t="s">
        <v>932</v>
      </c>
      <c r="E550" s="75"/>
      <c r="F550" s="78" t="n">
        <v>154.142</v>
      </c>
      <c r="G550" s="75"/>
      <c r="H550" s="75"/>
      <c r="I550" s="75"/>
      <c r="J550" s="75"/>
      <c r="K550" s="79"/>
    </row>
    <row r="551">
      <c r="A551" s="51" t="s">
        <v>933</v>
      </c>
      <c r="B551" s="52" t="s">
        <v>934</v>
      </c>
      <c r="C551" s="53" t="s">
        <v>935</v>
      </c>
      <c r="D551" s="52"/>
      <c r="E551" s="52" t="s">
        <v>130</v>
      </c>
      <c r="F551" s="54" t="n">
        <v>154.142</v>
      </c>
      <c r="G551" s="54" t="n">
        <v>0</v>
      </c>
      <c r="H551" s="54">
        <f>F551*AO551</f>
      </c>
      <c r="I551" s="54">
        <f>F551*AP551</f>
      </c>
      <c r="J551" s="54">
        <f>F551*G551</f>
      </c>
      <c r="K551" s="55" t="s">
        <v>100</v>
      </c>
      <c r="Z551" s="56">
        <f>IF(AQ551="5",BJ551,0)</f>
      </c>
      <c r="AB551" s="56">
        <f>IF(AQ551="1",BH551,0)</f>
      </c>
      <c r="AC551" s="56">
        <f>IF(AQ551="1",BI551,0)</f>
      </c>
      <c r="AD551" s="56">
        <f>IF(AQ551="7",BH551,0)</f>
      </c>
      <c r="AE551" s="56">
        <f>IF(AQ551="7",BI551,0)</f>
      </c>
      <c r="AF551" s="56">
        <f>IF(AQ551="2",BH551,0)</f>
      </c>
      <c r="AG551" s="56">
        <f>IF(AQ551="2",BI551,0)</f>
      </c>
      <c r="AH551" s="56">
        <f>IF(AQ551="0",BJ551,0)</f>
      </c>
      <c r="AI551" s="28" t="s">
        <v>57</v>
      </c>
      <c r="AJ551" s="56">
        <f>IF(AN551=0,J551,0)</f>
      </c>
      <c r="AK551" s="56">
        <f>IF(AN551=12,J551,0)</f>
      </c>
      <c r="AL551" s="56">
        <f>IF(AN551=21,J551,0)</f>
      </c>
      <c r="AN551" s="56" t="n">
        <v>21</v>
      </c>
      <c r="AO551" s="56">
        <f>G551*0</f>
      </c>
      <c r="AP551" s="56">
        <f>G551*(1-0)</f>
      </c>
      <c r="AQ551" s="57" t="s">
        <v>85</v>
      </c>
      <c r="AV551" s="56">
        <f>AW551+AX551</f>
      </c>
      <c r="AW551" s="56">
        <f>F551*AO551</f>
      </c>
      <c r="AX551" s="56">
        <f>F551*AP551</f>
      </c>
      <c r="AY551" s="57" t="s">
        <v>924</v>
      </c>
      <c r="AZ551" s="57" t="s">
        <v>536</v>
      </c>
      <c r="BA551" s="28" t="s">
        <v>64</v>
      </c>
      <c r="BC551" s="56">
        <f>AW551+AX551</f>
      </c>
      <c r="BD551" s="56">
        <f>G551/(100-BE551)*100</f>
      </c>
      <c r="BE551" s="56" t="n">
        <v>0</v>
      </c>
      <c r="BF551" s="56">
        <f>551</f>
      </c>
      <c r="BH551" s="56">
        <f>F551*AO551</f>
      </c>
      <c r="BI551" s="56">
        <f>F551*AP551</f>
      </c>
      <c r="BJ551" s="56">
        <f>F551*G551</f>
      </c>
      <c r="BK551" s="56"/>
      <c r="BL551" s="56" t="n">
        <v>765</v>
      </c>
      <c r="BW551" s="56" t="n">
        <v>21</v>
      </c>
      <c r="BX551" s="14" t="s">
        <v>935</v>
      </c>
    </row>
    <row r="552">
      <c r="A552" s="74"/>
      <c r="B552" s="75"/>
      <c r="C552" s="76" t="s">
        <v>388</v>
      </c>
      <c r="D552" s="77" t="s">
        <v>932</v>
      </c>
      <c r="E552" s="75"/>
      <c r="F552" s="78" t="n">
        <v>154.142</v>
      </c>
      <c r="G552" s="75"/>
      <c r="H552" s="75"/>
      <c r="I552" s="75"/>
      <c r="J552" s="75"/>
      <c r="K552" s="79"/>
    </row>
    <row r="553">
      <c r="A553" s="51" t="s">
        <v>936</v>
      </c>
      <c r="B553" s="52" t="s">
        <v>937</v>
      </c>
      <c r="C553" s="53" t="s">
        <v>938</v>
      </c>
      <c r="D553" s="52"/>
      <c r="E553" s="52" t="s">
        <v>130</v>
      </c>
      <c r="F553" s="54" t="n">
        <v>265.628</v>
      </c>
      <c r="G553" s="54" t="n">
        <v>0</v>
      </c>
      <c r="H553" s="54">
        <f>F553*AO553</f>
      </c>
      <c r="I553" s="54">
        <f>F553*AP553</f>
      </c>
      <c r="J553" s="54">
        <f>F553*G553</f>
      </c>
      <c r="K553" s="55" t="s">
        <v>100</v>
      </c>
      <c r="Z553" s="56">
        <f>IF(AQ553="5",BJ553,0)</f>
      </c>
      <c r="AB553" s="56">
        <f>IF(AQ553="1",BH553,0)</f>
      </c>
      <c r="AC553" s="56">
        <f>IF(AQ553="1",BI553,0)</f>
      </c>
      <c r="AD553" s="56">
        <f>IF(AQ553="7",BH553,0)</f>
      </c>
      <c r="AE553" s="56">
        <f>IF(AQ553="7",BI553,0)</f>
      </c>
      <c r="AF553" s="56">
        <f>IF(AQ553="2",BH553,0)</f>
      </c>
      <c r="AG553" s="56">
        <f>IF(AQ553="2",BI553,0)</f>
      </c>
      <c r="AH553" s="56">
        <f>IF(AQ553="0",BJ553,0)</f>
      </c>
      <c r="AI553" s="28" t="s">
        <v>57</v>
      </c>
      <c r="AJ553" s="56">
        <f>IF(AN553=0,J553,0)</f>
      </c>
      <c r="AK553" s="56">
        <f>IF(AN553=12,J553,0)</f>
      </c>
      <c r="AL553" s="56">
        <f>IF(AN553=21,J553,0)</f>
      </c>
      <c r="AN553" s="56" t="n">
        <v>21</v>
      </c>
      <c r="AO553" s="56">
        <f>G553*0.097669277</f>
      </c>
      <c r="AP553" s="56">
        <f>G553*(1-0.097669277)</f>
      </c>
      <c r="AQ553" s="57" t="s">
        <v>85</v>
      </c>
      <c r="AV553" s="56">
        <f>AW553+AX553</f>
      </c>
      <c r="AW553" s="56">
        <f>F553*AO553</f>
      </c>
      <c r="AX553" s="56">
        <f>F553*AP553</f>
      </c>
      <c r="AY553" s="57" t="s">
        <v>924</v>
      </c>
      <c r="AZ553" s="57" t="s">
        <v>536</v>
      </c>
      <c r="BA553" s="28" t="s">
        <v>64</v>
      </c>
      <c r="BC553" s="56">
        <f>AW553+AX553</f>
      </c>
      <c r="BD553" s="56">
        <f>G553/(100-BE553)*100</f>
      </c>
      <c r="BE553" s="56" t="n">
        <v>0</v>
      </c>
      <c r="BF553" s="56">
        <f>553</f>
      </c>
      <c r="BH553" s="56">
        <f>F553*AO553</f>
      </c>
      <c r="BI553" s="56">
        <f>F553*AP553</f>
      </c>
      <c r="BJ553" s="56">
        <f>F553*G553</f>
      </c>
      <c r="BK553" s="56"/>
      <c r="BL553" s="56" t="n">
        <v>765</v>
      </c>
      <c r="BW553" s="56" t="n">
        <v>21</v>
      </c>
      <c r="BX553" s="14" t="s">
        <v>938</v>
      </c>
    </row>
    <row r="554">
      <c r="A554" s="74"/>
      <c r="B554" s="75"/>
      <c r="C554" s="76" t="s">
        <v>477</v>
      </c>
      <c r="D554" s="77" t="s">
        <v>939</v>
      </c>
      <c r="E554" s="75"/>
      <c r="F554" s="78" t="n">
        <v>265.628</v>
      </c>
      <c r="G554" s="75"/>
      <c r="H554" s="75"/>
      <c r="I554" s="75"/>
      <c r="J554" s="75"/>
      <c r="K554" s="79"/>
    </row>
    <row r="555" ht="24.75">
      <c r="A555" s="58"/>
      <c r="B555" s="80" t="s">
        <v>108</v>
      </c>
      <c r="C555" s="59" t="s">
        <v>940</v>
      </c>
      <c r="D555" s="60"/>
      <c r="E555" s="60"/>
      <c r="F555" s="60"/>
      <c r="G555" s="60"/>
      <c r="H555" s="60"/>
      <c r="I555" s="60"/>
      <c r="J555" s="60"/>
      <c r="K555" s="61"/>
      <c r="BX555" s="81" t="s">
        <v>940</v>
      </c>
    </row>
    <row r="556">
      <c r="A556" s="87" t="s">
        <v>941</v>
      </c>
      <c r="B556" s="88" t="s">
        <v>942</v>
      </c>
      <c r="C556" s="89" t="s">
        <v>943</v>
      </c>
      <c r="D556" s="88"/>
      <c r="E556" s="88" t="s">
        <v>130</v>
      </c>
      <c r="F556" s="90" t="n">
        <v>318.7536</v>
      </c>
      <c r="G556" s="90" t="n">
        <v>0</v>
      </c>
      <c r="H556" s="90">
        <f>F556*AO556</f>
      </c>
      <c r="I556" s="90">
        <f>F556*AP556</f>
      </c>
      <c r="J556" s="90">
        <f>F556*G556</f>
      </c>
      <c r="K556" s="91" t="s">
        <v>100</v>
      </c>
      <c r="Z556" s="56">
        <f>IF(AQ556="5",BJ556,0)</f>
      </c>
      <c r="AB556" s="56">
        <f>IF(AQ556="1",BH556,0)</f>
      </c>
      <c r="AC556" s="56">
        <f>IF(AQ556="1",BI556,0)</f>
      </c>
      <c r="AD556" s="56">
        <f>IF(AQ556="7",BH556,0)</f>
      </c>
      <c r="AE556" s="56">
        <f>IF(AQ556="7",BI556,0)</f>
      </c>
      <c r="AF556" s="56">
        <f>IF(AQ556="2",BH556,0)</f>
      </c>
      <c r="AG556" s="56">
        <f>IF(AQ556="2",BI556,0)</f>
      </c>
      <c r="AH556" s="56">
        <f>IF(AQ556="0",BJ556,0)</f>
      </c>
      <c r="AI556" s="28" t="s">
        <v>57</v>
      </c>
      <c r="AJ556" s="92">
        <f>IF(AN556=0,J556,0)</f>
      </c>
      <c r="AK556" s="92">
        <f>IF(AN556=12,J556,0)</f>
      </c>
      <c r="AL556" s="92">
        <f>IF(AN556=21,J556,0)</f>
      </c>
      <c r="AN556" s="56" t="n">
        <v>21</v>
      </c>
      <c r="AO556" s="56">
        <f>G556*1</f>
      </c>
      <c r="AP556" s="56">
        <f>G556*(1-1)</f>
      </c>
      <c r="AQ556" s="93" t="s">
        <v>85</v>
      </c>
      <c r="AV556" s="56">
        <f>AW556+AX556</f>
      </c>
      <c r="AW556" s="56">
        <f>F556*AO556</f>
      </c>
      <c r="AX556" s="56">
        <f>F556*AP556</f>
      </c>
      <c r="AY556" s="57" t="s">
        <v>924</v>
      </c>
      <c r="AZ556" s="57" t="s">
        <v>536</v>
      </c>
      <c r="BA556" s="28" t="s">
        <v>64</v>
      </c>
      <c r="BC556" s="56">
        <f>AW556+AX556</f>
      </c>
      <c r="BD556" s="56">
        <f>G556/(100-BE556)*100</f>
      </c>
      <c r="BE556" s="56" t="n">
        <v>0</v>
      </c>
      <c r="BF556" s="56">
        <f>556</f>
      </c>
      <c r="BH556" s="92">
        <f>F556*AO556</f>
      </c>
      <c r="BI556" s="92">
        <f>F556*AP556</f>
      </c>
      <c r="BJ556" s="92">
        <f>F556*G556</f>
      </c>
      <c r="BK556" s="92"/>
      <c r="BL556" s="56" t="n">
        <v>765</v>
      </c>
      <c r="BW556" s="56" t="n">
        <v>21</v>
      </c>
      <c r="BX556" s="94" t="s">
        <v>943</v>
      </c>
    </row>
    <row r="557">
      <c r="A557" s="74"/>
      <c r="B557" s="75"/>
      <c r="C557" s="76" t="s">
        <v>477</v>
      </c>
      <c r="D557" s="77" t="s">
        <v>944</v>
      </c>
      <c r="E557" s="75"/>
      <c r="F557" s="78" t="n">
        <v>265.628</v>
      </c>
      <c r="G557" s="75"/>
      <c r="H557" s="75"/>
      <c r="I557" s="75"/>
      <c r="J557" s="75"/>
      <c r="K557" s="79"/>
    </row>
    <row r="558">
      <c r="A558" s="74"/>
      <c r="B558" s="75"/>
      <c r="C558" s="76" t="s">
        <v>945</v>
      </c>
      <c r="D558" s="77" t="s">
        <v>53</v>
      </c>
      <c r="E558" s="75"/>
      <c r="F558" s="78" t="n">
        <v>53.1256</v>
      </c>
      <c r="G558" s="75"/>
      <c r="H558" s="75"/>
      <c r="I558" s="75"/>
      <c r="J558" s="75"/>
      <c r="K558" s="79"/>
    </row>
    <row r="559" ht="36.75">
      <c r="A559" s="58"/>
      <c r="B559" s="80" t="s">
        <v>108</v>
      </c>
      <c r="C559" s="59" t="s">
        <v>946</v>
      </c>
      <c r="D559" s="60"/>
      <c r="E559" s="60"/>
      <c r="F559" s="60"/>
      <c r="G559" s="60"/>
      <c r="H559" s="60"/>
      <c r="I559" s="60"/>
      <c r="J559" s="60"/>
      <c r="K559" s="61"/>
      <c r="BX559" s="95" t="s">
        <v>946</v>
      </c>
    </row>
    <row r="560">
      <c r="A560" s="82" t="s">
        <v>947</v>
      </c>
      <c r="B560" s="83" t="s">
        <v>948</v>
      </c>
      <c r="C560" s="84" t="s">
        <v>949</v>
      </c>
      <c r="D560" s="83"/>
      <c r="E560" s="83" t="s">
        <v>130</v>
      </c>
      <c r="F560" s="85" t="n">
        <v>265.628</v>
      </c>
      <c r="G560" s="85" t="n">
        <v>0</v>
      </c>
      <c r="H560" s="85">
        <f>F560*AO560</f>
      </c>
      <c r="I560" s="85">
        <f>F560*AP560</f>
      </c>
      <c r="J560" s="85">
        <f>F560*G560</f>
      </c>
      <c r="K560" s="86" t="s">
        <v>100</v>
      </c>
      <c r="Z560" s="56">
        <f>IF(AQ560="5",BJ560,0)</f>
      </c>
      <c r="AB560" s="56">
        <f>IF(AQ560="1",BH560,0)</f>
      </c>
      <c r="AC560" s="56">
        <f>IF(AQ560="1",BI560,0)</f>
      </c>
      <c r="AD560" s="56">
        <f>IF(AQ560="7",BH560,0)</f>
      </c>
      <c r="AE560" s="56">
        <f>IF(AQ560="7",BI560,0)</f>
      </c>
      <c r="AF560" s="56">
        <f>IF(AQ560="2",BH560,0)</f>
      </c>
      <c r="AG560" s="56">
        <f>IF(AQ560="2",BI560,0)</f>
      </c>
      <c r="AH560" s="56">
        <f>IF(AQ560="0",BJ560,0)</f>
      </c>
      <c r="AI560" s="28" t="s">
        <v>57</v>
      </c>
      <c r="AJ560" s="56">
        <f>IF(AN560=0,J560,0)</f>
      </c>
      <c r="AK560" s="56">
        <f>IF(AN560=12,J560,0)</f>
      </c>
      <c r="AL560" s="56">
        <f>IF(AN560=21,J560,0)</f>
      </c>
      <c r="AN560" s="56" t="n">
        <v>21</v>
      </c>
      <c r="AO560" s="56">
        <f>G560*0</f>
      </c>
      <c r="AP560" s="56">
        <f>G560*(1-0)</f>
      </c>
      <c r="AQ560" s="57" t="s">
        <v>85</v>
      </c>
      <c r="AV560" s="56">
        <f>AW560+AX560</f>
      </c>
      <c r="AW560" s="56">
        <f>F560*AO560</f>
      </c>
      <c r="AX560" s="56">
        <f>F560*AP560</f>
      </c>
      <c r="AY560" s="57" t="s">
        <v>924</v>
      </c>
      <c r="AZ560" s="57" t="s">
        <v>536</v>
      </c>
      <c r="BA560" s="28" t="s">
        <v>64</v>
      </c>
      <c r="BC560" s="56">
        <f>AW560+AX560</f>
      </c>
      <c r="BD560" s="56">
        <f>G560/(100-BE560)*100</f>
      </c>
      <c r="BE560" s="56" t="n">
        <v>0</v>
      </c>
      <c r="BF560" s="56">
        <f>560</f>
      </c>
      <c r="BH560" s="56">
        <f>F560*AO560</f>
      </c>
      <c r="BI560" s="56">
        <f>F560*AP560</f>
      </c>
      <c r="BJ560" s="56">
        <f>F560*G560</f>
      </c>
      <c r="BK560" s="56"/>
      <c r="BL560" s="56" t="n">
        <v>765</v>
      </c>
      <c r="BW560" s="56" t="n">
        <v>21</v>
      </c>
      <c r="BX560" s="14" t="s">
        <v>949</v>
      </c>
    </row>
    <row r="561">
      <c r="A561" s="74"/>
      <c r="B561" s="75"/>
      <c r="C561" s="76" t="s">
        <v>477</v>
      </c>
      <c r="D561" s="77" t="s">
        <v>950</v>
      </c>
      <c r="E561" s="75"/>
      <c r="F561" s="78" t="n">
        <v>265.628</v>
      </c>
      <c r="G561" s="75"/>
      <c r="H561" s="75"/>
      <c r="I561" s="75"/>
      <c r="J561" s="75"/>
      <c r="K561" s="79"/>
    </row>
    <row r="562">
      <c r="A562" s="58"/>
      <c r="B562" s="80" t="s">
        <v>108</v>
      </c>
      <c r="C562" s="59" t="s">
        <v>951</v>
      </c>
      <c r="D562" s="60"/>
      <c r="E562" s="60"/>
      <c r="F562" s="60"/>
      <c r="G562" s="60"/>
      <c r="H562" s="60"/>
      <c r="I562" s="60"/>
      <c r="J562" s="60"/>
      <c r="K562" s="61"/>
      <c r="BX562" s="81" t="s">
        <v>951</v>
      </c>
    </row>
    <row r="563">
      <c r="A563" s="82" t="s">
        <v>952</v>
      </c>
      <c r="B563" s="83" t="s">
        <v>953</v>
      </c>
      <c r="C563" s="84" t="s">
        <v>954</v>
      </c>
      <c r="D563" s="83"/>
      <c r="E563" s="83" t="s">
        <v>393</v>
      </c>
      <c r="F563" s="85" t="n">
        <v>93.25</v>
      </c>
      <c r="G563" s="85" t="n">
        <v>0</v>
      </c>
      <c r="H563" s="85">
        <f>F563*AO563</f>
      </c>
      <c r="I563" s="85">
        <f>F563*AP563</f>
      </c>
      <c r="J563" s="85">
        <f>F563*G563</f>
      </c>
      <c r="K563" s="86" t="s">
        <v>100</v>
      </c>
      <c r="Z563" s="56">
        <f>IF(AQ563="5",BJ563,0)</f>
      </c>
      <c r="AB563" s="56">
        <f>IF(AQ563="1",BH563,0)</f>
      </c>
      <c r="AC563" s="56">
        <f>IF(AQ563="1",BI563,0)</f>
      </c>
      <c r="AD563" s="56">
        <f>IF(AQ563="7",BH563,0)</f>
      </c>
      <c r="AE563" s="56">
        <f>IF(AQ563="7",BI563,0)</f>
      </c>
      <c r="AF563" s="56">
        <f>IF(AQ563="2",BH563,0)</f>
      </c>
      <c r="AG563" s="56">
        <f>IF(AQ563="2",BI563,0)</f>
      </c>
      <c r="AH563" s="56">
        <f>IF(AQ563="0",BJ563,0)</f>
      </c>
      <c r="AI563" s="28" t="s">
        <v>57</v>
      </c>
      <c r="AJ563" s="56">
        <f>IF(AN563=0,J563,0)</f>
      </c>
      <c r="AK563" s="56">
        <f>IF(AN563=12,J563,0)</f>
      </c>
      <c r="AL563" s="56">
        <f>IF(AN563=21,J563,0)</f>
      </c>
      <c r="AN563" s="56" t="n">
        <v>21</v>
      </c>
      <c r="AO563" s="56">
        <f>G563*0.307024055</f>
      </c>
      <c r="AP563" s="56">
        <f>G563*(1-0.307024055)</f>
      </c>
      <c r="AQ563" s="57" t="s">
        <v>85</v>
      </c>
      <c r="AV563" s="56">
        <f>AW563+AX563</f>
      </c>
      <c r="AW563" s="56">
        <f>F563*AO563</f>
      </c>
      <c r="AX563" s="56">
        <f>F563*AP563</f>
      </c>
      <c r="AY563" s="57" t="s">
        <v>924</v>
      </c>
      <c r="AZ563" s="57" t="s">
        <v>536</v>
      </c>
      <c r="BA563" s="28" t="s">
        <v>64</v>
      </c>
      <c r="BC563" s="56">
        <f>AW563+AX563</f>
      </c>
      <c r="BD563" s="56">
        <f>G563/(100-BE563)*100</f>
      </c>
      <c r="BE563" s="56" t="n">
        <v>0</v>
      </c>
      <c r="BF563" s="56">
        <f>563</f>
      </c>
      <c r="BH563" s="56">
        <f>F563*AO563</f>
      </c>
      <c r="BI563" s="56">
        <f>F563*AP563</f>
      </c>
      <c r="BJ563" s="56">
        <f>F563*G563</f>
      </c>
      <c r="BK563" s="56"/>
      <c r="BL563" s="56" t="n">
        <v>765</v>
      </c>
      <c r="BW563" s="56" t="n">
        <v>21</v>
      </c>
      <c r="BX563" s="14" t="s">
        <v>954</v>
      </c>
    </row>
    <row r="564">
      <c r="A564" s="74"/>
      <c r="B564" s="75"/>
      <c r="C564" s="76" t="s">
        <v>779</v>
      </c>
      <c r="D564" s="77" t="s">
        <v>955</v>
      </c>
      <c r="E564" s="75"/>
      <c r="F564" s="78" t="n">
        <v>20.2</v>
      </c>
      <c r="G564" s="75"/>
      <c r="H564" s="75"/>
      <c r="I564" s="75"/>
      <c r="J564" s="75"/>
      <c r="K564" s="79"/>
    </row>
    <row r="565">
      <c r="A565" s="74"/>
      <c r="B565" s="75"/>
      <c r="C565" s="76" t="s">
        <v>781</v>
      </c>
      <c r="D565" s="77" t="s">
        <v>956</v>
      </c>
      <c r="E565" s="75"/>
      <c r="F565" s="78" t="n">
        <v>10.75</v>
      </c>
      <c r="G565" s="75"/>
      <c r="H565" s="75"/>
      <c r="I565" s="75"/>
      <c r="J565" s="75"/>
      <c r="K565" s="79"/>
    </row>
    <row r="566">
      <c r="A566" s="74"/>
      <c r="B566" s="75"/>
      <c r="C566" s="76" t="s">
        <v>783</v>
      </c>
      <c r="D566" s="77" t="s">
        <v>957</v>
      </c>
      <c r="E566" s="75"/>
      <c r="F566" s="78" t="n">
        <v>13.25</v>
      </c>
      <c r="G566" s="75"/>
      <c r="H566" s="75"/>
      <c r="I566" s="75"/>
      <c r="J566" s="75"/>
      <c r="K566" s="79"/>
    </row>
    <row r="567">
      <c r="A567" s="74"/>
      <c r="B567" s="75"/>
      <c r="C567" s="76" t="s">
        <v>785</v>
      </c>
      <c r="D567" s="77" t="s">
        <v>958</v>
      </c>
      <c r="E567" s="75"/>
      <c r="F567" s="78" t="n">
        <v>2.65</v>
      </c>
      <c r="G567" s="75"/>
      <c r="H567" s="75"/>
      <c r="I567" s="75"/>
      <c r="J567" s="75"/>
      <c r="K567" s="79"/>
    </row>
    <row r="568">
      <c r="A568" s="74"/>
      <c r="B568" s="75"/>
      <c r="C568" s="76" t="s">
        <v>787</v>
      </c>
      <c r="D568" s="77" t="s">
        <v>959</v>
      </c>
      <c r="E568" s="75"/>
      <c r="F568" s="78" t="n">
        <v>5</v>
      </c>
      <c r="G568" s="75"/>
      <c r="H568" s="75"/>
      <c r="I568" s="75"/>
      <c r="J568" s="75"/>
      <c r="K568" s="79"/>
    </row>
    <row r="569">
      <c r="A569" s="74"/>
      <c r="B569" s="75"/>
      <c r="C569" s="76" t="s">
        <v>960</v>
      </c>
      <c r="D569" s="77" t="s">
        <v>961</v>
      </c>
      <c r="E569" s="75"/>
      <c r="F569" s="78" t="n">
        <v>27</v>
      </c>
      <c r="G569" s="75"/>
      <c r="H569" s="75"/>
      <c r="I569" s="75"/>
      <c r="J569" s="75"/>
      <c r="K569" s="79"/>
    </row>
    <row r="570">
      <c r="A570" s="74"/>
      <c r="B570" s="75"/>
      <c r="C570" s="76" t="s">
        <v>962</v>
      </c>
      <c r="D570" s="77" t="s">
        <v>963</v>
      </c>
      <c r="E570" s="75"/>
      <c r="F570" s="78" t="n">
        <v>4.4</v>
      </c>
      <c r="G570" s="75"/>
      <c r="H570" s="75"/>
      <c r="I570" s="75"/>
      <c r="J570" s="75"/>
      <c r="K570" s="79"/>
    </row>
    <row r="571">
      <c r="A571" s="74"/>
      <c r="B571" s="75"/>
      <c r="C571" s="76" t="s">
        <v>964</v>
      </c>
      <c r="D571" s="77" t="s">
        <v>965</v>
      </c>
      <c r="E571" s="75"/>
      <c r="F571" s="78" t="n">
        <v>10</v>
      </c>
      <c r="G571" s="75"/>
      <c r="H571" s="75"/>
      <c r="I571" s="75"/>
      <c r="J571" s="75"/>
      <c r="K571" s="79"/>
    </row>
    <row r="572">
      <c r="A572" s="96" t="s">
        <v>966</v>
      </c>
      <c r="B572" s="97" t="s">
        <v>967</v>
      </c>
      <c r="C572" s="98" t="s">
        <v>968</v>
      </c>
      <c r="D572" s="97"/>
      <c r="E572" s="97" t="s">
        <v>393</v>
      </c>
      <c r="F572" s="99" t="n">
        <v>56.947</v>
      </c>
      <c r="G572" s="99" t="n">
        <v>0</v>
      </c>
      <c r="H572" s="99">
        <f>F572*AO572</f>
      </c>
      <c r="I572" s="99">
        <f>F572*AP572</f>
      </c>
      <c r="J572" s="99">
        <f>F572*G572</f>
      </c>
      <c r="K572" s="100" t="s">
        <v>71</v>
      </c>
      <c r="Z572" s="56">
        <f>IF(AQ572="5",BJ572,0)</f>
      </c>
      <c r="AB572" s="56">
        <f>IF(AQ572="1",BH572,0)</f>
      </c>
      <c r="AC572" s="56">
        <f>IF(AQ572="1",BI572,0)</f>
      </c>
      <c r="AD572" s="56">
        <f>IF(AQ572="7",BH572,0)</f>
      </c>
      <c r="AE572" s="56">
        <f>IF(AQ572="7",BI572,0)</f>
      </c>
      <c r="AF572" s="56">
        <f>IF(AQ572="2",BH572,0)</f>
      </c>
      <c r="AG572" s="56">
        <f>IF(AQ572="2",BI572,0)</f>
      </c>
      <c r="AH572" s="56">
        <f>IF(AQ572="0",BJ572,0)</f>
      </c>
      <c r="AI572" s="28" t="s">
        <v>57</v>
      </c>
      <c r="AJ572" s="92">
        <f>IF(AN572=0,J572,0)</f>
      </c>
      <c r="AK572" s="92">
        <f>IF(AN572=12,J572,0)</f>
      </c>
      <c r="AL572" s="92">
        <f>IF(AN572=21,J572,0)</f>
      </c>
      <c r="AN572" s="56" t="n">
        <v>21</v>
      </c>
      <c r="AO572" s="56">
        <f>G572*1</f>
      </c>
      <c r="AP572" s="56">
        <f>G572*(1-1)</f>
      </c>
      <c r="AQ572" s="93" t="s">
        <v>85</v>
      </c>
      <c r="AV572" s="56">
        <f>AW572+AX572</f>
      </c>
      <c r="AW572" s="56">
        <f>F572*AO572</f>
      </c>
      <c r="AX572" s="56">
        <f>F572*AP572</f>
      </c>
      <c r="AY572" s="57" t="s">
        <v>924</v>
      </c>
      <c r="AZ572" s="57" t="s">
        <v>536</v>
      </c>
      <c r="BA572" s="28" t="s">
        <v>64</v>
      </c>
      <c r="BC572" s="56">
        <f>AW572+AX572</f>
      </c>
      <c r="BD572" s="56">
        <f>G572/(100-BE572)*100</f>
      </c>
      <c r="BE572" s="56" t="n">
        <v>0</v>
      </c>
      <c r="BF572" s="56">
        <f>572</f>
      </c>
      <c r="BH572" s="92">
        <f>F572*AO572</f>
      </c>
      <c r="BI572" s="92">
        <f>F572*AP572</f>
      </c>
      <c r="BJ572" s="92">
        <f>F572*G572</f>
      </c>
      <c r="BK572" s="92"/>
      <c r="BL572" s="56" t="n">
        <v>765</v>
      </c>
      <c r="BW572" s="56" t="n">
        <v>21</v>
      </c>
      <c r="BX572" s="94" t="s">
        <v>968</v>
      </c>
    </row>
    <row r="573">
      <c r="A573" s="74"/>
      <c r="B573" s="75"/>
      <c r="C573" s="76" t="s">
        <v>969</v>
      </c>
      <c r="D573" s="77" t="s">
        <v>970</v>
      </c>
      <c r="E573" s="75"/>
      <c r="F573" s="78" t="n">
        <v>10.37</v>
      </c>
      <c r="G573" s="75"/>
      <c r="H573" s="75"/>
      <c r="I573" s="75"/>
      <c r="J573" s="75"/>
      <c r="K573" s="79"/>
    </row>
    <row r="574">
      <c r="A574" s="74"/>
      <c r="B574" s="75"/>
      <c r="C574" s="76" t="s">
        <v>960</v>
      </c>
      <c r="D574" s="77" t="s">
        <v>961</v>
      </c>
      <c r="E574" s="75"/>
      <c r="F574" s="78" t="n">
        <v>27</v>
      </c>
      <c r="G574" s="75"/>
      <c r="H574" s="75"/>
      <c r="I574" s="75"/>
      <c r="J574" s="75"/>
      <c r="K574" s="79"/>
    </row>
    <row r="575">
      <c r="A575" s="74"/>
      <c r="B575" s="75"/>
      <c r="C575" s="76" t="s">
        <v>962</v>
      </c>
      <c r="D575" s="77" t="s">
        <v>963</v>
      </c>
      <c r="E575" s="75"/>
      <c r="F575" s="78" t="n">
        <v>4.4</v>
      </c>
      <c r="G575" s="75"/>
      <c r="H575" s="75"/>
      <c r="I575" s="75"/>
      <c r="J575" s="75"/>
      <c r="K575" s="79"/>
    </row>
    <row r="576">
      <c r="A576" s="74"/>
      <c r="B576" s="75"/>
      <c r="C576" s="76" t="s">
        <v>964</v>
      </c>
      <c r="D576" s="77" t="s">
        <v>965</v>
      </c>
      <c r="E576" s="75"/>
      <c r="F576" s="78" t="n">
        <v>10</v>
      </c>
      <c r="G576" s="75"/>
      <c r="H576" s="75"/>
      <c r="I576" s="75"/>
      <c r="J576" s="75"/>
      <c r="K576" s="79"/>
    </row>
    <row r="577">
      <c r="A577" s="74"/>
      <c r="B577" s="75"/>
      <c r="C577" s="76" t="s">
        <v>971</v>
      </c>
      <c r="D577" s="77" t="s">
        <v>53</v>
      </c>
      <c r="E577" s="75"/>
      <c r="F577" s="78" t="n">
        <v>5.177</v>
      </c>
      <c r="G577" s="75"/>
      <c r="H577" s="75"/>
      <c r="I577" s="75"/>
      <c r="J577" s="75"/>
      <c r="K577" s="79"/>
    </row>
    <row r="578">
      <c r="A578" s="58"/>
      <c r="B578" s="80" t="s">
        <v>108</v>
      </c>
      <c r="C578" s="59" t="s">
        <v>972</v>
      </c>
      <c r="D578" s="60"/>
      <c r="E578" s="60"/>
      <c r="F578" s="60"/>
      <c r="G578" s="60"/>
      <c r="H578" s="60"/>
      <c r="I578" s="60"/>
      <c r="J578" s="60"/>
      <c r="K578" s="61"/>
      <c r="BX578" s="95" t="s">
        <v>972</v>
      </c>
    </row>
    <row r="579">
      <c r="A579" s="82" t="s">
        <v>973</v>
      </c>
      <c r="B579" s="83" t="s">
        <v>974</v>
      </c>
      <c r="C579" s="84" t="s">
        <v>975</v>
      </c>
      <c r="D579" s="83"/>
      <c r="E579" s="83" t="s">
        <v>242</v>
      </c>
      <c r="F579" s="85" t="n">
        <v>0.20733</v>
      </c>
      <c r="G579" s="85" t="n">
        <v>0</v>
      </c>
      <c r="H579" s="85">
        <f>F579*AO579</f>
      </c>
      <c r="I579" s="85">
        <f>F579*AP579</f>
      </c>
      <c r="J579" s="85">
        <f>F579*G579</f>
      </c>
      <c r="K579" s="86" t="s">
        <v>100</v>
      </c>
      <c r="Z579" s="56">
        <f>IF(AQ579="5",BJ579,0)</f>
      </c>
      <c r="AB579" s="56">
        <f>IF(AQ579="1",BH579,0)</f>
      </c>
      <c r="AC579" s="56">
        <f>IF(AQ579="1",BI579,0)</f>
      </c>
      <c r="AD579" s="56">
        <f>IF(AQ579="7",BH579,0)</f>
      </c>
      <c r="AE579" s="56">
        <f>IF(AQ579="7",BI579,0)</f>
      </c>
      <c r="AF579" s="56">
        <f>IF(AQ579="2",BH579,0)</f>
      </c>
      <c r="AG579" s="56">
        <f>IF(AQ579="2",BI579,0)</f>
      </c>
      <c r="AH579" s="56">
        <f>IF(AQ579="0",BJ579,0)</f>
      </c>
      <c r="AI579" s="28" t="s">
        <v>57</v>
      </c>
      <c r="AJ579" s="56">
        <f>IF(AN579=0,J579,0)</f>
      </c>
      <c r="AK579" s="56">
        <f>IF(AN579=12,J579,0)</f>
      </c>
      <c r="AL579" s="56">
        <f>IF(AN579=21,J579,0)</f>
      </c>
      <c r="AN579" s="56" t="n">
        <v>21</v>
      </c>
      <c r="AO579" s="56">
        <f>G579*0</f>
      </c>
      <c r="AP579" s="56">
        <f>G579*(1-0)</f>
      </c>
      <c r="AQ579" s="57" t="s">
        <v>79</v>
      </c>
      <c r="AV579" s="56">
        <f>AW579+AX579</f>
      </c>
      <c r="AW579" s="56">
        <f>F579*AO579</f>
      </c>
      <c r="AX579" s="56">
        <f>F579*AP579</f>
      </c>
      <c r="AY579" s="57" t="s">
        <v>924</v>
      </c>
      <c r="AZ579" s="57" t="s">
        <v>536</v>
      </c>
      <c r="BA579" s="28" t="s">
        <v>64</v>
      </c>
      <c r="BC579" s="56">
        <f>AW579+AX579</f>
      </c>
      <c r="BD579" s="56">
        <f>G579/(100-BE579)*100</f>
      </c>
      <c r="BE579" s="56" t="n">
        <v>0</v>
      </c>
      <c r="BF579" s="56">
        <f>579</f>
      </c>
      <c r="BH579" s="56">
        <f>F579*AO579</f>
      </c>
      <c r="BI579" s="56">
        <f>F579*AP579</f>
      </c>
      <c r="BJ579" s="56">
        <f>F579*G579</f>
      </c>
      <c r="BK579" s="56"/>
      <c r="BL579" s="56" t="n">
        <v>765</v>
      </c>
      <c r="BW579" s="56" t="n">
        <v>21</v>
      </c>
      <c r="BX579" s="14" t="s">
        <v>975</v>
      </c>
    </row>
    <row r="580">
      <c r="A580" s="45" t="s">
        <v>53</v>
      </c>
      <c r="B580" s="46" t="s">
        <v>976</v>
      </c>
      <c r="C580" s="47" t="s">
        <v>977</v>
      </c>
      <c r="D580" s="46"/>
      <c r="E580" s="48" t="s">
        <v>34</v>
      </c>
      <c r="F580" s="48" t="s">
        <v>34</v>
      </c>
      <c r="G580" s="48" t="s">
        <v>34</v>
      </c>
      <c r="H580" s="49">
        <f>SUM(H581:H673)</f>
      </c>
      <c r="I580" s="49">
        <f>SUM(I581:I673)</f>
      </c>
      <c r="J580" s="49">
        <f>SUM(J581:J673)</f>
      </c>
      <c r="K580" s="50" t="s">
        <v>53</v>
      </c>
      <c r="AI580" s="28" t="s">
        <v>57</v>
      </c>
      <c r="AS580" s="2">
        <f>SUM(AJ581:AJ673)</f>
      </c>
      <c r="AT580" s="2">
        <f>SUM(AK581:AK673)</f>
      </c>
      <c r="AU580" s="2">
        <f>SUM(AL581:AL673)</f>
      </c>
    </row>
    <row r="581">
      <c r="A581" s="51" t="s">
        <v>978</v>
      </c>
      <c r="B581" s="52" t="s">
        <v>979</v>
      </c>
      <c r="C581" s="53" t="s">
        <v>980</v>
      </c>
      <c r="D581" s="52"/>
      <c r="E581" s="52" t="s">
        <v>130</v>
      </c>
      <c r="F581" s="54" t="n">
        <v>14.6169</v>
      </c>
      <c r="G581" s="54" t="n">
        <v>0</v>
      </c>
      <c r="H581" s="54">
        <f>F581*AO581</f>
      </c>
      <c r="I581" s="54">
        <f>F581*AP581</f>
      </c>
      <c r="J581" s="54">
        <f>F581*G581</f>
      </c>
      <c r="K581" s="55" t="s">
        <v>100</v>
      </c>
      <c r="Z581" s="56">
        <f>IF(AQ581="5",BJ581,0)</f>
      </c>
      <c r="AB581" s="56">
        <f>IF(AQ581="1",BH581,0)</f>
      </c>
      <c r="AC581" s="56">
        <f>IF(AQ581="1",BI581,0)</f>
      </c>
      <c r="AD581" s="56">
        <f>IF(AQ581="7",BH581,0)</f>
      </c>
      <c r="AE581" s="56">
        <f>IF(AQ581="7",BI581,0)</f>
      </c>
      <c r="AF581" s="56">
        <f>IF(AQ581="2",BH581,0)</f>
      </c>
      <c r="AG581" s="56">
        <f>IF(AQ581="2",BI581,0)</f>
      </c>
      <c r="AH581" s="56">
        <f>IF(AQ581="0",BJ581,0)</f>
      </c>
      <c r="AI581" s="28" t="s">
        <v>57</v>
      </c>
      <c r="AJ581" s="56">
        <f>IF(AN581=0,J581,0)</f>
      </c>
      <c r="AK581" s="56">
        <f>IF(AN581=12,J581,0)</f>
      </c>
      <c r="AL581" s="56">
        <f>IF(AN581=21,J581,0)</f>
      </c>
      <c r="AN581" s="56" t="n">
        <v>21</v>
      </c>
      <c r="AO581" s="56">
        <f>G581*0</f>
      </c>
      <c r="AP581" s="56">
        <f>G581*(1-0)</f>
      </c>
      <c r="AQ581" s="57" t="s">
        <v>85</v>
      </c>
      <c r="AV581" s="56">
        <f>AW581+AX581</f>
      </c>
      <c r="AW581" s="56">
        <f>F581*AO581</f>
      </c>
      <c r="AX581" s="56">
        <f>F581*AP581</f>
      </c>
      <c r="AY581" s="57" t="s">
        <v>981</v>
      </c>
      <c r="AZ581" s="57" t="s">
        <v>536</v>
      </c>
      <c r="BA581" s="28" t="s">
        <v>64</v>
      </c>
      <c r="BC581" s="56">
        <f>AW581+AX581</f>
      </c>
      <c r="BD581" s="56">
        <f>G581/(100-BE581)*100</f>
      </c>
      <c r="BE581" s="56" t="n">
        <v>0</v>
      </c>
      <c r="BF581" s="56">
        <f>581</f>
      </c>
      <c r="BH581" s="56">
        <f>F581*AO581</f>
      </c>
      <c r="BI581" s="56">
        <f>F581*AP581</f>
      </c>
      <c r="BJ581" s="56">
        <f>F581*G581</f>
      </c>
      <c r="BK581" s="56"/>
      <c r="BL581" s="56" t="n">
        <v>766</v>
      </c>
      <c r="BW581" s="56" t="n">
        <v>21</v>
      </c>
      <c r="BX581" s="14" t="s">
        <v>980</v>
      </c>
    </row>
    <row r="582">
      <c r="A582" s="74"/>
      <c r="B582" s="75"/>
      <c r="C582" s="76" t="s">
        <v>167</v>
      </c>
      <c r="D582" s="77" t="s">
        <v>168</v>
      </c>
      <c r="E582" s="75"/>
      <c r="F582" s="78" t="n">
        <v>14.6169</v>
      </c>
      <c r="G582" s="75"/>
      <c r="H582" s="75"/>
      <c r="I582" s="75"/>
      <c r="J582" s="75"/>
      <c r="K582" s="79"/>
    </row>
    <row r="583">
      <c r="A583" s="51" t="s">
        <v>982</v>
      </c>
      <c r="B583" s="52" t="s">
        <v>983</v>
      </c>
      <c r="C583" s="53" t="s">
        <v>984</v>
      </c>
      <c r="D583" s="52"/>
      <c r="E583" s="52" t="s">
        <v>180</v>
      </c>
      <c r="F583" s="54" t="n">
        <v>1</v>
      </c>
      <c r="G583" s="54" t="n">
        <v>0</v>
      </c>
      <c r="H583" s="54">
        <f>F583*AO583</f>
      </c>
      <c r="I583" s="54">
        <f>F583*AP583</f>
      </c>
      <c r="J583" s="54">
        <f>F583*G583</f>
      </c>
      <c r="K583" s="55" t="s">
        <v>100</v>
      </c>
      <c r="Z583" s="56">
        <f>IF(AQ583="5",BJ583,0)</f>
      </c>
      <c r="AB583" s="56">
        <f>IF(AQ583="1",BH583,0)</f>
      </c>
      <c r="AC583" s="56">
        <f>IF(AQ583="1",BI583,0)</f>
      </c>
      <c r="AD583" s="56">
        <f>IF(AQ583="7",BH583,0)</f>
      </c>
      <c r="AE583" s="56">
        <f>IF(AQ583="7",BI583,0)</f>
      </c>
      <c r="AF583" s="56">
        <f>IF(AQ583="2",BH583,0)</f>
      </c>
      <c r="AG583" s="56">
        <f>IF(AQ583="2",BI583,0)</f>
      </c>
      <c r="AH583" s="56">
        <f>IF(AQ583="0",BJ583,0)</f>
      </c>
      <c r="AI583" s="28" t="s">
        <v>57</v>
      </c>
      <c r="AJ583" s="56">
        <f>IF(AN583=0,J583,0)</f>
      </c>
      <c r="AK583" s="56">
        <f>IF(AN583=12,J583,0)</f>
      </c>
      <c r="AL583" s="56">
        <f>IF(AN583=21,J583,0)</f>
      </c>
      <c r="AN583" s="56" t="n">
        <v>21</v>
      </c>
      <c r="AO583" s="56">
        <f>G583*0.212391344</f>
      </c>
      <c r="AP583" s="56">
        <f>G583*(1-0.212391344)</f>
      </c>
      <c r="AQ583" s="57" t="s">
        <v>85</v>
      </c>
      <c r="AV583" s="56">
        <f>AW583+AX583</f>
      </c>
      <c r="AW583" s="56">
        <f>F583*AO583</f>
      </c>
      <c r="AX583" s="56">
        <f>F583*AP583</f>
      </c>
      <c r="AY583" s="57" t="s">
        <v>981</v>
      </c>
      <c r="AZ583" s="57" t="s">
        <v>536</v>
      </c>
      <c r="BA583" s="28" t="s">
        <v>64</v>
      </c>
      <c r="BC583" s="56">
        <f>AW583+AX583</f>
      </c>
      <c r="BD583" s="56">
        <f>G583/(100-BE583)*100</f>
      </c>
      <c r="BE583" s="56" t="n">
        <v>0</v>
      </c>
      <c r="BF583" s="56">
        <f>583</f>
      </c>
      <c r="BH583" s="56">
        <f>F583*AO583</f>
      </c>
      <c r="BI583" s="56">
        <f>F583*AP583</f>
      </c>
      <c r="BJ583" s="56">
        <f>F583*G583</f>
      </c>
      <c r="BK583" s="56"/>
      <c r="BL583" s="56" t="n">
        <v>766</v>
      </c>
      <c r="BW583" s="56" t="n">
        <v>21</v>
      </c>
      <c r="BX583" s="14" t="s">
        <v>984</v>
      </c>
    </row>
    <row r="584">
      <c r="A584" s="74"/>
      <c r="B584" s="75"/>
      <c r="C584" s="76" t="s">
        <v>58</v>
      </c>
      <c r="D584" s="77" t="s">
        <v>985</v>
      </c>
      <c r="E584" s="75"/>
      <c r="F584" s="78" t="n">
        <v>1</v>
      </c>
      <c r="G584" s="75"/>
      <c r="H584" s="75"/>
      <c r="I584" s="75"/>
      <c r="J584" s="75"/>
      <c r="K584" s="79"/>
    </row>
    <row r="585">
      <c r="A585" s="58"/>
      <c r="B585" s="80" t="s">
        <v>108</v>
      </c>
      <c r="C585" s="59" t="s">
        <v>986</v>
      </c>
      <c r="D585" s="60"/>
      <c r="E585" s="60"/>
      <c r="F585" s="60"/>
      <c r="G585" s="60"/>
      <c r="H585" s="60"/>
      <c r="I585" s="60"/>
      <c r="J585" s="60"/>
      <c r="K585" s="61"/>
      <c r="BX585" s="81" t="s">
        <v>986</v>
      </c>
    </row>
    <row r="586">
      <c r="A586" s="82" t="s">
        <v>987</v>
      </c>
      <c r="B586" s="83" t="s">
        <v>988</v>
      </c>
      <c r="C586" s="84" t="s">
        <v>989</v>
      </c>
      <c r="D586" s="83"/>
      <c r="E586" s="83" t="s">
        <v>180</v>
      </c>
      <c r="F586" s="85" t="n">
        <v>3</v>
      </c>
      <c r="G586" s="85" t="n">
        <v>0</v>
      </c>
      <c r="H586" s="85">
        <f>F586*AO586</f>
      </c>
      <c r="I586" s="85">
        <f>F586*AP586</f>
      </c>
      <c r="J586" s="85">
        <f>F586*G586</f>
      </c>
      <c r="K586" s="86" t="s">
        <v>100</v>
      </c>
      <c r="Z586" s="56">
        <f>IF(AQ586="5",BJ586,0)</f>
      </c>
      <c r="AB586" s="56">
        <f>IF(AQ586="1",BH586,0)</f>
      </c>
      <c r="AC586" s="56">
        <f>IF(AQ586="1",BI586,0)</f>
      </c>
      <c r="AD586" s="56">
        <f>IF(AQ586="7",BH586,0)</f>
      </c>
      <c r="AE586" s="56">
        <f>IF(AQ586="7",BI586,0)</f>
      </c>
      <c r="AF586" s="56">
        <f>IF(AQ586="2",BH586,0)</f>
      </c>
      <c r="AG586" s="56">
        <f>IF(AQ586="2",BI586,0)</f>
      </c>
      <c r="AH586" s="56">
        <f>IF(AQ586="0",BJ586,0)</f>
      </c>
      <c r="AI586" s="28" t="s">
        <v>57</v>
      </c>
      <c r="AJ586" s="56">
        <f>IF(AN586=0,J586,0)</f>
      </c>
      <c r="AK586" s="56">
        <f>IF(AN586=12,J586,0)</f>
      </c>
      <c r="AL586" s="56">
        <f>IF(AN586=21,J586,0)</f>
      </c>
      <c r="AN586" s="56" t="n">
        <v>21</v>
      </c>
      <c r="AO586" s="56">
        <f>G586*0.189391216</f>
      </c>
      <c r="AP586" s="56">
        <f>G586*(1-0.189391216)</f>
      </c>
      <c r="AQ586" s="57" t="s">
        <v>85</v>
      </c>
      <c r="AV586" s="56">
        <f>AW586+AX586</f>
      </c>
      <c r="AW586" s="56">
        <f>F586*AO586</f>
      </c>
      <c r="AX586" s="56">
        <f>F586*AP586</f>
      </c>
      <c r="AY586" s="57" t="s">
        <v>981</v>
      </c>
      <c r="AZ586" s="57" t="s">
        <v>536</v>
      </c>
      <c r="BA586" s="28" t="s">
        <v>64</v>
      </c>
      <c r="BC586" s="56">
        <f>AW586+AX586</f>
      </c>
      <c r="BD586" s="56">
        <f>G586/(100-BE586)*100</f>
      </c>
      <c r="BE586" s="56" t="n">
        <v>0</v>
      </c>
      <c r="BF586" s="56">
        <f>586</f>
      </c>
      <c r="BH586" s="56">
        <f>F586*AO586</f>
      </c>
      <c r="BI586" s="56">
        <f>F586*AP586</f>
      </c>
      <c r="BJ586" s="56">
        <f>F586*G586</f>
      </c>
      <c r="BK586" s="56"/>
      <c r="BL586" s="56" t="n">
        <v>766</v>
      </c>
      <c r="BW586" s="56" t="n">
        <v>21</v>
      </c>
      <c r="BX586" s="14" t="s">
        <v>989</v>
      </c>
    </row>
    <row r="587">
      <c r="A587" s="74"/>
      <c r="B587" s="75"/>
      <c r="C587" s="76" t="s">
        <v>73</v>
      </c>
      <c r="D587" s="77" t="s">
        <v>990</v>
      </c>
      <c r="E587" s="75"/>
      <c r="F587" s="78" t="n">
        <v>3</v>
      </c>
      <c r="G587" s="75"/>
      <c r="H587" s="75"/>
      <c r="I587" s="75"/>
      <c r="J587" s="75"/>
      <c r="K587" s="79"/>
    </row>
    <row r="588">
      <c r="A588" s="58"/>
      <c r="B588" s="80" t="s">
        <v>108</v>
      </c>
      <c r="C588" s="59" t="s">
        <v>986</v>
      </c>
      <c r="D588" s="60"/>
      <c r="E588" s="60"/>
      <c r="F588" s="60"/>
      <c r="G588" s="60"/>
      <c r="H588" s="60"/>
      <c r="I588" s="60"/>
      <c r="J588" s="60"/>
      <c r="K588" s="61"/>
      <c r="BX588" s="81" t="s">
        <v>986</v>
      </c>
    </row>
    <row r="589">
      <c r="A589" s="82" t="s">
        <v>991</v>
      </c>
      <c r="B589" s="83" t="s">
        <v>992</v>
      </c>
      <c r="C589" s="84" t="s">
        <v>993</v>
      </c>
      <c r="D589" s="83"/>
      <c r="E589" s="83" t="s">
        <v>180</v>
      </c>
      <c r="F589" s="85" t="n">
        <v>4</v>
      </c>
      <c r="G589" s="85" t="n">
        <v>0</v>
      </c>
      <c r="H589" s="85">
        <f>F589*AO589</f>
      </c>
      <c r="I589" s="85">
        <f>F589*AP589</f>
      </c>
      <c r="J589" s="85">
        <f>F589*G589</f>
      </c>
      <c r="K589" s="86" t="s">
        <v>100</v>
      </c>
      <c r="Z589" s="56">
        <f>IF(AQ589="5",BJ589,0)</f>
      </c>
      <c r="AB589" s="56">
        <f>IF(AQ589="1",BH589,0)</f>
      </c>
      <c r="AC589" s="56">
        <f>IF(AQ589="1",BI589,0)</f>
      </c>
      <c r="AD589" s="56">
        <f>IF(AQ589="7",BH589,0)</f>
      </c>
      <c r="AE589" s="56">
        <f>IF(AQ589="7",BI589,0)</f>
      </c>
      <c r="AF589" s="56">
        <f>IF(AQ589="2",BH589,0)</f>
      </c>
      <c r="AG589" s="56">
        <f>IF(AQ589="2",BI589,0)</f>
      </c>
      <c r="AH589" s="56">
        <f>IF(AQ589="0",BJ589,0)</f>
      </c>
      <c r="AI589" s="28" t="s">
        <v>57</v>
      </c>
      <c r="AJ589" s="56">
        <f>IF(AN589=0,J589,0)</f>
      </c>
      <c r="AK589" s="56">
        <f>IF(AN589=12,J589,0)</f>
      </c>
      <c r="AL589" s="56">
        <f>IF(AN589=21,J589,0)</f>
      </c>
      <c r="AN589" s="56" t="n">
        <v>21</v>
      </c>
      <c r="AO589" s="56">
        <f>G589*0.0336</f>
      </c>
      <c r="AP589" s="56">
        <f>G589*(1-0.0336)</f>
      </c>
      <c r="AQ589" s="57" t="s">
        <v>85</v>
      </c>
      <c r="AV589" s="56">
        <f>AW589+AX589</f>
      </c>
      <c r="AW589" s="56">
        <f>F589*AO589</f>
      </c>
      <c r="AX589" s="56">
        <f>F589*AP589</f>
      </c>
      <c r="AY589" s="57" t="s">
        <v>981</v>
      </c>
      <c r="AZ589" s="57" t="s">
        <v>536</v>
      </c>
      <c r="BA589" s="28" t="s">
        <v>64</v>
      </c>
      <c r="BC589" s="56">
        <f>AW589+AX589</f>
      </c>
      <c r="BD589" s="56">
        <f>G589/(100-BE589)*100</f>
      </c>
      <c r="BE589" s="56" t="n">
        <v>0</v>
      </c>
      <c r="BF589" s="56">
        <f>589</f>
      </c>
      <c r="BH589" s="56">
        <f>F589*AO589</f>
      </c>
      <c r="BI589" s="56">
        <f>F589*AP589</f>
      </c>
      <c r="BJ589" s="56">
        <f>F589*G589</f>
      </c>
      <c r="BK589" s="56"/>
      <c r="BL589" s="56" t="n">
        <v>766</v>
      </c>
      <c r="BW589" s="56" t="n">
        <v>21</v>
      </c>
      <c r="BX589" s="14" t="s">
        <v>993</v>
      </c>
    </row>
    <row r="590">
      <c r="A590" s="74"/>
      <c r="B590" s="75"/>
      <c r="C590" s="76" t="s">
        <v>58</v>
      </c>
      <c r="D590" s="77" t="s">
        <v>994</v>
      </c>
      <c r="E590" s="75"/>
      <c r="F590" s="78" t="n">
        <v>1</v>
      </c>
      <c r="G590" s="75"/>
      <c r="H590" s="75"/>
      <c r="I590" s="75"/>
      <c r="J590" s="75"/>
      <c r="K590" s="79"/>
    </row>
    <row r="591">
      <c r="A591" s="74"/>
      <c r="B591" s="75"/>
      <c r="C591" s="76" t="s">
        <v>73</v>
      </c>
      <c r="D591" s="77" t="s">
        <v>995</v>
      </c>
      <c r="E591" s="75"/>
      <c r="F591" s="78" t="n">
        <v>3</v>
      </c>
      <c r="G591" s="75"/>
      <c r="H591" s="75"/>
      <c r="I591" s="75"/>
      <c r="J591" s="75"/>
      <c r="K591" s="79"/>
    </row>
    <row r="592" ht="24.75">
      <c r="A592" s="96" t="s">
        <v>996</v>
      </c>
      <c r="B592" s="97" t="s">
        <v>997</v>
      </c>
      <c r="C592" s="98" t="s">
        <v>998</v>
      </c>
      <c r="D592" s="97"/>
      <c r="E592" s="97" t="s">
        <v>180</v>
      </c>
      <c r="F592" s="99" t="n">
        <v>1</v>
      </c>
      <c r="G592" s="99" t="n">
        <v>0</v>
      </c>
      <c r="H592" s="99">
        <f>F592*AO592</f>
      </c>
      <c r="I592" s="99">
        <f>F592*AP592</f>
      </c>
      <c r="J592" s="99">
        <f>F592*G592</f>
      </c>
      <c r="K592" s="100" t="s">
        <v>71</v>
      </c>
      <c r="Z592" s="56">
        <f>IF(AQ592="5",BJ592,0)</f>
      </c>
      <c r="AB592" s="56">
        <f>IF(AQ592="1",BH592,0)</f>
      </c>
      <c r="AC592" s="56">
        <f>IF(AQ592="1",BI592,0)</f>
      </c>
      <c r="AD592" s="56">
        <f>IF(AQ592="7",BH592,0)</f>
      </c>
      <c r="AE592" s="56">
        <f>IF(AQ592="7",BI592,0)</f>
      </c>
      <c r="AF592" s="56">
        <f>IF(AQ592="2",BH592,0)</f>
      </c>
      <c r="AG592" s="56">
        <f>IF(AQ592="2",BI592,0)</f>
      </c>
      <c r="AH592" s="56">
        <f>IF(AQ592="0",BJ592,0)</f>
      </c>
      <c r="AI592" s="28" t="s">
        <v>57</v>
      </c>
      <c r="AJ592" s="92">
        <f>IF(AN592=0,J592,0)</f>
      </c>
      <c r="AK592" s="92">
        <f>IF(AN592=12,J592,0)</f>
      </c>
      <c r="AL592" s="92">
        <f>IF(AN592=21,J592,0)</f>
      </c>
      <c r="AN592" s="56" t="n">
        <v>21</v>
      </c>
      <c r="AO592" s="56">
        <f>G592*1</f>
      </c>
      <c r="AP592" s="56">
        <f>G592*(1-1)</f>
      </c>
      <c r="AQ592" s="93" t="s">
        <v>85</v>
      </c>
      <c r="AV592" s="56">
        <f>AW592+AX592</f>
      </c>
      <c r="AW592" s="56">
        <f>F592*AO592</f>
      </c>
      <c r="AX592" s="56">
        <f>F592*AP592</f>
      </c>
      <c r="AY592" s="57" t="s">
        <v>981</v>
      </c>
      <c r="AZ592" s="57" t="s">
        <v>536</v>
      </c>
      <c r="BA592" s="28" t="s">
        <v>64</v>
      </c>
      <c r="BC592" s="56">
        <f>AW592+AX592</f>
      </c>
      <c r="BD592" s="56">
        <f>G592/(100-BE592)*100</f>
      </c>
      <c r="BE592" s="56" t="n">
        <v>0</v>
      </c>
      <c r="BF592" s="56">
        <f>592</f>
      </c>
      <c r="BH592" s="92">
        <f>F592*AO592</f>
      </c>
      <c r="BI592" s="92">
        <f>F592*AP592</f>
      </c>
      <c r="BJ592" s="92">
        <f>F592*G592</f>
      </c>
      <c r="BK592" s="92"/>
      <c r="BL592" s="56" t="n">
        <v>766</v>
      </c>
      <c r="BW592" s="56" t="n">
        <v>21</v>
      </c>
      <c r="BX592" s="94" t="s">
        <v>998</v>
      </c>
    </row>
    <row r="593">
      <c r="A593" s="74"/>
      <c r="B593" s="75"/>
      <c r="C593" s="76" t="s">
        <v>58</v>
      </c>
      <c r="D593" s="77" t="s">
        <v>985</v>
      </c>
      <c r="E593" s="75"/>
      <c r="F593" s="78" t="n">
        <v>1</v>
      </c>
      <c r="G593" s="75"/>
      <c r="H593" s="75"/>
      <c r="I593" s="75"/>
      <c r="J593" s="75"/>
      <c r="K593" s="79"/>
    </row>
    <row r="594" ht="120.75">
      <c r="A594" s="58"/>
      <c r="B594" s="80" t="s">
        <v>108</v>
      </c>
      <c r="C594" s="59" t="s">
        <v>999</v>
      </c>
      <c r="D594" s="60"/>
      <c r="E594" s="60"/>
      <c r="F594" s="60"/>
      <c r="G594" s="60"/>
      <c r="H594" s="60"/>
      <c r="I594" s="60"/>
      <c r="J594" s="60"/>
      <c r="K594" s="61"/>
      <c r="BX594" s="95" t="s">
        <v>999</v>
      </c>
    </row>
    <row r="595" ht="24.75">
      <c r="A595" s="87" t="s">
        <v>1000</v>
      </c>
      <c r="B595" s="88" t="s">
        <v>1001</v>
      </c>
      <c r="C595" s="89" t="s">
        <v>1002</v>
      </c>
      <c r="D595" s="88"/>
      <c r="E595" s="88" t="s">
        <v>180</v>
      </c>
      <c r="F595" s="90" t="n">
        <v>3</v>
      </c>
      <c r="G595" s="90" t="n">
        <v>0</v>
      </c>
      <c r="H595" s="90">
        <f>F595*AO595</f>
      </c>
      <c r="I595" s="90">
        <f>F595*AP595</f>
      </c>
      <c r="J595" s="90">
        <f>F595*G595</f>
      </c>
      <c r="K595" s="91" t="s">
        <v>71</v>
      </c>
      <c r="Z595" s="56">
        <f>IF(AQ595="5",BJ595,0)</f>
      </c>
      <c r="AB595" s="56">
        <f>IF(AQ595="1",BH595,0)</f>
      </c>
      <c r="AC595" s="56">
        <f>IF(AQ595="1",BI595,0)</f>
      </c>
      <c r="AD595" s="56">
        <f>IF(AQ595="7",BH595,0)</f>
      </c>
      <c r="AE595" s="56">
        <f>IF(AQ595="7",BI595,0)</f>
      </c>
      <c r="AF595" s="56">
        <f>IF(AQ595="2",BH595,0)</f>
      </c>
      <c r="AG595" s="56">
        <f>IF(AQ595="2",BI595,0)</f>
      </c>
      <c r="AH595" s="56">
        <f>IF(AQ595="0",BJ595,0)</f>
      </c>
      <c r="AI595" s="28" t="s">
        <v>57</v>
      </c>
      <c r="AJ595" s="92">
        <f>IF(AN595=0,J595,0)</f>
      </c>
      <c r="AK595" s="92">
        <f>IF(AN595=12,J595,0)</f>
      </c>
      <c r="AL595" s="92">
        <f>IF(AN595=21,J595,0)</f>
      </c>
      <c r="AN595" s="56" t="n">
        <v>21</v>
      </c>
      <c r="AO595" s="56">
        <f>G595*1</f>
      </c>
      <c r="AP595" s="56">
        <f>G595*(1-1)</f>
      </c>
      <c r="AQ595" s="93" t="s">
        <v>85</v>
      </c>
      <c r="AV595" s="56">
        <f>AW595+AX595</f>
      </c>
      <c r="AW595" s="56">
        <f>F595*AO595</f>
      </c>
      <c r="AX595" s="56">
        <f>F595*AP595</f>
      </c>
      <c r="AY595" s="57" t="s">
        <v>981</v>
      </c>
      <c r="AZ595" s="57" t="s">
        <v>536</v>
      </c>
      <c r="BA595" s="28" t="s">
        <v>64</v>
      </c>
      <c r="BC595" s="56">
        <f>AW595+AX595</f>
      </c>
      <c r="BD595" s="56">
        <f>G595/(100-BE595)*100</f>
      </c>
      <c r="BE595" s="56" t="n">
        <v>0</v>
      </c>
      <c r="BF595" s="56">
        <f>595</f>
      </c>
      <c r="BH595" s="92">
        <f>F595*AO595</f>
      </c>
      <c r="BI595" s="92">
        <f>F595*AP595</f>
      </c>
      <c r="BJ595" s="92">
        <f>F595*G595</f>
      </c>
      <c r="BK595" s="92"/>
      <c r="BL595" s="56" t="n">
        <v>766</v>
      </c>
      <c r="BW595" s="56" t="n">
        <v>21</v>
      </c>
      <c r="BX595" s="94" t="s">
        <v>1002</v>
      </c>
    </row>
    <row r="596">
      <c r="A596" s="74"/>
      <c r="B596" s="75"/>
      <c r="C596" s="76" t="s">
        <v>58</v>
      </c>
      <c r="D596" s="77" t="s">
        <v>1003</v>
      </c>
      <c r="E596" s="75"/>
      <c r="F596" s="78" t="n">
        <v>1</v>
      </c>
      <c r="G596" s="75"/>
      <c r="H596" s="75"/>
      <c r="I596" s="75"/>
      <c r="J596" s="75"/>
      <c r="K596" s="79"/>
    </row>
    <row r="597">
      <c r="A597" s="74"/>
      <c r="B597" s="75"/>
      <c r="C597" s="76" t="s">
        <v>58</v>
      </c>
      <c r="D597" s="77" t="s">
        <v>1004</v>
      </c>
      <c r="E597" s="75"/>
      <c r="F597" s="78" t="n">
        <v>1</v>
      </c>
      <c r="G597" s="75"/>
      <c r="H597" s="75"/>
      <c r="I597" s="75"/>
      <c r="J597" s="75"/>
      <c r="K597" s="79"/>
    </row>
    <row r="598">
      <c r="A598" s="74"/>
      <c r="B598" s="75"/>
      <c r="C598" s="76" t="s">
        <v>58</v>
      </c>
      <c r="D598" s="77" t="s">
        <v>1005</v>
      </c>
      <c r="E598" s="75"/>
      <c r="F598" s="78" t="n">
        <v>1</v>
      </c>
      <c r="G598" s="75"/>
      <c r="H598" s="75"/>
      <c r="I598" s="75"/>
      <c r="J598" s="75"/>
      <c r="K598" s="79"/>
    </row>
    <row r="599" ht="24.75">
      <c r="A599" s="58"/>
      <c r="B599" s="80" t="s">
        <v>108</v>
      </c>
      <c r="C599" s="59" t="s">
        <v>1006</v>
      </c>
      <c r="D599" s="60"/>
      <c r="E599" s="60"/>
      <c r="F599" s="60"/>
      <c r="G599" s="60"/>
      <c r="H599" s="60"/>
      <c r="I599" s="60"/>
      <c r="J599" s="60"/>
      <c r="K599" s="61"/>
      <c r="BX599" s="95" t="s">
        <v>1006</v>
      </c>
    </row>
    <row r="600">
      <c r="A600" s="87" t="s">
        <v>1007</v>
      </c>
      <c r="B600" s="88" t="s">
        <v>1008</v>
      </c>
      <c r="C600" s="89" t="s">
        <v>1009</v>
      </c>
      <c r="D600" s="88"/>
      <c r="E600" s="88" t="s">
        <v>180</v>
      </c>
      <c r="F600" s="90" t="n">
        <v>3</v>
      </c>
      <c r="G600" s="90" t="n">
        <v>0</v>
      </c>
      <c r="H600" s="90">
        <f>F600*AO600</f>
      </c>
      <c r="I600" s="90">
        <f>F600*AP600</f>
      </c>
      <c r="J600" s="90">
        <f>F600*G600</f>
      </c>
      <c r="K600" s="91" t="s">
        <v>100</v>
      </c>
      <c r="Z600" s="56">
        <f>IF(AQ600="5",BJ600,0)</f>
      </c>
      <c r="AB600" s="56">
        <f>IF(AQ600="1",BH600,0)</f>
      </c>
      <c r="AC600" s="56">
        <f>IF(AQ600="1",BI600,0)</f>
      </c>
      <c r="AD600" s="56">
        <f>IF(AQ600="7",BH600,0)</f>
      </c>
      <c r="AE600" s="56">
        <f>IF(AQ600="7",BI600,0)</f>
      </c>
      <c r="AF600" s="56">
        <f>IF(AQ600="2",BH600,0)</f>
      </c>
      <c r="AG600" s="56">
        <f>IF(AQ600="2",BI600,0)</f>
      </c>
      <c r="AH600" s="56">
        <f>IF(AQ600="0",BJ600,0)</f>
      </c>
      <c r="AI600" s="28" t="s">
        <v>57</v>
      </c>
      <c r="AJ600" s="92">
        <f>IF(AN600=0,J600,0)</f>
      </c>
      <c r="AK600" s="92">
        <f>IF(AN600=12,J600,0)</f>
      </c>
      <c r="AL600" s="92">
        <f>IF(AN600=21,J600,0)</f>
      </c>
      <c r="AN600" s="56" t="n">
        <v>21</v>
      </c>
      <c r="AO600" s="56">
        <f>G600*1</f>
      </c>
      <c r="AP600" s="56">
        <f>G600*(1-1)</f>
      </c>
      <c r="AQ600" s="93" t="s">
        <v>85</v>
      </c>
      <c r="AV600" s="56">
        <f>AW600+AX600</f>
      </c>
      <c r="AW600" s="56">
        <f>F600*AO600</f>
      </c>
      <c r="AX600" s="56">
        <f>F600*AP600</f>
      </c>
      <c r="AY600" s="57" t="s">
        <v>981</v>
      </c>
      <c r="AZ600" s="57" t="s">
        <v>536</v>
      </c>
      <c r="BA600" s="28" t="s">
        <v>64</v>
      </c>
      <c r="BC600" s="56">
        <f>AW600+AX600</f>
      </c>
      <c r="BD600" s="56">
        <f>G600/(100-BE600)*100</f>
      </c>
      <c r="BE600" s="56" t="n">
        <v>0</v>
      </c>
      <c r="BF600" s="56">
        <f>600</f>
      </c>
      <c r="BH600" s="92">
        <f>F600*AO600</f>
      </c>
      <c r="BI600" s="92">
        <f>F600*AP600</f>
      </c>
      <c r="BJ600" s="92">
        <f>F600*G600</f>
      </c>
      <c r="BK600" s="92"/>
      <c r="BL600" s="56" t="n">
        <v>766</v>
      </c>
      <c r="BW600" s="56" t="n">
        <v>21</v>
      </c>
      <c r="BX600" s="94" t="s">
        <v>1009</v>
      </c>
    </row>
    <row r="601">
      <c r="A601" s="74"/>
      <c r="B601" s="75"/>
      <c r="C601" s="76" t="s">
        <v>73</v>
      </c>
      <c r="D601" s="77" t="s">
        <v>995</v>
      </c>
      <c r="E601" s="75"/>
      <c r="F601" s="78" t="n">
        <v>3</v>
      </c>
      <c r="G601" s="75"/>
      <c r="H601" s="75"/>
      <c r="I601" s="75"/>
      <c r="J601" s="75"/>
      <c r="K601" s="79"/>
    </row>
    <row r="602">
      <c r="A602" s="96" t="s">
        <v>1010</v>
      </c>
      <c r="B602" s="97" t="s">
        <v>1011</v>
      </c>
      <c r="C602" s="98" t="s">
        <v>1012</v>
      </c>
      <c r="D602" s="97"/>
      <c r="E602" s="97" t="s">
        <v>180</v>
      </c>
      <c r="F602" s="99" t="n">
        <v>1</v>
      </c>
      <c r="G602" s="99" t="n">
        <v>0</v>
      </c>
      <c r="H602" s="99">
        <f>F602*AO602</f>
      </c>
      <c r="I602" s="99">
        <f>F602*AP602</f>
      </c>
      <c r="J602" s="99">
        <f>F602*G602</f>
      </c>
      <c r="K602" s="100" t="s">
        <v>100</v>
      </c>
      <c r="Z602" s="56">
        <f>IF(AQ602="5",BJ602,0)</f>
      </c>
      <c r="AB602" s="56">
        <f>IF(AQ602="1",BH602,0)</f>
      </c>
      <c r="AC602" s="56">
        <f>IF(AQ602="1",BI602,0)</f>
      </c>
      <c r="AD602" s="56">
        <f>IF(AQ602="7",BH602,0)</f>
      </c>
      <c r="AE602" s="56">
        <f>IF(AQ602="7",BI602,0)</f>
      </c>
      <c r="AF602" s="56">
        <f>IF(AQ602="2",BH602,0)</f>
      </c>
      <c r="AG602" s="56">
        <f>IF(AQ602="2",BI602,0)</f>
      </c>
      <c r="AH602" s="56">
        <f>IF(AQ602="0",BJ602,0)</f>
      </c>
      <c r="AI602" s="28" t="s">
        <v>57</v>
      </c>
      <c r="AJ602" s="92">
        <f>IF(AN602=0,J602,0)</f>
      </c>
      <c r="AK602" s="92">
        <f>IF(AN602=12,J602,0)</f>
      </c>
      <c r="AL602" s="92">
        <f>IF(AN602=21,J602,0)</f>
      </c>
      <c r="AN602" s="56" t="n">
        <v>21</v>
      </c>
      <c r="AO602" s="56">
        <f>G602*1</f>
      </c>
      <c r="AP602" s="56">
        <f>G602*(1-1)</f>
      </c>
      <c r="AQ602" s="93" t="s">
        <v>85</v>
      </c>
      <c r="AV602" s="56">
        <f>AW602+AX602</f>
      </c>
      <c r="AW602" s="56">
        <f>F602*AO602</f>
      </c>
      <c r="AX602" s="56">
        <f>F602*AP602</f>
      </c>
      <c r="AY602" s="57" t="s">
        <v>981</v>
      </c>
      <c r="AZ602" s="57" t="s">
        <v>536</v>
      </c>
      <c r="BA602" s="28" t="s">
        <v>64</v>
      </c>
      <c r="BC602" s="56">
        <f>AW602+AX602</f>
      </c>
      <c r="BD602" s="56">
        <f>G602/(100-BE602)*100</f>
      </c>
      <c r="BE602" s="56" t="n">
        <v>0</v>
      </c>
      <c r="BF602" s="56">
        <f>602</f>
      </c>
      <c r="BH602" s="92">
        <f>F602*AO602</f>
      </c>
      <c r="BI602" s="92">
        <f>F602*AP602</f>
      </c>
      <c r="BJ602" s="92">
        <f>F602*G602</f>
      </c>
      <c r="BK602" s="92"/>
      <c r="BL602" s="56" t="n">
        <v>766</v>
      </c>
      <c r="BW602" s="56" t="n">
        <v>21</v>
      </c>
      <c r="BX602" s="94" t="s">
        <v>1012</v>
      </c>
    </row>
    <row r="603">
      <c r="A603" s="74"/>
      <c r="B603" s="75"/>
      <c r="C603" s="76" t="s">
        <v>58</v>
      </c>
      <c r="D603" s="77" t="s">
        <v>994</v>
      </c>
      <c r="E603" s="75"/>
      <c r="F603" s="78" t="n">
        <v>1</v>
      </c>
      <c r="G603" s="75"/>
      <c r="H603" s="75"/>
      <c r="I603" s="75"/>
      <c r="J603" s="75"/>
      <c r="K603" s="79"/>
    </row>
    <row r="604">
      <c r="A604" s="51" t="s">
        <v>1013</v>
      </c>
      <c r="B604" s="52" t="s">
        <v>1014</v>
      </c>
      <c r="C604" s="53" t="s">
        <v>1015</v>
      </c>
      <c r="D604" s="52"/>
      <c r="E604" s="52" t="s">
        <v>180</v>
      </c>
      <c r="F604" s="54" t="n">
        <v>1</v>
      </c>
      <c r="G604" s="54" t="n">
        <v>0</v>
      </c>
      <c r="H604" s="54">
        <f>F604*AO604</f>
      </c>
      <c r="I604" s="54">
        <f>F604*AP604</f>
      </c>
      <c r="J604" s="54">
        <f>F604*G604</f>
      </c>
      <c r="K604" s="55" t="s">
        <v>100</v>
      </c>
      <c r="Z604" s="56">
        <f>IF(AQ604="5",BJ604,0)</f>
      </c>
      <c r="AB604" s="56">
        <f>IF(AQ604="1",BH604,0)</f>
      </c>
      <c r="AC604" s="56">
        <f>IF(AQ604="1",BI604,0)</f>
      </c>
      <c r="AD604" s="56">
        <f>IF(AQ604="7",BH604,0)</f>
      </c>
      <c r="AE604" s="56">
        <f>IF(AQ604="7",BI604,0)</f>
      </c>
      <c r="AF604" s="56">
        <f>IF(AQ604="2",BH604,0)</f>
      </c>
      <c r="AG604" s="56">
        <f>IF(AQ604="2",BI604,0)</f>
      </c>
      <c r="AH604" s="56">
        <f>IF(AQ604="0",BJ604,0)</f>
      </c>
      <c r="AI604" s="28" t="s">
        <v>57</v>
      </c>
      <c r="AJ604" s="56">
        <f>IF(AN604=0,J604,0)</f>
      </c>
      <c r="AK604" s="56">
        <f>IF(AN604=12,J604,0)</f>
      </c>
      <c r="AL604" s="56">
        <f>IF(AN604=21,J604,0)</f>
      </c>
      <c r="AN604" s="56" t="n">
        <v>21</v>
      </c>
      <c r="AO604" s="56">
        <f>G604*0.014306982</f>
      </c>
      <c r="AP604" s="56">
        <f>G604*(1-0.014306982)</f>
      </c>
      <c r="AQ604" s="57" t="s">
        <v>85</v>
      </c>
      <c r="AV604" s="56">
        <f>AW604+AX604</f>
      </c>
      <c r="AW604" s="56">
        <f>F604*AO604</f>
      </c>
      <c r="AX604" s="56">
        <f>F604*AP604</f>
      </c>
      <c r="AY604" s="57" t="s">
        <v>981</v>
      </c>
      <c r="AZ604" s="57" t="s">
        <v>536</v>
      </c>
      <c r="BA604" s="28" t="s">
        <v>64</v>
      </c>
      <c r="BC604" s="56">
        <f>AW604+AX604</f>
      </c>
      <c r="BD604" s="56">
        <f>G604/(100-BE604)*100</f>
      </c>
      <c r="BE604" s="56" t="n">
        <v>0</v>
      </c>
      <c r="BF604" s="56">
        <f>604</f>
      </c>
      <c r="BH604" s="56">
        <f>F604*AO604</f>
      </c>
      <c r="BI604" s="56">
        <f>F604*AP604</f>
      </c>
      <c r="BJ604" s="56">
        <f>F604*G604</f>
      </c>
      <c r="BK604" s="56"/>
      <c r="BL604" s="56" t="n">
        <v>766</v>
      </c>
      <c r="BW604" s="56" t="n">
        <v>21</v>
      </c>
      <c r="BX604" s="14" t="s">
        <v>1015</v>
      </c>
    </row>
    <row r="605">
      <c r="A605" s="74"/>
      <c r="B605" s="75"/>
      <c r="C605" s="76" t="s">
        <v>58</v>
      </c>
      <c r="D605" s="77" t="s">
        <v>1016</v>
      </c>
      <c r="E605" s="75"/>
      <c r="F605" s="78" t="n">
        <v>1</v>
      </c>
      <c r="G605" s="75"/>
      <c r="H605" s="75"/>
      <c r="I605" s="75"/>
      <c r="J605" s="75"/>
      <c r="K605" s="79"/>
    </row>
    <row r="606">
      <c r="A606" s="96" t="s">
        <v>1017</v>
      </c>
      <c r="B606" s="97" t="s">
        <v>1018</v>
      </c>
      <c r="C606" s="98" t="s">
        <v>1019</v>
      </c>
      <c r="D606" s="97"/>
      <c r="E606" s="97" t="s">
        <v>180</v>
      </c>
      <c r="F606" s="99" t="n">
        <v>1</v>
      </c>
      <c r="G606" s="99" t="n">
        <v>0</v>
      </c>
      <c r="H606" s="99">
        <f>F606*AO606</f>
      </c>
      <c r="I606" s="99">
        <f>F606*AP606</f>
      </c>
      <c r="J606" s="99">
        <f>F606*G606</f>
      </c>
      <c r="K606" s="100" t="s">
        <v>71</v>
      </c>
      <c r="Z606" s="56">
        <f>IF(AQ606="5",BJ606,0)</f>
      </c>
      <c r="AB606" s="56">
        <f>IF(AQ606="1",BH606,0)</f>
      </c>
      <c r="AC606" s="56">
        <f>IF(AQ606="1",BI606,0)</f>
      </c>
      <c r="AD606" s="56">
        <f>IF(AQ606="7",BH606,0)</f>
      </c>
      <c r="AE606" s="56">
        <f>IF(AQ606="7",BI606,0)</f>
      </c>
      <c r="AF606" s="56">
        <f>IF(AQ606="2",BH606,0)</f>
      </c>
      <c r="AG606" s="56">
        <f>IF(AQ606="2",BI606,0)</f>
      </c>
      <c r="AH606" s="56">
        <f>IF(AQ606="0",BJ606,0)</f>
      </c>
      <c r="AI606" s="28" t="s">
        <v>57</v>
      </c>
      <c r="AJ606" s="92">
        <f>IF(AN606=0,J606,0)</f>
      </c>
      <c r="AK606" s="92">
        <f>IF(AN606=12,J606,0)</f>
      </c>
      <c r="AL606" s="92">
        <f>IF(AN606=21,J606,0)</f>
      </c>
      <c r="AN606" s="56" t="n">
        <v>21</v>
      </c>
      <c r="AO606" s="56">
        <f>G606*1</f>
      </c>
      <c r="AP606" s="56">
        <f>G606*(1-1)</f>
      </c>
      <c r="AQ606" s="93" t="s">
        <v>85</v>
      </c>
      <c r="AV606" s="56">
        <f>AW606+AX606</f>
      </c>
      <c r="AW606" s="56">
        <f>F606*AO606</f>
      </c>
      <c r="AX606" s="56">
        <f>F606*AP606</f>
      </c>
      <c r="AY606" s="57" t="s">
        <v>981</v>
      </c>
      <c r="AZ606" s="57" t="s">
        <v>536</v>
      </c>
      <c r="BA606" s="28" t="s">
        <v>64</v>
      </c>
      <c r="BC606" s="56">
        <f>AW606+AX606</f>
      </c>
      <c r="BD606" s="56">
        <f>G606/(100-BE606)*100</f>
      </c>
      <c r="BE606" s="56" t="n">
        <v>0</v>
      </c>
      <c r="BF606" s="56">
        <f>606</f>
      </c>
      <c r="BH606" s="92">
        <f>F606*AO606</f>
      </c>
      <c r="BI606" s="92">
        <f>F606*AP606</f>
      </c>
      <c r="BJ606" s="92">
        <f>F606*G606</f>
      </c>
      <c r="BK606" s="92"/>
      <c r="BL606" s="56" t="n">
        <v>766</v>
      </c>
      <c r="BW606" s="56" t="n">
        <v>21</v>
      </c>
      <c r="BX606" s="94" t="s">
        <v>1019</v>
      </c>
    </row>
    <row r="607">
      <c r="A607" s="74"/>
      <c r="B607" s="75"/>
      <c r="C607" s="76" t="s">
        <v>58</v>
      </c>
      <c r="D607" s="77" t="s">
        <v>1016</v>
      </c>
      <c r="E607" s="75"/>
      <c r="F607" s="78" t="n">
        <v>1</v>
      </c>
      <c r="G607" s="75"/>
      <c r="H607" s="75"/>
      <c r="I607" s="75"/>
      <c r="J607" s="75"/>
      <c r="K607" s="79"/>
    </row>
    <row r="608" ht="24.75">
      <c r="A608" s="58"/>
      <c r="B608" s="80" t="s">
        <v>108</v>
      </c>
      <c r="C608" s="59" t="s">
        <v>1020</v>
      </c>
      <c r="D608" s="60"/>
      <c r="E608" s="60"/>
      <c r="F608" s="60"/>
      <c r="G608" s="60"/>
      <c r="H608" s="60"/>
      <c r="I608" s="60"/>
      <c r="J608" s="60"/>
      <c r="K608" s="61"/>
      <c r="BX608" s="95" t="s">
        <v>1020</v>
      </c>
    </row>
    <row r="609">
      <c r="A609" s="82" t="s">
        <v>1021</v>
      </c>
      <c r="B609" s="83" t="s">
        <v>1022</v>
      </c>
      <c r="C609" s="84" t="s">
        <v>1023</v>
      </c>
      <c r="D609" s="83"/>
      <c r="E609" s="83" t="s">
        <v>180</v>
      </c>
      <c r="F609" s="85" t="n">
        <v>16</v>
      </c>
      <c r="G609" s="85" t="n">
        <v>0</v>
      </c>
      <c r="H609" s="85">
        <f>F609*AO609</f>
      </c>
      <c r="I609" s="85">
        <f>F609*AP609</f>
      </c>
      <c r="J609" s="85">
        <f>F609*G609</f>
      </c>
      <c r="K609" s="86" t="s">
        <v>100</v>
      </c>
      <c r="Z609" s="56">
        <f>IF(AQ609="5",BJ609,0)</f>
      </c>
      <c r="AB609" s="56">
        <f>IF(AQ609="1",BH609,0)</f>
      </c>
      <c r="AC609" s="56">
        <f>IF(AQ609="1",BI609,0)</f>
      </c>
      <c r="AD609" s="56">
        <f>IF(AQ609="7",BH609,0)</f>
      </c>
      <c r="AE609" s="56">
        <f>IF(AQ609="7",BI609,0)</f>
      </c>
      <c r="AF609" s="56">
        <f>IF(AQ609="2",BH609,0)</f>
      </c>
      <c r="AG609" s="56">
        <f>IF(AQ609="2",BI609,0)</f>
      </c>
      <c r="AH609" s="56">
        <f>IF(AQ609="0",BJ609,0)</f>
      </c>
      <c r="AI609" s="28" t="s">
        <v>57</v>
      </c>
      <c r="AJ609" s="56">
        <f>IF(AN609=0,J609,0)</f>
      </c>
      <c r="AK609" s="56">
        <f>IF(AN609=12,J609,0)</f>
      </c>
      <c r="AL609" s="56">
        <f>IF(AN609=21,J609,0)</f>
      </c>
      <c r="AN609" s="56" t="n">
        <v>21</v>
      </c>
      <c r="AO609" s="56">
        <f>G609*0.003263858</f>
      </c>
      <c r="AP609" s="56">
        <f>G609*(1-0.003263858)</f>
      </c>
      <c r="AQ609" s="57" t="s">
        <v>85</v>
      </c>
      <c r="AV609" s="56">
        <f>AW609+AX609</f>
      </c>
      <c r="AW609" s="56">
        <f>F609*AO609</f>
      </c>
      <c r="AX609" s="56">
        <f>F609*AP609</f>
      </c>
      <c r="AY609" s="57" t="s">
        <v>981</v>
      </c>
      <c r="AZ609" s="57" t="s">
        <v>536</v>
      </c>
      <c r="BA609" s="28" t="s">
        <v>64</v>
      </c>
      <c r="BC609" s="56">
        <f>AW609+AX609</f>
      </c>
      <c r="BD609" s="56">
        <f>G609/(100-BE609)*100</f>
      </c>
      <c r="BE609" s="56" t="n">
        <v>0</v>
      </c>
      <c r="BF609" s="56">
        <f>609</f>
      </c>
      <c r="BH609" s="56">
        <f>F609*AO609</f>
      </c>
      <c r="BI609" s="56">
        <f>F609*AP609</f>
      </c>
      <c r="BJ609" s="56">
        <f>F609*G609</f>
      </c>
      <c r="BK609" s="56"/>
      <c r="BL609" s="56" t="n">
        <v>766</v>
      </c>
      <c r="BW609" s="56" t="n">
        <v>21</v>
      </c>
      <c r="BX609" s="14" t="s">
        <v>1023</v>
      </c>
    </row>
    <row r="610">
      <c r="A610" s="74"/>
      <c r="B610" s="75"/>
      <c r="C610" s="76" t="s">
        <v>88</v>
      </c>
      <c r="D610" s="77" t="s">
        <v>728</v>
      </c>
      <c r="E610" s="75"/>
      <c r="F610" s="78" t="n">
        <v>8</v>
      </c>
      <c r="G610" s="75"/>
      <c r="H610" s="75"/>
      <c r="I610" s="75"/>
      <c r="J610" s="75"/>
      <c r="K610" s="79"/>
    </row>
    <row r="611">
      <c r="A611" s="74"/>
      <c r="B611" s="75"/>
      <c r="C611" s="76" t="s">
        <v>88</v>
      </c>
      <c r="D611" s="77" t="s">
        <v>730</v>
      </c>
      <c r="E611" s="75"/>
      <c r="F611" s="78" t="n">
        <v>8</v>
      </c>
      <c r="G611" s="75"/>
      <c r="H611" s="75"/>
      <c r="I611" s="75"/>
      <c r="J611" s="75"/>
      <c r="K611" s="79"/>
    </row>
    <row r="612">
      <c r="A612" s="58"/>
      <c r="B612" s="80" t="s">
        <v>108</v>
      </c>
      <c r="C612" s="59" t="s">
        <v>1024</v>
      </c>
      <c r="D612" s="60"/>
      <c r="E612" s="60"/>
      <c r="F612" s="60"/>
      <c r="G612" s="60"/>
      <c r="H612" s="60"/>
      <c r="I612" s="60"/>
      <c r="J612" s="60"/>
      <c r="K612" s="61"/>
      <c r="BX612" s="81" t="s">
        <v>1024</v>
      </c>
    </row>
    <row r="613">
      <c r="A613" s="87" t="s">
        <v>1025</v>
      </c>
      <c r="B613" s="88" t="s">
        <v>1026</v>
      </c>
      <c r="C613" s="89" t="s">
        <v>1027</v>
      </c>
      <c r="D613" s="88"/>
      <c r="E613" s="88" t="s">
        <v>180</v>
      </c>
      <c r="F613" s="90" t="n">
        <v>8</v>
      </c>
      <c r="G613" s="90" t="n">
        <v>0</v>
      </c>
      <c r="H613" s="90">
        <f>F613*AO613</f>
      </c>
      <c r="I613" s="90">
        <f>F613*AP613</f>
      </c>
      <c r="J613" s="90">
        <f>F613*G613</f>
      </c>
      <c r="K613" s="91" t="s">
        <v>71</v>
      </c>
      <c r="Z613" s="56">
        <f>IF(AQ613="5",BJ613,0)</f>
      </c>
      <c r="AB613" s="56">
        <f>IF(AQ613="1",BH613,0)</f>
      </c>
      <c r="AC613" s="56">
        <f>IF(AQ613="1",BI613,0)</f>
      </c>
      <c r="AD613" s="56">
        <f>IF(AQ613="7",BH613,0)</f>
      </c>
      <c r="AE613" s="56">
        <f>IF(AQ613="7",BI613,0)</f>
      </c>
      <c r="AF613" s="56">
        <f>IF(AQ613="2",BH613,0)</f>
      </c>
      <c r="AG613" s="56">
        <f>IF(AQ613="2",BI613,0)</f>
      </c>
      <c r="AH613" s="56">
        <f>IF(AQ613="0",BJ613,0)</f>
      </c>
      <c r="AI613" s="28" t="s">
        <v>57</v>
      </c>
      <c r="AJ613" s="92">
        <f>IF(AN613=0,J613,0)</f>
      </c>
      <c r="AK613" s="92">
        <f>IF(AN613=12,J613,0)</f>
      </c>
      <c r="AL613" s="92">
        <f>IF(AN613=21,J613,0)</f>
      </c>
      <c r="AN613" s="56" t="n">
        <v>21</v>
      </c>
      <c r="AO613" s="56">
        <f>G613*1</f>
      </c>
      <c r="AP613" s="56">
        <f>G613*(1-1)</f>
      </c>
      <c r="AQ613" s="93" t="s">
        <v>85</v>
      </c>
      <c r="AV613" s="56">
        <f>AW613+AX613</f>
      </c>
      <c r="AW613" s="56">
        <f>F613*AO613</f>
      </c>
      <c r="AX613" s="56">
        <f>F613*AP613</f>
      </c>
      <c r="AY613" s="57" t="s">
        <v>981</v>
      </c>
      <c r="AZ613" s="57" t="s">
        <v>536</v>
      </c>
      <c r="BA613" s="28" t="s">
        <v>64</v>
      </c>
      <c r="BC613" s="56">
        <f>AW613+AX613</f>
      </c>
      <c r="BD613" s="56">
        <f>G613/(100-BE613)*100</f>
      </c>
      <c r="BE613" s="56" t="n">
        <v>0</v>
      </c>
      <c r="BF613" s="56">
        <f>613</f>
      </c>
      <c r="BH613" s="92">
        <f>F613*AO613</f>
      </c>
      <c r="BI613" s="92">
        <f>F613*AP613</f>
      </c>
      <c r="BJ613" s="92">
        <f>F613*G613</f>
      </c>
      <c r="BK613" s="92"/>
      <c r="BL613" s="56" t="n">
        <v>766</v>
      </c>
      <c r="BW613" s="56" t="n">
        <v>21</v>
      </c>
      <c r="BX613" s="94" t="s">
        <v>1027</v>
      </c>
    </row>
    <row r="614">
      <c r="A614" s="74"/>
      <c r="B614" s="75"/>
      <c r="C614" s="76" t="s">
        <v>88</v>
      </c>
      <c r="D614" s="77" t="s">
        <v>728</v>
      </c>
      <c r="E614" s="75"/>
      <c r="F614" s="78" t="n">
        <v>8</v>
      </c>
      <c r="G614" s="75"/>
      <c r="H614" s="75"/>
      <c r="I614" s="75"/>
      <c r="J614" s="75"/>
      <c r="K614" s="79"/>
    </row>
    <row r="615" ht="84.75">
      <c r="A615" s="58"/>
      <c r="B615" s="80" t="s">
        <v>108</v>
      </c>
      <c r="C615" s="59" t="s">
        <v>1028</v>
      </c>
      <c r="D615" s="60"/>
      <c r="E615" s="60"/>
      <c r="F615" s="60"/>
      <c r="G615" s="60"/>
      <c r="H615" s="60"/>
      <c r="I615" s="60"/>
      <c r="J615" s="60"/>
      <c r="K615" s="61"/>
      <c r="BX615" s="95" t="s">
        <v>1028</v>
      </c>
    </row>
    <row r="616">
      <c r="A616" s="87" t="s">
        <v>1029</v>
      </c>
      <c r="B616" s="88" t="s">
        <v>1030</v>
      </c>
      <c r="C616" s="89" t="s">
        <v>1031</v>
      </c>
      <c r="D616" s="88"/>
      <c r="E616" s="88" t="s">
        <v>180</v>
      </c>
      <c r="F616" s="90" t="n">
        <v>8</v>
      </c>
      <c r="G616" s="90" t="n">
        <v>0</v>
      </c>
      <c r="H616" s="90">
        <f>F616*AO616</f>
      </c>
      <c r="I616" s="90">
        <f>F616*AP616</f>
      </c>
      <c r="J616" s="90">
        <f>F616*G616</f>
      </c>
      <c r="K616" s="91" t="s">
        <v>71</v>
      </c>
      <c r="Z616" s="56">
        <f>IF(AQ616="5",BJ616,0)</f>
      </c>
      <c r="AB616" s="56">
        <f>IF(AQ616="1",BH616,0)</f>
      </c>
      <c r="AC616" s="56">
        <f>IF(AQ616="1",BI616,0)</f>
      </c>
      <c r="AD616" s="56">
        <f>IF(AQ616="7",BH616,0)</f>
      </c>
      <c r="AE616" s="56">
        <f>IF(AQ616="7",BI616,0)</f>
      </c>
      <c r="AF616" s="56">
        <f>IF(AQ616="2",BH616,0)</f>
      </c>
      <c r="AG616" s="56">
        <f>IF(AQ616="2",BI616,0)</f>
      </c>
      <c r="AH616" s="56">
        <f>IF(AQ616="0",BJ616,0)</f>
      </c>
      <c r="AI616" s="28" t="s">
        <v>57</v>
      </c>
      <c r="AJ616" s="92">
        <f>IF(AN616=0,J616,0)</f>
      </c>
      <c r="AK616" s="92">
        <f>IF(AN616=12,J616,0)</f>
      </c>
      <c r="AL616" s="92">
        <f>IF(AN616=21,J616,0)</f>
      </c>
      <c r="AN616" s="56" t="n">
        <v>21</v>
      </c>
      <c r="AO616" s="56">
        <f>G616*1</f>
      </c>
      <c r="AP616" s="56">
        <f>G616*(1-1)</f>
      </c>
      <c r="AQ616" s="93" t="s">
        <v>85</v>
      </c>
      <c r="AV616" s="56">
        <f>AW616+AX616</f>
      </c>
      <c r="AW616" s="56">
        <f>F616*AO616</f>
      </c>
      <c r="AX616" s="56">
        <f>F616*AP616</f>
      </c>
      <c r="AY616" s="57" t="s">
        <v>981</v>
      </c>
      <c r="AZ616" s="57" t="s">
        <v>536</v>
      </c>
      <c r="BA616" s="28" t="s">
        <v>64</v>
      </c>
      <c r="BC616" s="56">
        <f>AW616+AX616</f>
      </c>
      <c r="BD616" s="56">
        <f>G616/(100-BE616)*100</f>
      </c>
      <c r="BE616" s="56" t="n">
        <v>0</v>
      </c>
      <c r="BF616" s="56">
        <f>616</f>
      </c>
      <c r="BH616" s="92">
        <f>F616*AO616</f>
      </c>
      <c r="BI616" s="92">
        <f>F616*AP616</f>
      </c>
      <c r="BJ616" s="92">
        <f>F616*G616</f>
      </c>
      <c r="BK616" s="92"/>
      <c r="BL616" s="56" t="n">
        <v>766</v>
      </c>
      <c r="BW616" s="56" t="n">
        <v>21</v>
      </c>
      <c r="BX616" s="94" t="s">
        <v>1031</v>
      </c>
    </row>
    <row r="617">
      <c r="A617" s="74"/>
      <c r="B617" s="75"/>
      <c r="C617" s="76" t="s">
        <v>88</v>
      </c>
      <c r="D617" s="77" t="s">
        <v>728</v>
      </c>
      <c r="E617" s="75"/>
      <c r="F617" s="78" t="n">
        <v>8</v>
      </c>
      <c r="G617" s="75"/>
      <c r="H617" s="75"/>
      <c r="I617" s="75"/>
      <c r="J617" s="75"/>
      <c r="K617" s="79"/>
    </row>
    <row r="618" ht="24.75">
      <c r="A618" s="58"/>
      <c r="B618" s="80" t="s">
        <v>108</v>
      </c>
      <c r="C618" s="59" t="s">
        <v>1032</v>
      </c>
      <c r="D618" s="60"/>
      <c r="E618" s="60"/>
      <c r="F618" s="60"/>
      <c r="G618" s="60"/>
      <c r="H618" s="60"/>
      <c r="I618" s="60"/>
      <c r="J618" s="60"/>
      <c r="K618" s="61"/>
      <c r="BX618" s="95" t="s">
        <v>1032</v>
      </c>
    </row>
    <row r="619">
      <c r="A619" s="87" t="s">
        <v>1033</v>
      </c>
      <c r="B619" s="88" t="s">
        <v>1034</v>
      </c>
      <c r="C619" s="89" t="s">
        <v>1035</v>
      </c>
      <c r="D619" s="88"/>
      <c r="E619" s="88" t="s">
        <v>180</v>
      </c>
      <c r="F619" s="90" t="n">
        <v>1</v>
      </c>
      <c r="G619" s="90" t="n">
        <v>0</v>
      </c>
      <c r="H619" s="90">
        <f>F619*AO619</f>
      </c>
      <c r="I619" s="90">
        <f>F619*AP619</f>
      </c>
      <c r="J619" s="90">
        <f>F619*G619</f>
      </c>
      <c r="K619" s="91" t="s">
        <v>71</v>
      </c>
      <c r="Z619" s="56">
        <f>IF(AQ619="5",BJ619,0)</f>
      </c>
      <c r="AB619" s="56">
        <f>IF(AQ619="1",BH619,0)</f>
      </c>
      <c r="AC619" s="56">
        <f>IF(AQ619="1",BI619,0)</f>
      </c>
      <c r="AD619" s="56">
        <f>IF(AQ619="7",BH619,0)</f>
      </c>
      <c r="AE619" s="56">
        <f>IF(AQ619="7",BI619,0)</f>
      </c>
      <c r="AF619" s="56">
        <f>IF(AQ619="2",BH619,0)</f>
      </c>
      <c r="AG619" s="56">
        <f>IF(AQ619="2",BI619,0)</f>
      </c>
      <c r="AH619" s="56">
        <f>IF(AQ619="0",BJ619,0)</f>
      </c>
      <c r="AI619" s="28" t="s">
        <v>57</v>
      </c>
      <c r="AJ619" s="92">
        <f>IF(AN619=0,J619,0)</f>
      </c>
      <c r="AK619" s="92">
        <f>IF(AN619=12,J619,0)</f>
      </c>
      <c r="AL619" s="92">
        <f>IF(AN619=21,J619,0)</f>
      </c>
      <c r="AN619" s="56" t="n">
        <v>21</v>
      </c>
      <c r="AO619" s="56">
        <f>G619*1</f>
      </c>
      <c r="AP619" s="56">
        <f>G619*(1-1)</f>
      </c>
      <c r="AQ619" s="93" t="s">
        <v>85</v>
      </c>
      <c r="AV619" s="56">
        <f>AW619+AX619</f>
      </c>
      <c r="AW619" s="56">
        <f>F619*AO619</f>
      </c>
      <c r="AX619" s="56">
        <f>F619*AP619</f>
      </c>
      <c r="AY619" s="57" t="s">
        <v>981</v>
      </c>
      <c r="AZ619" s="57" t="s">
        <v>536</v>
      </c>
      <c r="BA619" s="28" t="s">
        <v>64</v>
      </c>
      <c r="BC619" s="56">
        <f>AW619+AX619</f>
      </c>
      <c r="BD619" s="56">
        <f>G619/(100-BE619)*100</f>
      </c>
      <c r="BE619" s="56" t="n">
        <v>0</v>
      </c>
      <c r="BF619" s="56">
        <f>619</f>
      </c>
      <c r="BH619" s="92">
        <f>F619*AO619</f>
      </c>
      <c r="BI619" s="92">
        <f>F619*AP619</f>
      </c>
      <c r="BJ619" s="92">
        <f>F619*G619</f>
      </c>
      <c r="BK619" s="92"/>
      <c r="BL619" s="56" t="n">
        <v>766</v>
      </c>
      <c r="BW619" s="56" t="n">
        <v>21</v>
      </c>
      <c r="BX619" s="94" t="s">
        <v>1035</v>
      </c>
    </row>
    <row r="620">
      <c r="A620" s="74"/>
      <c r="B620" s="75"/>
      <c r="C620" s="76" t="s">
        <v>58</v>
      </c>
      <c r="D620" s="77" t="s">
        <v>1036</v>
      </c>
      <c r="E620" s="75"/>
      <c r="F620" s="78" t="n">
        <v>1</v>
      </c>
      <c r="G620" s="75"/>
      <c r="H620" s="75"/>
      <c r="I620" s="75"/>
      <c r="J620" s="75"/>
      <c r="K620" s="79"/>
    </row>
    <row r="621">
      <c r="A621" s="58"/>
      <c r="B621" s="80" t="s">
        <v>108</v>
      </c>
      <c r="C621" s="59" t="s">
        <v>1037</v>
      </c>
      <c r="D621" s="60"/>
      <c r="E621" s="60"/>
      <c r="F621" s="60"/>
      <c r="G621" s="60"/>
      <c r="H621" s="60"/>
      <c r="I621" s="60"/>
      <c r="J621" s="60"/>
      <c r="K621" s="61"/>
      <c r="BX621" s="95" t="s">
        <v>1037</v>
      </c>
    </row>
    <row r="622">
      <c r="A622" s="87" t="s">
        <v>1038</v>
      </c>
      <c r="B622" s="88" t="s">
        <v>1039</v>
      </c>
      <c r="C622" s="89" t="s">
        <v>1040</v>
      </c>
      <c r="D622" s="88"/>
      <c r="E622" s="88" t="s">
        <v>180</v>
      </c>
      <c r="F622" s="90" t="n">
        <v>8</v>
      </c>
      <c r="G622" s="90" t="n">
        <v>0</v>
      </c>
      <c r="H622" s="90">
        <f>F622*AO622</f>
      </c>
      <c r="I622" s="90">
        <f>F622*AP622</f>
      </c>
      <c r="J622" s="90">
        <f>F622*G622</f>
      </c>
      <c r="K622" s="91" t="s">
        <v>71</v>
      </c>
      <c r="Z622" s="56">
        <f>IF(AQ622="5",BJ622,0)</f>
      </c>
      <c r="AB622" s="56">
        <f>IF(AQ622="1",BH622,0)</f>
      </c>
      <c r="AC622" s="56">
        <f>IF(AQ622="1",BI622,0)</f>
      </c>
      <c r="AD622" s="56">
        <f>IF(AQ622="7",BH622,0)</f>
      </c>
      <c r="AE622" s="56">
        <f>IF(AQ622="7",BI622,0)</f>
      </c>
      <c r="AF622" s="56">
        <f>IF(AQ622="2",BH622,0)</f>
      </c>
      <c r="AG622" s="56">
        <f>IF(AQ622="2",BI622,0)</f>
      </c>
      <c r="AH622" s="56">
        <f>IF(AQ622="0",BJ622,0)</f>
      </c>
      <c r="AI622" s="28" t="s">
        <v>57</v>
      </c>
      <c r="AJ622" s="92">
        <f>IF(AN622=0,J622,0)</f>
      </c>
      <c r="AK622" s="92">
        <f>IF(AN622=12,J622,0)</f>
      </c>
      <c r="AL622" s="92">
        <f>IF(AN622=21,J622,0)</f>
      </c>
      <c r="AN622" s="56" t="n">
        <v>21</v>
      </c>
      <c r="AO622" s="56">
        <f>G622*1</f>
      </c>
      <c r="AP622" s="56">
        <f>G622*(1-1)</f>
      </c>
      <c r="AQ622" s="93" t="s">
        <v>85</v>
      </c>
      <c r="AV622" s="56">
        <f>AW622+AX622</f>
      </c>
      <c r="AW622" s="56">
        <f>F622*AO622</f>
      </c>
      <c r="AX622" s="56">
        <f>F622*AP622</f>
      </c>
      <c r="AY622" s="57" t="s">
        <v>981</v>
      </c>
      <c r="AZ622" s="57" t="s">
        <v>536</v>
      </c>
      <c r="BA622" s="28" t="s">
        <v>64</v>
      </c>
      <c r="BC622" s="56">
        <f>AW622+AX622</f>
      </c>
      <c r="BD622" s="56">
        <f>G622/(100-BE622)*100</f>
      </c>
      <c r="BE622" s="56" t="n">
        <v>0</v>
      </c>
      <c r="BF622" s="56">
        <f>622</f>
      </c>
      <c r="BH622" s="92">
        <f>F622*AO622</f>
      </c>
      <c r="BI622" s="92">
        <f>F622*AP622</f>
      </c>
      <c r="BJ622" s="92">
        <f>F622*G622</f>
      </c>
      <c r="BK622" s="92"/>
      <c r="BL622" s="56" t="n">
        <v>766</v>
      </c>
      <c r="BW622" s="56" t="n">
        <v>21</v>
      </c>
      <c r="BX622" s="94" t="s">
        <v>1040</v>
      </c>
    </row>
    <row r="623">
      <c r="A623" s="74"/>
      <c r="B623" s="75"/>
      <c r="C623" s="76" t="s">
        <v>88</v>
      </c>
      <c r="D623" s="77" t="s">
        <v>730</v>
      </c>
      <c r="E623" s="75"/>
      <c r="F623" s="78" t="n">
        <v>8</v>
      </c>
      <c r="G623" s="75"/>
      <c r="H623" s="75"/>
      <c r="I623" s="75"/>
      <c r="J623" s="75"/>
      <c r="K623" s="79"/>
    </row>
    <row r="624" ht="24.75">
      <c r="A624" s="58"/>
      <c r="B624" s="80" t="s">
        <v>108</v>
      </c>
      <c r="C624" s="59" t="s">
        <v>1032</v>
      </c>
      <c r="D624" s="60"/>
      <c r="E624" s="60"/>
      <c r="F624" s="60"/>
      <c r="G624" s="60"/>
      <c r="H624" s="60"/>
      <c r="I624" s="60"/>
      <c r="J624" s="60"/>
      <c r="K624" s="61"/>
      <c r="BX624" s="95" t="s">
        <v>1032</v>
      </c>
    </row>
    <row r="625">
      <c r="A625" s="87" t="s">
        <v>1041</v>
      </c>
      <c r="B625" s="88" t="s">
        <v>1042</v>
      </c>
      <c r="C625" s="89" t="s">
        <v>1043</v>
      </c>
      <c r="D625" s="88"/>
      <c r="E625" s="88" t="s">
        <v>180</v>
      </c>
      <c r="F625" s="90" t="n">
        <v>8</v>
      </c>
      <c r="G625" s="90" t="n">
        <v>0</v>
      </c>
      <c r="H625" s="90">
        <f>F625*AO625</f>
      </c>
      <c r="I625" s="90">
        <f>F625*AP625</f>
      </c>
      <c r="J625" s="90">
        <f>F625*G625</f>
      </c>
      <c r="K625" s="91" t="s">
        <v>100</v>
      </c>
      <c r="Z625" s="56">
        <f>IF(AQ625="5",BJ625,0)</f>
      </c>
      <c r="AB625" s="56">
        <f>IF(AQ625="1",BH625,0)</f>
      </c>
      <c r="AC625" s="56">
        <f>IF(AQ625="1",BI625,0)</f>
      </c>
      <c r="AD625" s="56">
        <f>IF(AQ625="7",BH625,0)</f>
      </c>
      <c r="AE625" s="56">
        <f>IF(AQ625="7",BI625,0)</f>
      </c>
      <c r="AF625" s="56">
        <f>IF(AQ625="2",BH625,0)</f>
      </c>
      <c r="AG625" s="56">
        <f>IF(AQ625="2",BI625,0)</f>
      </c>
      <c r="AH625" s="56">
        <f>IF(AQ625="0",BJ625,0)</f>
      </c>
      <c r="AI625" s="28" t="s">
        <v>57</v>
      </c>
      <c r="AJ625" s="92">
        <f>IF(AN625=0,J625,0)</f>
      </c>
      <c r="AK625" s="92">
        <f>IF(AN625=12,J625,0)</f>
      </c>
      <c r="AL625" s="92">
        <f>IF(AN625=21,J625,0)</f>
      </c>
      <c r="AN625" s="56" t="n">
        <v>21</v>
      </c>
      <c r="AO625" s="56">
        <f>G625*1</f>
      </c>
      <c r="AP625" s="56">
        <f>G625*(1-1)</f>
      </c>
      <c r="AQ625" s="93" t="s">
        <v>85</v>
      </c>
      <c r="AV625" s="56">
        <f>AW625+AX625</f>
      </c>
      <c r="AW625" s="56">
        <f>F625*AO625</f>
      </c>
      <c r="AX625" s="56">
        <f>F625*AP625</f>
      </c>
      <c r="AY625" s="57" t="s">
        <v>981</v>
      </c>
      <c r="AZ625" s="57" t="s">
        <v>536</v>
      </c>
      <c r="BA625" s="28" t="s">
        <v>64</v>
      </c>
      <c r="BC625" s="56">
        <f>AW625+AX625</f>
      </c>
      <c r="BD625" s="56">
        <f>G625/(100-BE625)*100</f>
      </c>
      <c r="BE625" s="56" t="n">
        <v>0</v>
      </c>
      <c r="BF625" s="56">
        <f>625</f>
      </c>
      <c r="BH625" s="92">
        <f>F625*AO625</f>
      </c>
      <c r="BI625" s="92">
        <f>F625*AP625</f>
      </c>
      <c r="BJ625" s="92">
        <f>F625*G625</f>
      </c>
      <c r="BK625" s="92"/>
      <c r="BL625" s="56" t="n">
        <v>766</v>
      </c>
      <c r="BW625" s="56" t="n">
        <v>21</v>
      </c>
      <c r="BX625" s="94" t="s">
        <v>1043</v>
      </c>
    </row>
    <row r="626">
      <c r="A626" s="74"/>
      <c r="B626" s="75"/>
      <c r="C626" s="76" t="s">
        <v>88</v>
      </c>
      <c r="D626" s="77" t="s">
        <v>730</v>
      </c>
      <c r="E626" s="75"/>
      <c r="F626" s="78" t="n">
        <v>8</v>
      </c>
      <c r="G626" s="75"/>
      <c r="H626" s="75"/>
      <c r="I626" s="75"/>
      <c r="J626" s="75"/>
      <c r="K626" s="79"/>
    </row>
    <row r="627" ht="60.75">
      <c r="A627" s="58"/>
      <c r="B627" s="80" t="s">
        <v>108</v>
      </c>
      <c r="C627" s="59" t="s">
        <v>1044</v>
      </c>
      <c r="D627" s="60"/>
      <c r="E627" s="60"/>
      <c r="F627" s="60"/>
      <c r="G627" s="60"/>
      <c r="H627" s="60"/>
      <c r="I627" s="60"/>
      <c r="J627" s="60"/>
      <c r="K627" s="61"/>
      <c r="BX627" s="95" t="s">
        <v>1044</v>
      </c>
    </row>
    <row r="628">
      <c r="A628" s="82" t="s">
        <v>1045</v>
      </c>
      <c r="B628" s="83" t="s">
        <v>1046</v>
      </c>
      <c r="C628" s="84" t="s">
        <v>1047</v>
      </c>
      <c r="D628" s="83"/>
      <c r="E628" s="83" t="s">
        <v>180</v>
      </c>
      <c r="F628" s="85" t="n">
        <v>24</v>
      </c>
      <c r="G628" s="85" t="n">
        <v>0</v>
      </c>
      <c r="H628" s="85">
        <f>F628*AO628</f>
      </c>
      <c r="I628" s="85">
        <f>F628*AP628</f>
      </c>
      <c r="J628" s="85">
        <f>F628*G628</f>
      </c>
      <c r="K628" s="86" t="s">
        <v>100</v>
      </c>
      <c r="Z628" s="56">
        <f>IF(AQ628="5",BJ628,0)</f>
      </c>
      <c r="AB628" s="56">
        <f>IF(AQ628="1",BH628,0)</f>
      </c>
      <c r="AC628" s="56">
        <f>IF(AQ628="1",BI628,0)</f>
      </c>
      <c r="AD628" s="56">
        <f>IF(AQ628="7",BH628,0)</f>
      </c>
      <c r="AE628" s="56">
        <f>IF(AQ628="7",BI628,0)</f>
      </c>
      <c r="AF628" s="56">
        <f>IF(AQ628="2",BH628,0)</f>
      </c>
      <c r="AG628" s="56">
        <f>IF(AQ628="2",BI628,0)</f>
      </c>
      <c r="AH628" s="56">
        <f>IF(AQ628="0",BJ628,0)</f>
      </c>
      <c r="AI628" s="28" t="s">
        <v>57</v>
      </c>
      <c r="AJ628" s="56">
        <f>IF(AN628=0,J628,0)</f>
      </c>
      <c r="AK628" s="56">
        <f>IF(AN628=12,J628,0)</f>
      </c>
      <c r="AL628" s="56">
        <f>IF(AN628=21,J628,0)</f>
      </c>
      <c r="AN628" s="56" t="n">
        <v>21</v>
      </c>
      <c r="AO628" s="56">
        <f>G628*0.01924183</f>
      </c>
      <c r="AP628" s="56">
        <f>G628*(1-0.01924183)</f>
      </c>
      <c r="AQ628" s="57" t="s">
        <v>85</v>
      </c>
      <c r="AV628" s="56">
        <f>AW628+AX628</f>
      </c>
      <c r="AW628" s="56">
        <f>F628*AO628</f>
      </c>
      <c r="AX628" s="56">
        <f>F628*AP628</f>
      </c>
      <c r="AY628" s="57" t="s">
        <v>981</v>
      </c>
      <c r="AZ628" s="57" t="s">
        <v>536</v>
      </c>
      <c r="BA628" s="28" t="s">
        <v>64</v>
      </c>
      <c r="BC628" s="56">
        <f>AW628+AX628</f>
      </c>
      <c r="BD628" s="56">
        <f>G628/(100-BE628)*100</f>
      </c>
      <c r="BE628" s="56" t="n">
        <v>0</v>
      </c>
      <c r="BF628" s="56">
        <f>628</f>
      </c>
      <c r="BH628" s="56">
        <f>F628*AO628</f>
      </c>
      <c r="BI628" s="56">
        <f>F628*AP628</f>
      </c>
      <c r="BJ628" s="56">
        <f>F628*G628</f>
      </c>
      <c r="BK628" s="56"/>
      <c r="BL628" s="56" t="n">
        <v>766</v>
      </c>
      <c r="BW628" s="56" t="n">
        <v>21</v>
      </c>
      <c r="BX628" s="14" t="s">
        <v>1047</v>
      </c>
    </row>
    <row r="629">
      <c r="A629" s="74"/>
      <c r="B629" s="75"/>
      <c r="C629" s="76" t="s">
        <v>88</v>
      </c>
      <c r="D629" s="77" t="s">
        <v>1048</v>
      </c>
      <c r="E629" s="75"/>
      <c r="F629" s="78" t="n">
        <v>8</v>
      </c>
      <c r="G629" s="75"/>
      <c r="H629" s="75"/>
      <c r="I629" s="75"/>
      <c r="J629" s="75"/>
      <c r="K629" s="79"/>
    </row>
    <row r="630">
      <c r="A630" s="74"/>
      <c r="B630" s="75"/>
      <c r="C630" s="76" t="s">
        <v>88</v>
      </c>
      <c r="D630" s="77" t="s">
        <v>1049</v>
      </c>
      <c r="E630" s="75"/>
      <c r="F630" s="78" t="n">
        <v>8</v>
      </c>
      <c r="G630" s="75"/>
      <c r="H630" s="75"/>
      <c r="I630" s="75"/>
      <c r="J630" s="75"/>
      <c r="K630" s="79"/>
    </row>
    <row r="631">
      <c r="A631" s="74"/>
      <c r="B631" s="75"/>
      <c r="C631" s="76" t="s">
        <v>85</v>
      </c>
      <c r="D631" s="77" t="s">
        <v>1050</v>
      </c>
      <c r="E631" s="75"/>
      <c r="F631" s="78" t="n">
        <v>7</v>
      </c>
      <c r="G631" s="75"/>
      <c r="H631" s="75"/>
      <c r="I631" s="75"/>
      <c r="J631" s="75"/>
      <c r="K631" s="79"/>
    </row>
    <row r="632">
      <c r="A632" s="74"/>
      <c r="B632" s="75"/>
      <c r="C632" s="76" t="s">
        <v>58</v>
      </c>
      <c r="D632" s="77" t="s">
        <v>1051</v>
      </c>
      <c r="E632" s="75"/>
      <c r="F632" s="78" t="n">
        <v>1</v>
      </c>
      <c r="G632" s="75"/>
      <c r="H632" s="75"/>
      <c r="I632" s="75"/>
      <c r="J632" s="75"/>
      <c r="K632" s="79"/>
    </row>
    <row r="633">
      <c r="A633" s="58"/>
      <c r="B633" s="80" t="s">
        <v>108</v>
      </c>
      <c r="C633" s="59" t="s">
        <v>1052</v>
      </c>
      <c r="D633" s="60"/>
      <c r="E633" s="60"/>
      <c r="F633" s="60"/>
      <c r="G633" s="60"/>
      <c r="H633" s="60"/>
      <c r="I633" s="60"/>
      <c r="J633" s="60"/>
      <c r="K633" s="61"/>
      <c r="BX633" s="81" t="s">
        <v>1052</v>
      </c>
    </row>
    <row r="634">
      <c r="A634" s="87" t="s">
        <v>1053</v>
      </c>
      <c r="B634" s="88" t="s">
        <v>1054</v>
      </c>
      <c r="C634" s="89" t="s">
        <v>1055</v>
      </c>
      <c r="D634" s="88"/>
      <c r="E634" s="88" t="s">
        <v>180</v>
      </c>
      <c r="F634" s="90" t="n">
        <v>8</v>
      </c>
      <c r="G634" s="90" t="n">
        <v>0</v>
      </c>
      <c r="H634" s="90">
        <f>F634*AO634</f>
      </c>
      <c r="I634" s="90">
        <f>F634*AP634</f>
      </c>
      <c r="J634" s="90">
        <f>F634*G634</f>
      </c>
      <c r="K634" s="91" t="s">
        <v>71</v>
      </c>
      <c r="Z634" s="56">
        <f>IF(AQ634="5",BJ634,0)</f>
      </c>
      <c r="AB634" s="56">
        <f>IF(AQ634="1",BH634,0)</f>
      </c>
      <c r="AC634" s="56">
        <f>IF(AQ634="1",BI634,0)</f>
      </c>
      <c r="AD634" s="56">
        <f>IF(AQ634="7",BH634,0)</f>
      </c>
      <c r="AE634" s="56">
        <f>IF(AQ634="7",BI634,0)</f>
      </c>
      <c r="AF634" s="56">
        <f>IF(AQ634="2",BH634,0)</f>
      </c>
      <c r="AG634" s="56">
        <f>IF(AQ634="2",BI634,0)</f>
      </c>
      <c r="AH634" s="56">
        <f>IF(AQ634="0",BJ634,0)</f>
      </c>
      <c r="AI634" s="28" t="s">
        <v>57</v>
      </c>
      <c r="AJ634" s="92">
        <f>IF(AN634=0,J634,0)</f>
      </c>
      <c r="AK634" s="92">
        <f>IF(AN634=12,J634,0)</f>
      </c>
      <c r="AL634" s="92">
        <f>IF(AN634=21,J634,0)</f>
      </c>
      <c r="AN634" s="56" t="n">
        <v>21</v>
      </c>
      <c r="AO634" s="56">
        <f>G634*1</f>
      </c>
      <c r="AP634" s="56">
        <f>G634*(1-1)</f>
      </c>
      <c r="AQ634" s="93" t="s">
        <v>85</v>
      </c>
      <c r="AV634" s="56">
        <f>AW634+AX634</f>
      </c>
      <c r="AW634" s="56">
        <f>F634*AO634</f>
      </c>
      <c r="AX634" s="56">
        <f>F634*AP634</f>
      </c>
      <c r="AY634" s="57" t="s">
        <v>981</v>
      </c>
      <c r="AZ634" s="57" t="s">
        <v>536</v>
      </c>
      <c r="BA634" s="28" t="s">
        <v>64</v>
      </c>
      <c r="BC634" s="56">
        <f>AW634+AX634</f>
      </c>
      <c r="BD634" s="56">
        <f>G634/(100-BE634)*100</f>
      </c>
      <c r="BE634" s="56" t="n">
        <v>0</v>
      </c>
      <c r="BF634" s="56">
        <f>634</f>
      </c>
      <c r="BH634" s="92">
        <f>F634*AO634</f>
      </c>
      <c r="BI634" s="92">
        <f>F634*AP634</f>
      </c>
      <c r="BJ634" s="92">
        <f>F634*G634</f>
      </c>
      <c r="BK634" s="92"/>
      <c r="BL634" s="56" t="n">
        <v>766</v>
      </c>
      <c r="BW634" s="56" t="n">
        <v>21</v>
      </c>
      <c r="BX634" s="94" t="s">
        <v>1055</v>
      </c>
    </row>
    <row r="635">
      <c r="A635" s="74"/>
      <c r="B635" s="75"/>
      <c r="C635" s="76" t="s">
        <v>88</v>
      </c>
      <c r="D635" s="77" t="s">
        <v>1056</v>
      </c>
      <c r="E635" s="75"/>
      <c r="F635" s="78" t="n">
        <v>8</v>
      </c>
      <c r="G635" s="75"/>
      <c r="H635" s="75"/>
      <c r="I635" s="75"/>
      <c r="J635" s="75"/>
      <c r="K635" s="79"/>
    </row>
    <row r="636">
      <c r="A636" s="58"/>
      <c r="B636" s="80" t="s">
        <v>108</v>
      </c>
      <c r="C636" s="59" t="s">
        <v>1057</v>
      </c>
      <c r="D636" s="60"/>
      <c r="E636" s="60"/>
      <c r="F636" s="60"/>
      <c r="G636" s="60"/>
      <c r="H636" s="60"/>
      <c r="I636" s="60"/>
      <c r="J636" s="60"/>
      <c r="K636" s="61"/>
      <c r="BX636" s="95" t="s">
        <v>1057</v>
      </c>
    </row>
    <row r="637">
      <c r="A637" s="87" t="s">
        <v>1058</v>
      </c>
      <c r="B637" s="88" t="s">
        <v>1059</v>
      </c>
      <c r="C637" s="89" t="s">
        <v>1060</v>
      </c>
      <c r="D637" s="88"/>
      <c r="E637" s="88" t="s">
        <v>180</v>
      </c>
      <c r="F637" s="90" t="n">
        <v>8</v>
      </c>
      <c r="G637" s="90" t="n">
        <v>0</v>
      </c>
      <c r="H637" s="90">
        <f>F637*AO637</f>
      </c>
      <c r="I637" s="90">
        <f>F637*AP637</f>
      </c>
      <c r="J637" s="90">
        <f>F637*G637</f>
      </c>
      <c r="K637" s="91" t="s">
        <v>71</v>
      </c>
      <c r="Z637" s="56">
        <f>IF(AQ637="5",BJ637,0)</f>
      </c>
      <c r="AB637" s="56">
        <f>IF(AQ637="1",BH637,0)</f>
      </c>
      <c r="AC637" s="56">
        <f>IF(AQ637="1",BI637,0)</f>
      </c>
      <c r="AD637" s="56">
        <f>IF(AQ637="7",BH637,0)</f>
      </c>
      <c r="AE637" s="56">
        <f>IF(AQ637="7",BI637,0)</f>
      </c>
      <c r="AF637" s="56">
        <f>IF(AQ637="2",BH637,0)</f>
      </c>
      <c r="AG637" s="56">
        <f>IF(AQ637="2",BI637,0)</f>
      </c>
      <c r="AH637" s="56">
        <f>IF(AQ637="0",BJ637,0)</f>
      </c>
      <c r="AI637" s="28" t="s">
        <v>57</v>
      </c>
      <c r="AJ637" s="92">
        <f>IF(AN637=0,J637,0)</f>
      </c>
      <c r="AK637" s="92">
        <f>IF(AN637=12,J637,0)</f>
      </c>
      <c r="AL637" s="92">
        <f>IF(AN637=21,J637,0)</f>
      </c>
      <c r="AN637" s="56" t="n">
        <v>21</v>
      </c>
      <c r="AO637" s="56">
        <f>G637*1</f>
      </c>
      <c r="AP637" s="56">
        <f>G637*(1-1)</f>
      </c>
      <c r="AQ637" s="93" t="s">
        <v>85</v>
      </c>
      <c r="AV637" s="56">
        <f>AW637+AX637</f>
      </c>
      <c r="AW637" s="56">
        <f>F637*AO637</f>
      </c>
      <c r="AX637" s="56">
        <f>F637*AP637</f>
      </c>
      <c r="AY637" s="57" t="s">
        <v>981</v>
      </c>
      <c r="AZ637" s="57" t="s">
        <v>536</v>
      </c>
      <c r="BA637" s="28" t="s">
        <v>64</v>
      </c>
      <c r="BC637" s="56">
        <f>AW637+AX637</f>
      </c>
      <c r="BD637" s="56">
        <f>G637/(100-BE637)*100</f>
      </c>
      <c r="BE637" s="56" t="n">
        <v>0</v>
      </c>
      <c r="BF637" s="56">
        <f>637</f>
      </c>
      <c r="BH637" s="92">
        <f>F637*AO637</f>
      </c>
      <c r="BI637" s="92">
        <f>F637*AP637</f>
      </c>
      <c r="BJ637" s="92">
        <f>F637*G637</f>
      </c>
      <c r="BK637" s="92"/>
      <c r="BL637" s="56" t="n">
        <v>766</v>
      </c>
      <c r="BW637" s="56" t="n">
        <v>21</v>
      </c>
      <c r="BX637" s="94" t="s">
        <v>1060</v>
      </c>
    </row>
    <row r="638">
      <c r="A638" s="74"/>
      <c r="B638" s="75"/>
      <c r="C638" s="76" t="s">
        <v>88</v>
      </c>
      <c r="D638" s="77" t="s">
        <v>1061</v>
      </c>
      <c r="E638" s="75"/>
      <c r="F638" s="78" t="n">
        <v>8</v>
      </c>
      <c r="G638" s="75"/>
      <c r="H638" s="75"/>
      <c r="I638" s="75"/>
      <c r="J638" s="75"/>
      <c r="K638" s="79"/>
    </row>
    <row r="639">
      <c r="A639" s="58"/>
      <c r="B639" s="80" t="s">
        <v>108</v>
      </c>
      <c r="C639" s="59" t="s">
        <v>1062</v>
      </c>
      <c r="D639" s="60"/>
      <c r="E639" s="60"/>
      <c r="F639" s="60"/>
      <c r="G639" s="60"/>
      <c r="H639" s="60"/>
      <c r="I639" s="60"/>
      <c r="J639" s="60"/>
      <c r="K639" s="61"/>
      <c r="BX639" s="95" t="s">
        <v>1062</v>
      </c>
    </row>
    <row r="640">
      <c r="A640" s="87" t="s">
        <v>1063</v>
      </c>
      <c r="B640" s="88" t="s">
        <v>1064</v>
      </c>
      <c r="C640" s="89" t="s">
        <v>1065</v>
      </c>
      <c r="D640" s="88"/>
      <c r="E640" s="88" t="s">
        <v>180</v>
      </c>
      <c r="F640" s="90" t="n">
        <v>8</v>
      </c>
      <c r="G640" s="90" t="n">
        <v>0</v>
      </c>
      <c r="H640" s="90">
        <f>F640*AO640</f>
      </c>
      <c r="I640" s="90">
        <f>F640*AP640</f>
      </c>
      <c r="J640" s="90">
        <f>F640*G640</f>
      </c>
      <c r="K640" s="91" t="s">
        <v>71</v>
      </c>
      <c r="Z640" s="56">
        <f>IF(AQ640="5",BJ640,0)</f>
      </c>
      <c r="AB640" s="56">
        <f>IF(AQ640="1",BH640,0)</f>
      </c>
      <c r="AC640" s="56">
        <f>IF(AQ640="1",BI640,0)</f>
      </c>
      <c r="AD640" s="56">
        <f>IF(AQ640="7",BH640,0)</f>
      </c>
      <c r="AE640" s="56">
        <f>IF(AQ640="7",BI640,0)</f>
      </c>
      <c r="AF640" s="56">
        <f>IF(AQ640="2",BH640,0)</f>
      </c>
      <c r="AG640" s="56">
        <f>IF(AQ640="2",BI640,0)</f>
      </c>
      <c r="AH640" s="56">
        <f>IF(AQ640="0",BJ640,0)</f>
      </c>
      <c r="AI640" s="28" t="s">
        <v>57</v>
      </c>
      <c r="AJ640" s="92">
        <f>IF(AN640=0,J640,0)</f>
      </c>
      <c r="AK640" s="92">
        <f>IF(AN640=12,J640,0)</f>
      </c>
      <c r="AL640" s="92">
        <f>IF(AN640=21,J640,0)</f>
      </c>
      <c r="AN640" s="56" t="n">
        <v>21</v>
      </c>
      <c r="AO640" s="56">
        <f>G640*1</f>
      </c>
      <c r="AP640" s="56">
        <f>G640*(1-1)</f>
      </c>
      <c r="AQ640" s="93" t="s">
        <v>85</v>
      </c>
      <c r="AV640" s="56">
        <f>AW640+AX640</f>
      </c>
      <c r="AW640" s="56">
        <f>F640*AO640</f>
      </c>
      <c r="AX640" s="56">
        <f>F640*AP640</f>
      </c>
      <c r="AY640" s="57" t="s">
        <v>981</v>
      </c>
      <c r="AZ640" s="57" t="s">
        <v>536</v>
      </c>
      <c r="BA640" s="28" t="s">
        <v>64</v>
      </c>
      <c r="BC640" s="56">
        <f>AW640+AX640</f>
      </c>
      <c r="BD640" s="56">
        <f>G640/(100-BE640)*100</f>
      </c>
      <c r="BE640" s="56" t="n">
        <v>0</v>
      </c>
      <c r="BF640" s="56">
        <f>640</f>
      </c>
      <c r="BH640" s="92">
        <f>F640*AO640</f>
      </c>
      <c r="BI640" s="92">
        <f>F640*AP640</f>
      </c>
      <c r="BJ640" s="92">
        <f>F640*G640</f>
      </c>
      <c r="BK640" s="92"/>
      <c r="BL640" s="56" t="n">
        <v>766</v>
      </c>
      <c r="BW640" s="56" t="n">
        <v>21</v>
      </c>
      <c r="BX640" s="94" t="s">
        <v>1065</v>
      </c>
    </row>
    <row r="641">
      <c r="A641" s="74"/>
      <c r="B641" s="75"/>
      <c r="C641" s="76" t="s">
        <v>88</v>
      </c>
      <c r="D641" s="77" t="s">
        <v>1066</v>
      </c>
      <c r="E641" s="75"/>
      <c r="F641" s="78" t="n">
        <v>8</v>
      </c>
      <c r="G641" s="75"/>
      <c r="H641" s="75"/>
      <c r="I641" s="75"/>
      <c r="J641" s="75"/>
      <c r="K641" s="79"/>
    </row>
    <row r="642">
      <c r="A642" s="58"/>
      <c r="B642" s="80" t="s">
        <v>108</v>
      </c>
      <c r="C642" s="59" t="s">
        <v>1057</v>
      </c>
      <c r="D642" s="60"/>
      <c r="E642" s="60"/>
      <c r="F642" s="60"/>
      <c r="G642" s="60"/>
      <c r="H642" s="60"/>
      <c r="I642" s="60"/>
      <c r="J642" s="60"/>
      <c r="K642" s="61"/>
      <c r="BX642" s="95" t="s">
        <v>1057</v>
      </c>
    </row>
    <row r="643">
      <c r="A643" s="87" t="s">
        <v>1067</v>
      </c>
      <c r="B643" s="88" t="s">
        <v>1068</v>
      </c>
      <c r="C643" s="89" t="s">
        <v>1069</v>
      </c>
      <c r="D643" s="88"/>
      <c r="E643" s="88" t="s">
        <v>180</v>
      </c>
      <c r="F643" s="90" t="n">
        <v>8</v>
      </c>
      <c r="G643" s="90" t="n">
        <v>0</v>
      </c>
      <c r="H643" s="90">
        <f>F643*AO643</f>
      </c>
      <c r="I643" s="90">
        <f>F643*AP643</f>
      </c>
      <c r="J643" s="90">
        <f>F643*G643</f>
      </c>
      <c r="K643" s="91" t="s">
        <v>71</v>
      </c>
      <c r="Z643" s="56">
        <f>IF(AQ643="5",BJ643,0)</f>
      </c>
      <c r="AB643" s="56">
        <f>IF(AQ643="1",BH643,0)</f>
      </c>
      <c r="AC643" s="56">
        <f>IF(AQ643="1",BI643,0)</f>
      </c>
      <c r="AD643" s="56">
        <f>IF(AQ643="7",BH643,0)</f>
      </c>
      <c r="AE643" s="56">
        <f>IF(AQ643="7",BI643,0)</f>
      </c>
      <c r="AF643" s="56">
        <f>IF(AQ643="2",BH643,0)</f>
      </c>
      <c r="AG643" s="56">
        <f>IF(AQ643="2",BI643,0)</f>
      </c>
      <c r="AH643" s="56">
        <f>IF(AQ643="0",BJ643,0)</f>
      </c>
      <c r="AI643" s="28" t="s">
        <v>57</v>
      </c>
      <c r="AJ643" s="92">
        <f>IF(AN643=0,J643,0)</f>
      </c>
      <c r="AK643" s="92">
        <f>IF(AN643=12,J643,0)</f>
      </c>
      <c r="AL643" s="92">
        <f>IF(AN643=21,J643,0)</f>
      </c>
      <c r="AN643" s="56" t="n">
        <v>21</v>
      </c>
      <c r="AO643" s="56">
        <f>G643*1</f>
      </c>
      <c r="AP643" s="56">
        <f>G643*(1-1)</f>
      </c>
      <c r="AQ643" s="93" t="s">
        <v>85</v>
      </c>
      <c r="AV643" s="56">
        <f>AW643+AX643</f>
      </c>
      <c r="AW643" s="56">
        <f>F643*AO643</f>
      </c>
      <c r="AX643" s="56">
        <f>F643*AP643</f>
      </c>
      <c r="AY643" s="57" t="s">
        <v>981</v>
      </c>
      <c r="AZ643" s="57" t="s">
        <v>536</v>
      </c>
      <c r="BA643" s="28" t="s">
        <v>64</v>
      </c>
      <c r="BC643" s="56">
        <f>AW643+AX643</f>
      </c>
      <c r="BD643" s="56">
        <f>G643/(100-BE643)*100</f>
      </c>
      <c r="BE643" s="56" t="n">
        <v>0</v>
      </c>
      <c r="BF643" s="56">
        <f>643</f>
      </c>
      <c r="BH643" s="92">
        <f>F643*AO643</f>
      </c>
      <c r="BI643" s="92">
        <f>F643*AP643</f>
      </c>
      <c r="BJ643" s="92">
        <f>F643*G643</f>
      </c>
      <c r="BK643" s="92"/>
      <c r="BL643" s="56" t="n">
        <v>766</v>
      </c>
      <c r="BW643" s="56" t="n">
        <v>21</v>
      </c>
      <c r="BX643" s="94" t="s">
        <v>1069</v>
      </c>
    </row>
    <row r="644">
      <c r="A644" s="74"/>
      <c r="B644" s="75"/>
      <c r="C644" s="76" t="s">
        <v>88</v>
      </c>
      <c r="D644" s="77" t="s">
        <v>1070</v>
      </c>
      <c r="E644" s="75"/>
      <c r="F644" s="78" t="n">
        <v>8</v>
      </c>
      <c r="G644" s="75"/>
      <c r="H644" s="75"/>
      <c r="I644" s="75"/>
      <c r="J644" s="75"/>
      <c r="K644" s="79"/>
    </row>
    <row r="645">
      <c r="A645" s="58"/>
      <c r="B645" s="80" t="s">
        <v>108</v>
      </c>
      <c r="C645" s="59" t="s">
        <v>1062</v>
      </c>
      <c r="D645" s="60"/>
      <c r="E645" s="60"/>
      <c r="F645" s="60"/>
      <c r="G645" s="60"/>
      <c r="H645" s="60"/>
      <c r="I645" s="60"/>
      <c r="J645" s="60"/>
      <c r="K645" s="61"/>
      <c r="BX645" s="95" t="s">
        <v>1062</v>
      </c>
    </row>
    <row r="646">
      <c r="A646" s="87" t="s">
        <v>1071</v>
      </c>
      <c r="B646" s="88" t="s">
        <v>1068</v>
      </c>
      <c r="C646" s="89" t="s">
        <v>1072</v>
      </c>
      <c r="D646" s="88"/>
      <c r="E646" s="88" t="s">
        <v>180</v>
      </c>
      <c r="F646" s="90" t="n">
        <v>7</v>
      </c>
      <c r="G646" s="90" t="n">
        <v>0</v>
      </c>
      <c r="H646" s="90">
        <f>F646*AO646</f>
      </c>
      <c r="I646" s="90">
        <f>F646*AP646</f>
      </c>
      <c r="J646" s="90">
        <f>F646*G646</f>
      </c>
      <c r="K646" s="91" t="s">
        <v>71</v>
      </c>
      <c r="Z646" s="56">
        <f>IF(AQ646="5",BJ646,0)</f>
      </c>
      <c r="AB646" s="56">
        <f>IF(AQ646="1",BH646,0)</f>
      </c>
      <c r="AC646" s="56">
        <f>IF(AQ646="1",BI646,0)</f>
      </c>
      <c r="AD646" s="56">
        <f>IF(AQ646="7",BH646,0)</f>
      </c>
      <c r="AE646" s="56">
        <f>IF(AQ646="7",BI646,0)</f>
      </c>
      <c r="AF646" s="56">
        <f>IF(AQ646="2",BH646,0)</f>
      </c>
      <c r="AG646" s="56">
        <f>IF(AQ646="2",BI646,0)</f>
      </c>
      <c r="AH646" s="56">
        <f>IF(AQ646="0",BJ646,0)</f>
      </c>
      <c r="AI646" s="28" t="s">
        <v>57</v>
      </c>
      <c r="AJ646" s="92">
        <f>IF(AN646=0,J646,0)</f>
      </c>
      <c r="AK646" s="92">
        <f>IF(AN646=12,J646,0)</f>
      </c>
      <c r="AL646" s="92">
        <f>IF(AN646=21,J646,0)</f>
      </c>
      <c r="AN646" s="56" t="n">
        <v>21</v>
      </c>
      <c r="AO646" s="56">
        <f>G646*1</f>
      </c>
      <c r="AP646" s="56">
        <f>G646*(1-1)</f>
      </c>
      <c r="AQ646" s="93" t="s">
        <v>85</v>
      </c>
      <c r="AV646" s="56">
        <f>AW646+AX646</f>
      </c>
      <c r="AW646" s="56">
        <f>F646*AO646</f>
      </c>
      <c r="AX646" s="56">
        <f>F646*AP646</f>
      </c>
      <c r="AY646" s="57" t="s">
        <v>981</v>
      </c>
      <c r="AZ646" s="57" t="s">
        <v>536</v>
      </c>
      <c r="BA646" s="28" t="s">
        <v>64</v>
      </c>
      <c r="BC646" s="56">
        <f>AW646+AX646</f>
      </c>
      <c r="BD646" s="56">
        <f>G646/(100-BE646)*100</f>
      </c>
      <c r="BE646" s="56" t="n">
        <v>0</v>
      </c>
      <c r="BF646" s="56">
        <f>646</f>
      </c>
      <c r="BH646" s="92">
        <f>F646*AO646</f>
      </c>
      <c r="BI646" s="92">
        <f>F646*AP646</f>
      </c>
      <c r="BJ646" s="92">
        <f>F646*G646</f>
      </c>
      <c r="BK646" s="92"/>
      <c r="BL646" s="56" t="n">
        <v>766</v>
      </c>
      <c r="BW646" s="56" t="n">
        <v>21</v>
      </c>
      <c r="BX646" s="94" t="s">
        <v>1072</v>
      </c>
    </row>
    <row r="647">
      <c r="A647" s="74"/>
      <c r="B647" s="75"/>
      <c r="C647" s="76" t="s">
        <v>85</v>
      </c>
      <c r="D647" s="77" t="s">
        <v>1073</v>
      </c>
      <c r="E647" s="75"/>
      <c r="F647" s="78" t="n">
        <v>7</v>
      </c>
      <c r="G647" s="75"/>
      <c r="H647" s="75"/>
      <c r="I647" s="75"/>
      <c r="J647" s="75"/>
      <c r="K647" s="79"/>
    </row>
    <row r="648" ht="24.75">
      <c r="A648" s="58"/>
      <c r="B648" s="80" t="s">
        <v>108</v>
      </c>
      <c r="C648" s="59" t="s">
        <v>1074</v>
      </c>
      <c r="D648" s="60"/>
      <c r="E648" s="60"/>
      <c r="F648" s="60"/>
      <c r="G648" s="60"/>
      <c r="H648" s="60"/>
      <c r="I648" s="60"/>
      <c r="J648" s="60"/>
      <c r="K648" s="61"/>
      <c r="BX648" s="95" t="s">
        <v>1074</v>
      </c>
    </row>
    <row r="649">
      <c r="A649" s="87" t="s">
        <v>1075</v>
      </c>
      <c r="B649" s="88" t="s">
        <v>1076</v>
      </c>
      <c r="C649" s="89" t="s">
        <v>1077</v>
      </c>
      <c r="D649" s="88"/>
      <c r="E649" s="88" t="s">
        <v>180</v>
      </c>
      <c r="F649" s="90" t="n">
        <v>1</v>
      </c>
      <c r="G649" s="90" t="n">
        <v>0</v>
      </c>
      <c r="H649" s="90">
        <f>F649*AO649</f>
      </c>
      <c r="I649" s="90">
        <f>F649*AP649</f>
      </c>
      <c r="J649" s="90">
        <f>F649*G649</f>
      </c>
      <c r="K649" s="91" t="s">
        <v>71</v>
      </c>
      <c r="Z649" s="56">
        <f>IF(AQ649="5",BJ649,0)</f>
      </c>
      <c r="AB649" s="56">
        <f>IF(AQ649="1",BH649,0)</f>
      </c>
      <c r="AC649" s="56">
        <f>IF(AQ649="1",BI649,0)</f>
      </c>
      <c r="AD649" s="56">
        <f>IF(AQ649="7",BH649,0)</f>
      </c>
      <c r="AE649" s="56">
        <f>IF(AQ649="7",BI649,0)</f>
      </c>
      <c r="AF649" s="56">
        <f>IF(AQ649="2",BH649,0)</f>
      </c>
      <c r="AG649" s="56">
        <f>IF(AQ649="2",BI649,0)</f>
      </c>
      <c r="AH649" s="56">
        <f>IF(AQ649="0",BJ649,0)</f>
      </c>
      <c r="AI649" s="28" t="s">
        <v>57</v>
      </c>
      <c r="AJ649" s="92">
        <f>IF(AN649=0,J649,0)</f>
      </c>
      <c r="AK649" s="92">
        <f>IF(AN649=12,J649,0)</f>
      </c>
      <c r="AL649" s="92">
        <f>IF(AN649=21,J649,0)</f>
      </c>
      <c r="AN649" s="56" t="n">
        <v>21</v>
      </c>
      <c r="AO649" s="56">
        <f>G649*1</f>
      </c>
      <c r="AP649" s="56">
        <f>G649*(1-1)</f>
      </c>
      <c r="AQ649" s="93" t="s">
        <v>85</v>
      </c>
      <c r="AV649" s="56">
        <f>AW649+AX649</f>
      </c>
      <c r="AW649" s="56">
        <f>F649*AO649</f>
      </c>
      <c r="AX649" s="56">
        <f>F649*AP649</f>
      </c>
      <c r="AY649" s="57" t="s">
        <v>981</v>
      </c>
      <c r="AZ649" s="57" t="s">
        <v>536</v>
      </c>
      <c r="BA649" s="28" t="s">
        <v>64</v>
      </c>
      <c r="BC649" s="56">
        <f>AW649+AX649</f>
      </c>
      <c r="BD649" s="56">
        <f>G649/(100-BE649)*100</f>
      </c>
      <c r="BE649" s="56" t="n">
        <v>0</v>
      </c>
      <c r="BF649" s="56">
        <f>649</f>
      </c>
      <c r="BH649" s="92">
        <f>F649*AO649</f>
      </c>
      <c r="BI649" s="92">
        <f>F649*AP649</f>
      </c>
      <c r="BJ649" s="92">
        <f>F649*G649</f>
      </c>
      <c r="BK649" s="92"/>
      <c r="BL649" s="56" t="n">
        <v>766</v>
      </c>
      <c r="BW649" s="56" t="n">
        <v>21</v>
      </c>
      <c r="BX649" s="94" t="s">
        <v>1077</v>
      </c>
    </row>
    <row r="650">
      <c r="A650" s="74"/>
      <c r="B650" s="75"/>
      <c r="C650" s="76" t="s">
        <v>58</v>
      </c>
      <c r="D650" s="77" t="s">
        <v>1078</v>
      </c>
      <c r="E650" s="75"/>
      <c r="F650" s="78" t="n">
        <v>1</v>
      </c>
      <c r="G650" s="75"/>
      <c r="H650" s="75"/>
      <c r="I650" s="75"/>
      <c r="J650" s="75"/>
      <c r="K650" s="79"/>
    </row>
    <row r="651" ht="24.75">
      <c r="A651" s="58"/>
      <c r="B651" s="80" t="s">
        <v>108</v>
      </c>
      <c r="C651" s="59" t="s">
        <v>1079</v>
      </c>
      <c r="D651" s="60"/>
      <c r="E651" s="60"/>
      <c r="F651" s="60"/>
      <c r="G651" s="60"/>
      <c r="H651" s="60"/>
      <c r="I651" s="60"/>
      <c r="J651" s="60"/>
      <c r="K651" s="61"/>
      <c r="BX651" s="95" t="s">
        <v>1079</v>
      </c>
    </row>
    <row r="652">
      <c r="A652" s="87" t="s">
        <v>1080</v>
      </c>
      <c r="B652" s="88" t="s">
        <v>1081</v>
      </c>
      <c r="C652" s="89" t="s">
        <v>1082</v>
      </c>
      <c r="D652" s="88"/>
      <c r="E652" s="88" t="s">
        <v>180</v>
      </c>
      <c r="F652" s="90" t="n">
        <v>7</v>
      </c>
      <c r="G652" s="90" t="n">
        <v>0</v>
      </c>
      <c r="H652" s="90">
        <f>F652*AO652</f>
      </c>
      <c r="I652" s="90">
        <f>F652*AP652</f>
      </c>
      <c r="J652" s="90">
        <f>F652*G652</f>
      </c>
      <c r="K652" s="91" t="s">
        <v>71</v>
      </c>
      <c r="Z652" s="56">
        <f>IF(AQ652="5",BJ652,0)</f>
      </c>
      <c r="AB652" s="56">
        <f>IF(AQ652="1",BH652,0)</f>
      </c>
      <c r="AC652" s="56">
        <f>IF(AQ652="1",BI652,0)</f>
      </c>
      <c r="AD652" s="56">
        <f>IF(AQ652="7",BH652,0)</f>
      </c>
      <c r="AE652" s="56">
        <f>IF(AQ652="7",BI652,0)</f>
      </c>
      <c r="AF652" s="56">
        <f>IF(AQ652="2",BH652,0)</f>
      </c>
      <c r="AG652" s="56">
        <f>IF(AQ652="2",BI652,0)</f>
      </c>
      <c r="AH652" s="56">
        <f>IF(AQ652="0",BJ652,0)</f>
      </c>
      <c r="AI652" s="28" t="s">
        <v>57</v>
      </c>
      <c r="AJ652" s="92">
        <f>IF(AN652=0,J652,0)</f>
      </c>
      <c r="AK652" s="92">
        <f>IF(AN652=12,J652,0)</f>
      </c>
      <c r="AL652" s="92">
        <f>IF(AN652=21,J652,0)</f>
      </c>
      <c r="AN652" s="56" t="n">
        <v>21</v>
      </c>
      <c r="AO652" s="56">
        <f>G652*1</f>
      </c>
      <c r="AP652" s="56">
        <f>G652*(1-1)</f>
      </c>
      <c r="AQ652" s="93" t="s">
        <v>85</v>
      </c>
      <c r="AV652" s="56">
        <f>AW652+AX652</f>
      </c>
      <c r="AW652" s="56">
        <f>F652*AO652</f>
      </c>
      <c r="AX652" s="56">
        <f>F652*AP652</f>
      </c>
      <c r="AY652" s="57" t="s">
        <v>981</v>
      </c>
      <c r="AZ652" s="57" t="s">
        <v>536</v>
      </c>
      <c r="BA652" s="28" t="s">
        <v>64</v>
      </c>
      <c r="BC652" s="56">
        <f>AW652+AX652</f>
      </c>
      <c r="BD652" s="56">
        <f>G652/(100-BE652)*100</f>
      </c>
      <c r="BE652" s="56" t="n">
        <v>0</v>
      </c>
      <c r="BF652" s="56">
        <f>652</f>
      </c>
      <c r="BH652" s="92">
        <f>F652*AO652</f>
      </c>
      <c r="BI652" s="92">
        <f>F652*AP652</f>
      </c>
      <c r="BJ652" s="92">
        <f>F652*G652</f>
      </c>
      <c r="BK652" s="92"/>
      <c r="BL652" s="56" t="n">
        <v>766</v>
      </c>
      <c r="BW652" s="56" t="n">
        <v>21</v>
      </c>
      <c r="BX652" s="94" t="s">
        <v>1082</v>
      </c>
    </row>
    <row r="653">
      <c r="A653" s="74"/>
      <c r="B653" s="75"/>
      <c r="C653" s="76" t="s">
        <v>85</v>
      </c>
      <c r="D653" s="77" t="s">
        <v>1083</v>
      </c>
      <c r="E653" s="75"/>
      <c r="F653" s="78" t="n">
        <v>7</v>
      </c>
      <c r="G653" s="75"/>
      <c r="H653" s="75"/>
      <c r="I653" s="75"/>
      <c r="J653" s="75"/>
      <c r="K653" s="79"/>
    </row>
    <row r="654">
      <c r="A654" s="58"/>
      <c r="B654" s="80" t="s">
        <v>108</v>
      </c>
      <c r="C654" s="59" t="s">
        <v>1084</v>
      </c>
      <c r="D654" s="60"/>
      <c r="E654" s="60"/>
      <c r="F654" s="60"/>
      <c r="G654" s="60"/>
      <c r="H654" s="60"/>
      <c r="I654" s="60"/>
      <c r="J654" s="60"/>
      <c r="K654" s="61"/>
      <c r="BX654" s="95" t="s">
        <v>1084</v>
      </c>
    </row>
    <row r="655">
      <c r="A655" s="87" t="s">
        <v>1085</v>
      </c>
      <c r="B655" s="88" t="s">
        <v>1086</v>
      </c>
      <c r="C655" s="89" t="s">
        <v>1087</v>
      </c>
      <c r="D655" s="88"/>
      <c r="E655" s="88" t="s">
        <v>180</v>
      </c>
      <c r="F655" s="90" t="n">
        <v>1</v>
      </c>
      <c r="G655" s="90" t="n">
        <v>0</v>
      </c>
      <c r="H655" s="90">
        <f>F655*AO655</f>
      </c>
      <c r="I655" s="90">
        <f>F655*AP655</f>
      </c>
      <c r="J655" s="90">
        <f>F655*G655</f>
      </c>
      <c r="K655" s="91" t="s">
        <v>71</v>
      </c>
      <c r="Z655" s="56">
        <f>IF(AQ655="5",BJ655,0)</f>
      </c>
      <c r="AB655" s="56">
        <f>IF(AQ655="1",BH655,0)</f>
      </c>
      <c r="AC655" s="56">
        <f>IF(AQ655="1",BI655,0)</f>
      </c>
      <c r="AD655" s="56">
        <f>IF(AQ655="7",BH655,0)</f>
      </c>
      <c r="AE655" s="56">
        <f>IF(AQ655="7",BI655,0)</f>
      </c>
      <c r="AF655" s="56">
        <f>IF(AQ655="2",BH655,0)</f>
      </c>
      <c r="AG655" s="56">
        <f>IF(AQ655="2",BI655,0)</f>
      </c>
      <c r="AH655" s="56">
        <f>IF(AQ655="0",BJ655,0)</f>
      </c>
      <c r="AI655" s="28" t="s">
        <v>57</v>
      </c>
      <c r="AJ655" s="92">
        <f>IF(AN655=0,J655,0)</f>
      </c>
      <c r="AK655" s="92">
        <f>IF(AN655=12,J655,0)</f>
      </c>
      <c r="AL655" s="92">
        <f>IF(AN655=21,J655,0)</f>
      </c>
      <c r="AN655" s="56" t="n">
        <v>21</v>
      </c>
      <c r="AO655" s="56">
        <f>G655*1</f>
      </c>
      <c r="AP655" s="56">
        <f>G655*(1-1)</f>
      </c>
      <c r="AQ655" s="93" t="s">
        <v>85</v>
      </c>
      <c r="AV655" s="56">
        <f>AW655+AX655</f>
      </c>
      <c r="AW655" s="56">
        <f>F655*AO655</f>
      </c>
      <c r="AX655" s="56">
        <f>F655*AP655</f>
      </c>
      <c r="AY655" s="57" t="s">
        <v>981</v>
      </c>
      <c r="AZ655" s="57" t="s">
        <v>536</v>
      </c>
      <c r="BA655" s="28" t="s">
        <v>64</v>
      </c>
      <c r="BC655" s="56">
        <f>AW655+AX655</f>
      </c>
      <c r="BD655" s="56">
        <f>G655/(100-BE655)*100</f>
      </c>
      <c r="BE655" s="56" t="n">
        <v>0</v>
      </c>
      <c r="BF655" s="56">
        <f>655</f>
      </c>
      <c r="BH655" s="92">
        <f>F655*AO655</f>
      </c>
      <c r="BI655" s="92">
        <f>F655*AP655</f>
      </c>
      <c r="BJ655" s="92">
        <f>F655*G655</f>
      </c>
      <c r="BK655" s="92"/>
      <c r="BL655" s="56" t="n">
        <v>766</v>
      </c>
      <c r="BW655" s="56" t="n">
        <v>21</v>
      </c>
      <c r="BX655" s="94" t="s">
        <v>1087</v>
      </c>
    </row>
    <row r="656">
      <c r="A656" s="74"/>
      <c r="B656" s="75"/>
      <c r="C656" s="76" t="s">
        <v>58</v>
      </c>
      <c r="D656" s="77" t="s">
        <v>1088</v>
      </c>
      <c r="E656" s="75"/>
      <c r="F656" s="78" t="n">
        <v>1</v>
      </c>
      <c r="G656" s="75"/>
      <c r="H656" s="75"/>
      <c r="I656" s="75"/>
      <c r="J656" s="75"/>
      <c r="K656" s="79"/>
    </row>
    <row r="657">
      <c r="A657" s="58"/>
      <c r="B657" s="80" t="s">
        <v>108</v>
      </c>
      <c r="C657" s="59" t="s">
        <v>1084</v>
      </c>
      <c r="D657" s="60"/>
      <c r="E657" s="60"/>
      <c r="F657" s="60"/>
      <c r="G657" s="60"/>
      <c r="H657" s="60"/>
      <c r="I657" s="60"/>
      <c r="J657" s="60"/>
      <c r="K657" s="61"/>
      <c r="BX657" s="95" t="s">
        <v>1084</v>
      </c>
    </row>
    <row r="658">
      <c r="A658" s="82" t="s">
        <v>1089</v>
      </c>
      <c r="B658" s="83" t="s">
        <v>1090</v>
      </c>
      <c r="C658" s="84" t="s">
        <v>1091</v>
      </c>
      <c r="D658" s="83"/>
      <c r="E658" s="83" t="s">
        <v>180</v>
      </c>
      <c r="F658" s="85" t="n">
        <v>7</v>
      </c>
      <c r="G658" s="85" t="n">
        <v>0</v>
      </c>
      <c r="H658" s="85">
        <f>F658*AO658</f>
      </c>
      <c r="I658" s="85">
        <f>F658*AP658</f>
      </c>
      <c r="J658" s="85">
        <f>F658*G658</f>
      </c>
      <c r="K658" s="86" t="s">
        <v>100</v>
      </c>
      <c r="Z658" s="56">
        <f>IF(AQ658="5",BJ658,0)</f>
      </c>
      <c r="AB658" s="56">
        <f>IF(AQ658="1",BH658,0)</f>
      </c>
      <c r="AC658" s="56">
        <f>IF(AQ658="1",BI658,0)</f>
      </c>
      <c r="AD658" s="56">
        <f>IF(AQ658="7",BH658,0)</f>
      </c>
      <c r="AE658" s="56">
        <f>IF(AQ658="7",BI658,0)</f>
      </c>
      <c r="AF658" s="56">
        <f>IF(AQ658="2",BH658,0)</f>
      </c>
      <c r="AG658" s="56">
        <f>IF(AQ658="2",BI658,0)</f>
      </c>
      <c r="AH658" s="56">
        <f>IF(AQ658="0",BJ658,0)</f>
      </c>
      <c r="AI658" s="28" t="s">
        <v>57</v>
      </c>
      <c r="AJ658" s="56">
        <f>IF(AN658=0,J658,0)</f>
      </c>
      <c r="AK658" s="56">
        <f>IF(AN658=12,J658,0)</f>
      </c>
      <c r="AL658" s="56">
        <f>IF(AN658=21,J658,0)</f>
      </c>
      <c r="AN658" s="56" t="n">
        <v>21</v>
      </c>
      <c r="AO658" s="56">
        <f>G658*0.003263858</f>
      </c>
      <c r="AP658" s="56">
        <f>G658*(1-0.003263858)</f>
      </c>
      <c r="AQ658" s="57" t="s">
        <v>85</v>
      </c>
      <c r="AV658" s="56">
        <f>AW658+AX658</f>
      </c>
      <c r="AW658" s="56">
        <f>F658*AO658</f>
      </c>
      <c r="AX658" s="56">
        <f>F658*AP658</f>
      </c>
      <c r="AY658" s="57" t="s">
        <v>981</v>
      </c>
      <c r="AZ658" s="57" t="s">
        <v>536</v>
      </c>
      <c r="BA658" s="28" t="s">
        <v>64</v>
      </c>
      <c r="BC658" s="56">
        <f>AW658+AX658</f>
      </c>
      <c r="BD658" s="56">
        <f>G658/(100-BE658)*100</f>
      </c>
      <c r="BE658" s="56" t="n">
        <v>0</v>
      </c>
      <c r="BF658" s="56">
        <f>658</f>
      </c>
      <c r="BH658" s="56">
        <f>F658*AO658</f>
      </c>
      <c r="BI658" s="56">
        <f>F658*AP658</f>
      </c>
      <c r="BJ658" s="56">
        <f>F658*G658</f>
      </c>
      <c r="BK658" s="56"/>
      <c r="BL658" s="56" t="n">
        <v>766</v>
      </c>
      <c r="BW658" s="56" t="n">
        <v>21</v>
      </c>
      <c r="BX658" s="14" t="s">
        <v>1091</v>
      </c>
    </row>
    <row r="659">
      <c r="A659" s="74"/>
      <c r="B659" s="75"/>
      <c r="C659" s="76" t="s">
        <v>85</v>
      </c>
      <c r="D659" s="77" t="s">
        <v>732</v>
      </c>
      <c r="E659" s="75"/>
      <c r="F659" s="78" t="n">
        <v>7</v>
      </c>
      <c r="G659" s="75"/>
      <c r="H659" s="75"/>
      <c r="I659" s="75"/>
      <c r="J659" s="75"/>
      <c r="K659" s="79"/>
    </row>
    <row r="660">
      <c r="A660" s="58"/>
      <c r="B660" s="80" t="s">
        <v>108</v>
      </c>
      <c r="C660" s="59" t="s">
        <v>1024</v>
      </c>
      <c r="D660" s="60"/>
      <c r="E660" s="60"/>
      <c r="F660" s="60"/>
      <c r="G660" s="60"/>
      <c r="H660" s="60"/>
      <c r="I660" s="60"/>
      <c r="J660" s="60"/>
      <c r="K660" s="61"/>
      <c r="BX660" s="81" t="s">
        <v>1024</v>
      </c>
    </row>
    <row r="661">
      <c r="A661" s="87" t="s">
        <v>1092</v>
      </c>
      <c r="B661" s="88" t="s">
        <v>1093</v>
      </c>
      <c r="C661" s="89" t="s">
        <v>1094</v>
      </c>
      <c r="D661" s="88"/>
      <c r="E661" s="88" t="s">
        <v>180</v>
      </c>
      <c r="F661" s="90" t="n">
        <v>7</v>
      </c>
      <c r="G661" s="90" t="n">
        <v>0</v>
      </c>
      <c r="H661" s="90">
        <f>F661*AO661</f>
      </c>
      <c r="I661" s="90">
        <f>F661*AP661</f>
      </c>
      <c r="J661" s="90">
        <f>F661*G661</f>
      </c>
      <c r="K661" s="91" t="s">
        <v>71</v>
      </c>
      <c r="Z661" s="56">
        <f>IF(AQ661="5",BJ661,0)</f>
      </c>
      <c r="AB661" s="56">
        <f>IF(AQ661="1",BH661,0)</f>
      </c>
      <c r="AC661" s="56">
        <f>IF(AQ661="1",BI661,0)</f>
      </c>
      <c r="AD661" s="56">
        <f>IF(AQ661="7",BH661,0)</f>
      </c>
      <c r="AE661" s="56">
        <f>IF(AQ661="7",BI661,0)</f>
      </c>
      <c r="AF661" s="56">
        <f>IF(AQ661="2",BH661,0)</f>
      </c>
      <c r="AG661" s="56">
        <f>IF(AQ661="2",BI661,0)</f>
      </c>
      <c r="AH661" s="56">
        <f>IF(AQ661="0",BJ661,0)</f>
      </c>
      <c r="AI661" s="28" t="s">
        <v>57</v>
      </c>
      <c r="AJ661" s="92">
        <f>IF(AN661=0,J661,0)</f>
      </c>
      <c r="AK661" s="92">
        <f>IF(AN661=12,J661,0)</f>
      </c>
      <c r="AL661" s="92">
        <f>IF(AN661=21,J661,0)</f>
      </c>
      <c r="AN661" s="56" t="n">
        <v>21</v>
      </c>
      <c r="AO661" s="56">
        <f>G661*1</f>
      </c>
      <c r="AP661" s="56">
        <f>G661*(1-1)</f>
      </c>
      <c r="AQ661" s="93" t="s">
        <v>85</v>
      </c>
      <c r="AV661" s="56">
        <f>AW661+AX661</f>
      </c>
      <c r="AW661" s="56">
        <f>F661*AO661</f>
      </c>
      <c r="AX661" s="56">
        <f>F661*AP661</f>
      </c>
      <c r="AY661" s="57" t="s">
        <v>981</v>
      </c>
      <c r="AZ661" s="57" t="s">
        <v>536</v>
      </c>
      <c r="BA661" s="28" t="s">
        <v>64</v>
      </c>
      <c r="BC661" s="56">
        <f>AW661+AX661</f>
      </c>
      <c r="BD661" s="56">
        <f>G661/(100-BE661)*100</f>
      </c>
      <c r="BE661" s="56" t="n">
        <v>0</v>
      </c>
      <c r="BF661" s="56">
        <f>661</f>
      </c>
      <c r="BH661" s="92">
        <f>F661*AO661</f>
      </c>
      <c r="BI661" s="92">
        <f>F661*AP661</f>
      </c>
      <c r="BJ661" s="92">
        <f>F661*G661</f>
      </c>
      <c r="BK661" s="92"/>
      <c r="BL661" s="56" t="n">
        <v>766</v>
      </c>
      <c r="BW661" s="56" t="n">
        <v>21</v>
      </c>
      <c r="BX661" s="94" t="s">
        <v>1094</v>
      </c>
    </row>
    <row r="662">
      <c r="A662" s="74"/>
      <c r="B662" s="75"/>
      <c r="C662" s="76" t="s">
        <v>85</v>
      </c>
      <c r="D662" s="77" t="s">
        <v>732</v>
      </c>
      <c r="E662" s="75"/>
      <c r="F662" s="78" t="n">
        <v>7</v>
      </c>
      <c r="G662" s="75"/>
      <c r="H662" s="75"/>
      <c r="I662" s="75"/>
      <c r="J662" s="75"/>
      <c r="K662" s="79"/>
    </row>
    <row r="663" ht="36.75">
      <c r="A663" s="58"/>
      <c r="B663" s="80" t="s">
        <v>108</v>
      </c>
      <c r="C663" s="59" t="s">
        <v>1095</v>
      </c>
      <c r="D663" s="60"/>
      <c r="E663" s="60"/>
      <c r="F663" s="60"/>
      <c r="G663" s="60"/>
      <c r="H663" s="60"/>
      <c r="I663" s="60"/>
      <c r="J663" s="60"/>
      <c r="K663" s="61"/>
      <c r="BX663" s="95" t="s">
        <v>1095</v>
      </c>
    </row>
    <row r="664">
      <c r="A664" s="87" t="s">
        <v>1096</v>
      </c>
      <c r="B664" s="88" t="s">
        <v>1097</v>
      </c>
      <c r="C664" s="89" t="s">
        <v>1098</v>
      </c>
      <c r="D664" s="88"/>
      <c r="E664" s="88" t="s">
        <v>180</v>
      </c>
      <c r="F664" s="90" t="n">
        <v>7</v>
      </c>
      <c r="G664" s="90" t="n">
        <v>0</v>
      </c>
      <c r="H664" s="90">
        <f>F664*AO664</f>
      </c>
      <c r="I664" s="90">
        <f>F664*AP664</f>
      </c>
      <c r="J664" s="90">
        <f>F664*G664</f>
      </c>
      <c r="K664" s="91" t="s">
        <v>71</v>
      </c>
      <c r="Z664" s="56">
        <f>IF(AQ664="5",BJ664,0)</f>
      </c>
      <c r="AB664" s="56">
        <f>IF(AQ664="1",BH664,0)</f>
      </c>
      <c r="AC664" s="56">
        <f>IF(AQ664="1",BI664,0)</f>
      </c>
      <c r="AD664" s="56">
        <f>IF(AQ664="7",BH664,0)</f>
      </c>
      <c r="AE664" s="56">
        <f>IF(AQ664="7",BI664,0)</f>
      </c>
      <c r="AF664" s="56">
        <f>IF(AQ664="2",BH664,0)</f>
      </c>
      <c r="AG664" s="56">
        <f>IF(AQ664="2",BI664,0)</f>
      </c>
      <c r="AH664" s="56">
        <f>IF(AQ664="0",BJ664,0)</f>
      </c>
      <c r="AI664" s="28" t="s">
        <v>57</v>
      </c>
      <c r="AJ664" s="92">
        <f>IF(AN664=0,J664,0)</f>
      </c>
      <c r="AK664" s="92">
        <f>IF(AN664=12,J664,0)</f>
      </c>
      <c r="AL664" s="92">
        <f>IF(AN664=21,J664,0)</f>
      </c>
      <c r="AN664" s="56" t="n">
        <v>21</v>
      </c>
      <c r="AO664" s="56">
        <f>G664*1</f>
      </c>
      <c r="AP664" s="56">
        <f>G664*(1-1)</f>
      </c>
      <c r="AQ664" s="93" t="s">
        <v>85</v>
      </c>
      <c r="AV664" s="56">
        <f>AW664+AX664</f>
      </c>
      <c r="AW664" s="56">
        <f>F664*AO664</f>
      </c>
      <c r="AX664" s="56">
        <f>F664*AP664</f>
      </c>
      <c r="AY664" s="57" t="s">
        <v>981</v>
      </c>
      <c r="AZ664" s="57" t="s">
        <v>536</v>
      </c>
      <c r="BA664" s="28" t="s">
        <v>64</v>
      </c>
      <c r="BC664" s="56">
        <f>AW664+AX664</f>
      </c>
      <c r="BD664" s="56">
        <f>G664/(100-BE664)*100</f>
      </c>
      <c r="BE664" s="56" t="n">
        <v>0</v>
      </c>
      <c r="BF664" s="56">
        <f>664</f>
      </c>
      <c r="BH664" s="92">
        <f>F664*AO664</f>
      </c>
      <c r="BI664" s="92">
        <f>F664*AP664</f>
      </c>
      <c r="BJ664" s="92">
        <f>F664*G664</f>
      </c>
      <c r="BK664" s="92"/>
      <c r="BL664" s="56" t="n">
        <v>766</v>
      </c>
      <c r="BW664" s="56" t="n">
        <v>21</v>
      </c>
      <c r="BX664" s="94" t="s">
        <v>1098</v>
      </c>
    </row>
    <row r="665">
      <c r="A665" s="74"/>
      <c r="B665" s="75"/>
      <c r="C665" s="76" t="s">
        <v>85</v>
      </c>
      <c r="D665" s="77" t="s">
        <v>732</v>
      </c>
      <c r="E665" s="75"/>
      <c r="F665" s="78" t="n">
        <v>7</v>
      </c>
      <c r="G665" s="75"/>
      <c r="H665" s="75"/>
      <c r="I665" s="75"/>
      <c r="J665" s="75"/>
      <c r="K665" s="79"/>
    </row>
    <row r="666" ht="24.75">
      <c r="A666" s="58"/>
      <c r="B666" s="80" t="s">
        <v>108</v>
      </c>
      <c r="C666" s="59" t="s">
        <v>1032</v>
      </c>
      <c r="D666" s="60"/>
      <c r="E666" s="60"/>
      <c r="F666" s="60"/>
      <c r="G666" s="60"/>
      <c r="H666" s="60"/>
      <c r="I666" s="60"/>
      <c r="J666" s="60"/>
      <c r="K666" s="61"/>
      <c r="BX666" s="95" t="s">
        <v>1032</v>
      </c>
    </row>
    <row r="667">
      <c r="A667" s="87" t="s">
        <v>1099</v>
      </c>
      <c r="B667" s="88" t="s">
        <v>1100</v>
      </c>
      <c r="C667" s="89" t="s">
        <v>1101</v>
      </c>
      <c r="D667" s="88"/>
      <c r="E667" s="88" t="s">
        <v>180</v>
      </c>
      <c r="F667" s="90" t="n">
        <v>1</v>
      </c>
      <c r="G667" s="90" t="n">
        <v>0</v>
      </c>
      <c r="H667" s="90">
        <f>F667*AO667</f>
      </c>
      <c r="I667" s="90">
        <f>F667*AP667</f>
      </c>
      <c r="J667" s="90">
        <f>F667*G667</f>
      </c>
      <c r="K667" s="91" t="s">
        <v>71</v>
      </c>
      <c r="Z667" s="56">
        <f>IF(AQ667="5",BJ667,0)</f>
      </c>
      <c r="AB667" s="56">
        <f>IF(AQ667="1",BH667,0)</f>
      </c>
      <c r="AC667" s="56">
        <f>IF(AQ667="1",BI667,0)</f>
      </c>
      <c r="AD667" s="56">
        <f>IF(AQ667="7",BH667,0)</f>
      </c>
      <c r="AE667" s="56">
        <f>IF(AQ667="7",BI667,0)</f>
      </c>
      <c r="AF667" s="56">
        <f>IF(AQ667="2",BH667,0)</f>
      </c>
      <c r="AG667" s="56">
        <f>IF(AQ667="2",BI667,0)</f>
      </c>
      <c r="AH667" s="56">
        <f>IF(AQ667="0",BJ667,0)</f>
      </c>
      <c r="AI667" s="28" t="s">
        <v>57</v>
      </c>
      <c r="AJ667" s="92">
        <f>IF(AN667=0,J667,0)</f>
      </c>
      <c r="AK667" s="92">
        <f>IF(AN667=12,J667,0)</f>
      </c>
      <c r="AL667" s="92">
        <f>IF(AN667=21,J667,0)</f>
      </c>
      <c r="AN667" s="56" t="n">
        <v>21</v>
      </c>
      <c r="AO667" s="56">
        <f>G667*1</f>
      </c>
      <c r="AP667" s="56">
        <f>G667*(1-1)</f>
      </c>
      <c r="AQ667" s="93" t="s">
        <v>85</v>
      </c>
      <c r="AV667" s="56">
        <f>AW667+AX667</f>
      </c>
      <c r="AW667" s="56">
        <f>F667*AO667</f>
      </c>
      <c r="AX667" s="56">
        <f>F667*AP667</f>
      </c>
      <c r="AY667" s="57" t="s">
        <v>981</v>
      </c>
      <c r="AZ667" s="57" t="s">
        <v>536</v>
      </c>
      <c r="BA667" s="28" t="s">
        <v>64</v>
      </c>
      <c r="BC667" s="56">
        <f>AW667+AX667</f>
      </c>
      <c r="BD667" s="56">
        <f>G667/(100-BE667)*100</f>
      </c>
      <c r="BE667" s="56" t="n">
        <v>0</v>
      </c>
      <c r="BF667" s="56">
        <f>667</f>
      </c>
      <c r="BH667" s="92">
        <f>F667*AO667</f>
      </c>
      <c r="BI667" s="92">
        <f>F667*AP667</f>
      </c>
      <c r="BJ667" s="92">
        <f>F667*G667</f>
      </c>
      <c r="BK667" s="92"/>
      <c r="BL667" s="56" t="n">
        <v>766</v>
      </c>
      <c r="BW667" s="56" t="n">
        <v>21</v>
      </c>
      <c r="BX667" s="94" t="s">
        <v>1101</v>
      </c>
    </row>
    <row r="668">
      <c r="A668" s="74"/>
      <c r="B668" s="75"/>
      <c r="C668" s="76" t="s">
        <v>58</v>
      </c>
      <c r="D668" s="77" t="s">
        <v>734</v>
      </c>
      <c r="E668" s="75"/>
      <c r="F668" s="78" t="n">
        <v>1</v>
      </c>
      <c r="G668" s="75"/>
      <c r="H668" s="75"/>
      <c r="I668" s="75"/>
      <c r="J668" s="75"/>
      <c r="K668" s="79"/>
    </row>
    <row r="669" ht="36.75">
      <c r="A669" s="58"/>
      <c r="B669" s="80" t="s">
        <v>108</v>
      </c>
      <c r="C669" s="59" t="s">
        <v>1095</v>
      </c>
      <c r="D669" s="60"/>
      <c r="E669" s="60"/>
      <c r="F669" s="60"/>
      <c r="G669" s="60"/>
      <c r="H669" s="60"/>
      <c r="I669" s="60"/>
      <c r="J669" s="60"/>
      <c r="K669" s="61"/>
      <c r="BX669" s="95" t="s">
        <v>1095</v>
      </c>
    </row>
    <row r="670">
      <c r="A670" s="87" t="s">
        <v>1102</v>
      </c>
      <c r="B670" s="88" t="s">
        <v>1103</v>
      </c>
      <c r="C670" s="89" t="s">
        <v>1104</v>
      </c>
      <c r="D670" s="88"/>
      <c r="E670" s="88" t="s">
        <v>180</v>
      </c>
      <c r="F670" s="90" t="n">
        <v>1</v>
      </c>
      <c r="G670" s="90" t="n">
        <v>0</v>
      </c>
      <c r="H670" s="90">
        <f>F670*AO670</f>
      </c>
      <c r="I670" s="90">
        <f>F670*AP670</f>
      </c>
      <c r="J670" s="90">
        <f>F670*G670</f>
      </c>
      <c r="K670" s="91" t="s">
        <v>71</v>
      </c>
      <c r="Z670" s="56">
        <f>IF(AQ670="5",BJ670,0)</f>
      </c>
      <c r="AB670" s="56">
        <f>IF(AQ670="1",BH670,0)</f>
      </c>
      <c r="AC670" s="56">
        <f>IF(AQ670="1",BI670,0)</f>
      </c>
      <c r="AD670" s="56">
        <f>IF(AQ670="7",BH670,0)</f>
      </c>
      <c r="AE670" s="56">
        <f>IF(AQ670="7",BI670,0)</f>
      </c>
      <c r="AF670" s="56">
        <f>IF(AQ670="2",BH670,0)</f>
      </c>
      <c r="AG670" s="56">
        <f>IF(AQ670="2",BI670,0)</f>
      </c>
      <c r="AH670" s="56">
        <f>IF(AQ670="0",BJ670,0)</f>
      </c>
      <c r="AI670" s="28" t="s">
        <v>57</v>
      </c>
      <c r="AJ670" s="92">
        <f>IF(AN670=0,J670,0)</f>
      </c>
      <c r="AK670" s="92">
        <f>IF(AN670=12,J670,0)</f>
      </c>
      <c r="AL670" s="92">
        <f>IF(AN670=21,J670,0)</f>
      </c>
      <c r="AN670" s="56" t="n">
        <v>21</v>
      </c>
      <c r="AO670" s="56">
        <f>G670*1</f>
      </c>
      <c r="AP670" s="56">
        <f>G670*(1-1)</f>
      </c>
      <c r="AQ670" s="93" t="s">
        <v>85</v>
      </c>
      <c r="AV670" s="56">
        <f>AW670+AX670</f>
      </c>
      <c r="AW670" s="56">
        <f>F670*AO670</f>
      </c>
      <c r="AX670" s="56">
        <f>F670*AP670</f>
      </c>
      <c r="AY670" s="57" t="s">
        <v>981</v>
      </c>
      <c r="AZ670" s="57" t="s">
        <v>536</v>
      </c>
      <c r="BA670" s="28" t="s">
        <v>64</v>
      </c>
      <c r="BC670" s="56">
        <f>AW670+AX670</f>
      </c>
      <c r="BD670" s="56">
        <f>G670/(100-BE670)*100</f>
      </c>
      <c r="BE670" s="56" t="n">
        <v>0</v>
      </c>
      <c r="BF670" s="56">
        <f>670</f>
      </c>
      <c r="BH670" s="92">
        <f>F670*AO670</f>
      </c>
      <c r="BI670" s="92">
        <f>F670*AP670</f>
      </c>
      <c r="BJ670" s="92">
        <f>F670*G670</f>
      </c>
      <c r="BK670" s="92"/>
      <c r="BL670" s="56" t="n">
        <v>766</v>
      </c>
      <c r="BW670" s="56" t="n">
        <v>21</v>
      </c>
      <c r="BX670" s="94" t="s">
        <v>1104</v>
      </c>
    </row>
    <row r="671">
      <c r="A671" s="74"/>
      <c r="B671" s="75"/>
      <c r="C671" s="76" t="s">
        <v>58</v>
      </c>
      <c r="D671" s="77" t="s">
        <v>734</v>
      </c>
      <c r="E671" s="75"/>
      <c r="F671" s="78" t="n">
        <v>1</v>
      </c>
      <c r="G671" s="75"/>
      <c r="H671" s="75"/>
      <c r="I671" s="75"/>
      <c r="J671" s="75"/>
      <c r="K671" s="79"/>
    </row>
    <row r="672" ht="24.75">
      <c r="A672" s="58"/>
      <c r="B672" s="80" t="s">
        <v>108</v>
      </c>
      <c r="C672" s="59" t="s">
        <v>1032</v>
      </c>
      <c r="D672" s="60"/>
      <c r="E672" s="60"/>
      <c r="F672" s="60"/>
      <c r="G672" s="60"/>
      <c r="H672" s="60"/>
      <c r="I672" s="60"/>
      <c r="J672" s="60"/>
      <c r="K672" s="61"/>
      <c r="BX672" s="95" t="s">
        <v>1032</v>
      </c>
    </row>
    <row r="673">
      <c r="A673" s="82" t="s">
        <v>1105</v>
      </c>
      <c r="B673" s="83" t="s">
        <v>1106</v>
      </c>
      <c r="C673" s="84" t="s">
        <v>1107</v>
      </c>
      <c r="D673" s="83"/>
      <c r="E673" s="83" t="s">
        <v>1108</v>
      </c>
      <c r="F673" s="85" t="n">
        <v>14092.63</v>
      </c>
      <c r="G673" s="85" t="n">
        <v>0</v>
      </c>
      <c r="H673" s="85">
        <f>F673*AO673</f>
      </c>
      <c r="I673" s="85">
        <f>F673*AP673</f>
      </c>
      <c r="J673" s="85">
        <f>F673*G673</f>
      </c>
      <c r="K673" s="86" t="s">
        <v>100</v>
      </c>
      <c r="Z673" s="56">
        <f>IF(AQ673="5",BJ673,0)</f>
      </c>
      <c r="AB673" s="56">
        <f>IF(AQ673="1",BH673,0)</f>
      </c>
      <c r="AC673" s="56">
        <f>IF(AQ673="1",BI673,0)</f>
      </c>
      <c r="AD673" s="56">
        <f>IF(AQ673="7",BH673,0)</f>
      </c>
      <c r="AE673" s="56">
        <f>IF(AQ673="7",BI673,0)</f>
      </c>
      <c r="AF673" s="56">
        <f>IF(AQ673="2",BH673,0)</f>
      </c>
      <c r="AG673" s="56">
        <f>IF(AQ673="2",BI673,0)</f>
      </c>
      <c r="AH673" s="56">
        <f>IF(AQ673="0",BJ673,0)</f>
      </c>
      <c r="AI673" s="28" t="s">
        <v>57</v>
      </c>
      <c r="AJ673" s="56">
        <f>IF(AN673=0,J673,0)</f>
      </c>
      <c r="AK673" s="56">
        <f>IF(AN673=12,J673,0)</f>
      </c>
      <c r="AL673" s="56">
        <f>IF(AN673=21,J673,0)</f>
      </c>
      <c r="AN673" s="56" t="n">
        <v>21</v>
      </c>
      <c r="AO673" s="56">
        <f>G673*0</f>
      </c>
      <c r="AP673" s="56">
        <f>G673*(1-0)</f>
      </c>
      <c r="AQ673" s="57" t="s">
        <v>79</v>
      </c>
      <c r="AV673" s="56">
        <f>AW673+AX673</f>
      </c>
      <c r="AW673" s="56">
        <f>F673*AO673</f>
      </c>
      <c r="AX673" s="56">
        <f>F673*AP673</f>
      </c>
      <c r="AY673" s="57" t="s">
        <v>981</v>
      </c>
      <c r="AZ673" s="57" t="s">
        <v>536</v>
      </c>
      <c r="BA673" s="28" t="s">
        <v>64</v>
      </c>
      <c r="BC673" s="56">
        <f>AW673+AX673</f>
      </c>
      <c r="BD673" s="56">
        <f>G673/(100-BE673)*100</f>
      </c>
      <c r="BE673" s="56" t="n">
        <v>0</v>
      </c>
      <c r="BF673" s="56">
        <f>673</f>
      </c>
      <c r="BH673" s="56">
        <f>F673*AO673</f>
      </c>
      <c r="BI673" s="56">
        <f>F673*AP673</f>
      </c>
      <c r="BJ673" s="56">
        <f>F673*G673</f>
      </c>
      <c r="BK673" s="56"/>
      <c r="BL673" s="56" t="n">
        <v>766</v>
      </c>
      <c r="BW673" s="56" t="n">
        <v>21</v>
      </c>
      <c r="BX673" s="14" t="s">
        <v>1107</v>
      </c>
    </row>
    <row r="674">
      <c r="A674" s="45" t="s">
        <v>53</v>
      </c>
      <c r="B674" s="46" t="s">
        <v>1109</v>
      </c>
      <c r="C674" s="47" t="s">
        <v>1110</v>
      </c>
      <c r="D674" s="46"/>
      <c r="E674" s="48" t="s">
        <v>34</v>
      </c>
      <c r="F674" s="48" t="s">
        <v>34</v>
      </c>
      <c r="G674" s="48" t="s">
        <v>34</v>
      </c>
      <c r="H674" s="49">
        <f>SUM(H675:H702)</f>
      </c>
      <c r="I674" s="49">
        <f>SUM(I675:I702)</f>
      </c>
      <c r="J674" s="49">
        <f>SUM(J675:J702)</f>
      </c>
      <c r="K674" s="50" t="s">
        <v>53</v>
      </c>
      <c r="AI674" s="28" t="s">
        <v>57</v>
      </c>
      <c r="AS674" s="2">
        <f>SUM(AJ675:AJ702)</f>
      </c>
      <c r="AT674" s="2">
        <f>SUM(AK675:AK702)</f>
      </c>
      <c r="AU674" s="2">
        <f>SUM(AL675:AL702)</f>
      </c>
    </row>
    <row r="675">
      <c r="A675" s="51" t="s">
        <v>1111</v>
      </c>
      <c r="B675" s="52" t="s">
        <v>1112</v>
      </c>
      <c r="C675" s="53" t="s">
        <v>1113</v>
      </c>
      <c r="D675" s="52"/>
      <c r="E675" s="52" t="s">
        <v>130</v>
      </c>
      <c r="F675" s="54" t="n">
        <v>18.7419</v>
      </c>
      <c r="G675" s="54" t="n">
        <v>0</v>
      </c>
      <c r="H675" s="54">
        <f>F675*AO675</f>
      </c>
      <c r="I675" s="54">
        <f>F675*AP675</f>
      </c>
      <c r="J675" s="54">
        <f>F675*G675</f>
      </c>
      <c r="K675" s="55" t="s">
        <v>100</v>
      </c>
      <c r="Z675" s="56">
        <f>IF(AQ675="5",BJ675,0)</f>
      </c>
      <c r="AB675" s="56">
        <f>IF(AQ675="1",BH675,0)</f>
      </c>
      <c r="AC675" s="56">
        <f>IF(AQ675="1",BI675,0)</f>
      </c>
      <c r="AD675" s="56">
        <f>IF(AQ675="7",BH675,0)</f>
      </c>
      <c r="AE675" s="56">
        <f>IF(AQ675="7",BI675,0)</f>
      </c>
      <c r="AF675" s="56">
        <f>IF(AQ675="2",BH675,0)</f>
      </c>
      <c r="AG675" s="56">
        <f>IF(AQ675="2",BI675,0)</f>
      </c>
      <c r="AH675" s="56">
        <f>IF(AQ675="0",BJ675,0)</f>
      </c>
      <c r="AI675" s="28" t="s">
        <v>57</v>
      </c>
      <c r="AJ675" s="56">
        <f>IF(AN675=0,J675,0)</f>
      </c>
      <c r="AK675" s="56">
        <f>IF(AN675=12,J675,0)</f>
      </c>
      <c r="AL675" s="56">
        <f>IF(AN675=21,J675,0)</f>
      </c>
      <c r="AN675" s="56" t="n">
        <v>21</v>
      </c>
      <c r="AO675" s="56">
        <f>G675*0</f>
      </c>
      <c r="AP675" s="56">
        <f>G675*(1-0)</f>
      </c>
      <c r="AQ675" s="57" t="s">
        <v>85</v>
      </c>
      <c r="AV675" s="56">
        <f>AW675+AX675</f>
      </c>
      <c r="AW675" s="56">
        <f>F675*AO675</f>
      </c>
      <c r="AX675" s="56">
        <f>F675*AP675</f>
      </c>
      <c r="AY675" s="57" t="s">
        <v>1114</v>
      </c>
      <c r="AZ675" s="57" t="s">
        <v>536</v>
      </c>
      <c r="BA675" s="28" t="s">
        <v>64</v>
      </c>
      <c r="BC675" s="56">
        <f>AW675+AX675</f>
      </c>
      <c r="BD675" s="56">
        <f>G675/(100-BE675)*100</f>
      </c>
      <c r="BE675" s="56" t="n">
        <v>0</v>
      </c>
      <c r="BF675" s="56">
        <f>675</f>
      </c>
      <c r="BH675" s="56">
        <f>F675*AO675</f>
      </c>
      <c r="BI675" s="56">
        <f>F675*AP675</f>
      </c>
      <c r="BJ675" s="56">
        <f>F675*G675</f>
      </c>
      <c r="BK675" s="56"/>
      <c r="BL675" s="56" t="n">
        <v>767</v>
      </c>
      <c r="BW675" s="56" t="n">
        <v>21</v>
      </c>
      <c r="BX675" s="14" t="s">
        <v>1113</v>
      </c>
    </row>
    <row r="676">
      <c r="A676" s="74"/>
      <c r="B676" s="75"/>
      <c r="C676" s="76" t="s">
        <v>1115</v>
      </c>
      <c r="D676" s="77" t="s">
        <v>1116</v>
      </c>
      <c r="E676" s="75"/>
      <c r="F676" s="78" t="n">
        <v>4.125</v>
      </c>
      <c r="G676" s="75"/>
      <c r="H676" s="75"/>
      <c r="I676" s="75"/>
      <c r="J676" s="75"/>
      <c r="K676" s="79"/>
    </row>
    <row r="677">
      <c r="A677" s="74"/>
      <c r="B677" s="75"/>
      <c r="C677" s="76" t="s">
        <v>167</v>
      </c>
      <c r="D677" s="77" t="s">
        <v>168</v>
      </c>
      <c r="E677" s="75"/>
      <c r="F677" s="78" t="n">
        <v>14.6169</v>
      </c>
      <c r="G677" s="75"/>
      <c r="H677" s="75"/>
      <c r="I677" s="75"/>
      <c r="J677" s="75"/>
      <c r="K677" s="79"/>
    </row>
    <row r="678">
      <c r="A678" s="51" t="s">
        <v>1117</v>
      </c>
      <c r="B678" s="52" t="s">
        <v>1118</v>
      </c>
      <c r="C678" s="53" t="s">
        <v>1119</v>
      </c>
      <c r="D678" s="52"/>
      <c r="E678" s="52" t="s">
        <v>303</v>
      </c>
      <c r="F678" s="54" t="n">
        <v>529</v>
      </c>
      <c r="G678" s="54" t="n">
        <v>0</v>
      </c>
      <c r="H678" s="54">
        <f>F678*AO678</f>
      </c>
      <c r="I678" s="54">
        <f>F678*AP678</f>
      </c>
      <c r="J678" s="54">
        <f>F678*G678</f>
      </c>
      <c r="K678" s="55" t="s">
        <v>100</v>
      </c>
      <c r="Z678" s="56">
        <f>IF(AQ678="5",BJ678,0)</f>
      </c>
      <c r="AB678" s="56">
        <f>IF(AQ678="1",BH678,0)</f>
      </c>
      <c r="AC678" s="56">
        <f>IF(AQ678="1",BI678,0)</f>
      </c>
      <c r="AD678" s="56">
        <f>IF(AQ678="7",BH678,0)</f>
      </c>
      <c r="AE678" s="56">
        <f>IF(AQ678="7",BI678,0)</f>
      </c>
      <c r="AF678" s="56">
        <f>IF(AQ678="2",BH678,0)</f>
      </c>
      <c r="AG678" s="56">
        <f>IF(AQ678="2",BI678,0)</f>
      </c>
      <c r="AH678" s="56">
        <f>IF(AQ678="0",BJ678,0)</f>
      </c>
      <c r="AI678" s="28" t="s">
        <v>57</v>
      </c>
      <c r="AJ678" s="56">
        <f>IF(AN678=0,J678,0)</f>
      </c>
      <c r="AK678" s="56">
        <f>IF(AN678=12,J678,0)</f>
      </c>
      <c r="AL678" s="56">
        <f>IF(AN678=21,J678,0)</f>
      </c>
      <c r="AN678" s="56" t="n">
        <v>21</v>
      </c>
      <c r="AO678" s="56">
        <f>G678*0.527281106</f>
      </c>
      <c r="AP678" s="56">
        <f>G678*(1-0.527281106)</f>
      </c>
      <c r="AQ678" s="57" t="s">
        <v>85</v>
      </c>
      <c r="AV678" s="56">
        <f>AW678+AX678</f>
      </c>
      <c r="AW678" s="56">
        <f>F678*AO678</f>
      </c>
      <c r="AX678" s="56">
        <f>F678*AP678</f>
      </c>
      <c r="AY678" s="57" t="s">
        <v>1114</v>
      </c>
      <c r="AZ678" s="57" t="s">
        <v>536</v>
      </c>
      <c r="BA678" s="28" t="s">
        <v>64</v>
      </c>
      <c r="BC678" s="56">
        <f>AW678+AX678</f>
      </c>
      <c r="BD678" s="56">
        <f>G678/(100-BE678)*100</f>
      </c>
      <c r="BE678" s="56" t="n">
        <v>0</v>
      </c>
      <c r="BF678" s="56">
        <f>678</f>
      </c>
      <c r="BH678" s="56">
        <f>F678*AO678</f>
      </c>
      <c r="BI678" s="56">
        <f>F678*AP678</f>
      </c>
      <c r="BJ678" s="56">
        <f>F678*G678</f>
      </c>
      <c r="BK678" s="56"/>
      <c r="BL678" s="56" t="n">
        <v>767</v>
      </c>
      <c r="BW678" s="56" t="n">
        <v>21</v>
      </c>
      <c r="BX678" s="14" t="s">
        <v>1119</v>
      </c>
    </row>
    <row r="679" customHeight="true" ht="13.5">
      <c r="A679" s="58"/>
      <c r="C679" s="59" t="s">
        <v>1120</v>
      </c>
      <c r="D679" s="60"/>
      <c r="E679" s="60"/>
      <c r="F679" s="60"/>
      <c r="G679" s="60"/>
      <c r="H679" s="60"/>
      <c r="I679" s="60"/>
      <c r="J679" s="60"/>
      <c r="K679" s="61"/>
    </row>
    <row r="680">
      <c r="A680" s="68"/>
      <c r="B680" s="69"/>
      <c r="C680" s="70" t="s">
        <v>1121</v>
      </c>
      <c r="D680" s="71" t="s">
        <v>1122</v>
      </c>
      <c r="E680" s="69"/>
      <c r="F680" s="72" t="n">
        <v>316.8</v>
      </c>
      <c r="G680" s="69"/>
      <c r="H680" s="69"/>
      <c r="I680" s="69"/>
      <c r="J680" s="69"/>
      <c r="K680" s="73"/>
    </row>
    <row r="681">
      <c r="A681" s="74"/>
      <c r="B681" s="75"/>
      <c r="C681" s="76" t="s">
        <v>1123</v>
      </c>
      <c r="D681" s="77" t="s">
        <v>1124</v>
      </c>
      <c r="E681" s="75"/>
      <c r="F681" s="78" t="n">
        <v>57.6</v>
      </c>
      <c r="G681" s="75"/>
      <c r="H681" s="75"/>
      <c r="I681" s="75"/>
      <c r="J681" s="75"/>
      <c r="K681" s="79"/>
    </row>
    <row r="682">
      <c r="A682" s="74"/>
      <c r="B682" s="75"/>
      <c r="C682" s="76" t="s">
        <v>1125</v>
      </c>
      <c r="D682" s="77" t="s">
        <v>1126</v>
      </c>
      <c r="E682" s="75"/>
      <c r="F682" s="78" t="n">
        <v>85.6</v>
      </c>
      <c r="G682" s="75"/>
      <c r="H682" s="75"/>
      <c r="I682" s="75"/>
      <c r="J682" s="75"/>
      <c r="K682" s="79"/>
    </row>
    <row r="683">
      <c r="A683" s="74"/>
      <c r="B683" s="75"/>
      <c r="C683" s="76" t="s">
        <v>1127</v>
      </c>
      <c r="D683" s="77" t="s">
        <v>1128</v>
      </c>
      <c r="E683" s="75"/>
      <c r="F683" s="78" t="n">
        <v>69</v>
      </c>
      <c r="G683" s="75"/>
      <c r="H683" s="75"/>
      <c r="I683" s="75"/>
      <c r="J683" s="75"/>
      <c r="K683" s="79"/>
    </row>
    <row r="684">
      <c r="A684" s="51" t="s">
        <v>1129</v>
      </c>
      <c r="B684" s="52" t="s">
        <v>1130</v>
      </c>
      <c r="C684" s="53" t="s">
        <v>1119</v>
      </c>
      <c r="D684" s="52"/>
      <c r="E684" s="52" t="s">
        <v>303</v>
      </c>
      <c r="F684" s="54" t="n">
        <v>37.0944</v>
      </c>
      <c r="G684" s="54" t="n">
        <v>0</v>
      </c>
      <c r="H684" s="54">
        <f>F684*AO684</f>
      </c>
      <c r="I684" s="54">
        <f>F684*AP684</f>
      </c>
      <c r="J684" s="54">
        <f>F684*G684</f>
      </c>
      <c r="K684" s="55" t="s">
        <v>100</v>
      </c>
      <c r="Z684" s="56">
        <f>IF(AQ684="5",BJ684,0)</f>
      </c>
      <c r="AB684" s="56">
        <f>IF(AQ684="1",BH684,0)</f>
      </c>
      <c r="AC684" s="56">
        <f>IF(AQ684="1",BI684,0)</f>
      </c>
      <c r="AD684" s="56">
        <f>IF(AQ684="7",BH684,0)</f>
      </c>
      <c r="AE684" s="56">
        <f>IF(AQ684="7",BI684,0)</f>
      </c>
      <c r="AF684" s="56">
        <f>IF(AQ684="2",BH684,0)</f>
      </c>
      <c r="AG684" s="56">
        <f>IF(AQ684="2",BI684,0)</f>
      </c>
      <c r="AH684" s="56">
        <f>IF(AQ684="0",BJ684,0)</f>
      </c>
      <c r="AI684" s="28" t="s">
        <v>57</v>
      </c>
      <c r="AJ684" s="56">
        <f>IF(AN684=0,J684,0)</f>
      </c>
      <c r="AK684" s="56">
        <f>IF(AN684=12,J684,0)</f>
      </c>
      <c r="AL684" s="56">
        <f>IF(AN684=21,J684,0)</f>
      </c>
      <c r="AN684" s="56" t="n">
        <v>21</v>
      </c>
      <c r="AO684" s="56">
        <f>G684*0.32423879</f>
      </c>
      <c r="AP684" s="56">
        <f>G684*(1-0.32423879)</f>
      </c>
      <c r="AQ684" s="57" t="s">
        <v>85</v>
      </c>
      <c r="AV684" s="56">
        <f>AW684+AX684</f>
      </c>
      <c r="AW684" s="56">
        <f>F684*AO684</f>
      </c>
      <c r="AX684" s="56">
        <f>F684*AP684</f>
      </c>
      <c r="AY684" s="57" t="s">
        <v>1114</v>
      </c>
      <c r="AZ684" s="57" t="s">
        <v>536</v>
      </c>
      <c r="BA684" s="28" t="s">
        <v>64</v>
      </c>
      <c r="BC684" s="56">
        <f>AW684+AX684</f>
      </c>
      <c r="BD684" s="56">
        <f>G684/(100-BE684)*100</f>
      </c>
      <c r="BE684" s="56" t="n">
        <v>0</v>
      </c>
      <c r="BF684" s="56">
        <f>684</f>
      </c>
      <c r="BH684" s="56">
        <f>F684*AO684</f>
      </c>
      <c r="BI684" s="56">
        <f>F684*AP684</f>
      </c>
      <c r="BJ684" s="56">
        <f>F684*G684</f>
      </c>
      <c r="BK684" s="56"/>
      <c r="BL684" s="56" t="n">
        <v>767</v>
      </c>
      <c r="BW684" s="56" t="n">
        <v>21</v>
      </c>
      <c r="BX684" s="14" t="s">
        <v>1119</v>
      </c>
    </row>
    <row r="685" customHeight="true" ht="27">
      <c r="A685" s="58"/>
      <c r="C685" s="59" t="s">
        <v>1131</v>
      </c>
      <c r="D685" s="60"/>
      <c r="E685" s="60"/>
      <c r="F685" s="60"/>
      <c r="G685" s="60"/>
      <c r="H685" s="60"/>
      <c r="I685" s="60"/>
      <c r="J685" s="60"/>
      <c r="K685" s="61"/>
    </row>
    <row r="686">
      <c r="A686" s="68"/>
      <c r="B686" s="69"/>
      <c r="C686" s="70" t="s">
        <v>1132</v>
      </c>
      <c r="D686" s="71" t="s">
        <v>1133</v>
      </c>
      <c r="E686" s="69"/>
      <c r="F686" s="72" t="n">
        <v>32.256</v>
      </c>
      <c r="G686" s="69"/>
      <c r="H686" s="69"/>
      <c r="I686" s="69"/>
      <c r="J686" s="69"/>
      <c r="K686" s="73"/>
    </row>
    <row r="687">
      <c r="A687" s="74"/>
      <c r="B687" s="75"/>
      <c r="C687" s="76" t="s">
        <v>1134</v>
      </c>
      <c r="D687" s="77" t="s">
        <v>1128</v>
      </c>
      <c r="E687" s="75"/>
      <c r="F687" s="78" t="n">
        <v>4.8384</v>
      </c>
      <c r="G687" s="75"/>
      <c r="H687" s="75"/>
      <c r="I687" s="75"/>
      <c r="J687" s="75"/>
      <c r="K687" s="79"/>
    </row>
    <row r="688" customHeight="true" ht="13.5">
      <c r="A688" s="58"/>
      <c r="B688" s="80" t="s">
        <v>267</v>
      </c>
      <c r="C688" s="59" t="s">
        <v>1135</v>
      </c>
      <c r="D688" s="60"/>
      <c r="E688" s="60"/>
      <c r="F688" s="60"/>
      <c r="G688" s="60"/>
      <c r="H688" s="60"/>
      <c r="I688" s="60"/>
      <c r="J688" s="60"/>
      <c r="K688" s="61"/>
    </row>
    <row r="689">
      <c r="A689" s="82" t="s">
        <v>1136</v>
      </c>
      <c r="B689" s="83" t="s">
        <v>1137</v>
      </c>
      <c r="C689" s="84" t="s">
        <v>1119</v>
      </c>
      <c r="D689" s="83"/>
      <c r="E689" s="83" t="s">
        <v>303</v>
      </c>
      <c r="F689" s="85" t="n">
        <v>1718.9832</v>
      </c>
      <c r="G689" s="85" t="n">
        <v>0</v>
      </c>
      <c r="H689" s="85">
        <f>F689*AO689</f>
      </c>
      <c r="I689" s="85">
        <f>F689*AP689</f>
      </c>
      <c r="J689" s="85">
        <f>F689*G689</f>
      </c>
      <c r="K689" s="86" t="s">
        <v>100</v>
      </c>
      <c r="Z689" s="56">
        <f>IF(AQ689="5",BJ689,0)</f>
      </c>
      <c r="AB689" s="56">
        <f>IF(AQ689="1",BH689,0)</f>
      </c>
      <c r="AC689" s="56">
        <f>IF(AQ689="1",BI689,0)</f>
      </c>
      <c r="AD689" s="56">
        <f>IF(AQ689="7",BH689,0)</f>
      </c>
      <c r="AE689" s="56">
        <f>IF(AQ689="7",BI689,0)</f>
      </c>
      <c r="AF689" s="56">
        <f>IF(AQ689="2",BH689,0)</f>
      </c>
      <c r="AG689" s="56">
        <f>IF(AQ689="2",BI689,0)</f>
      </c>
      <c r="AH689" s="56">
        <f>IF(AQ689="0",BJ689,0)</f>
      </c>
      <c r="AI689" s="28" t="s">
        <v>57</v>
      </c>
      <c r="AJ689" s="56">
        <f>IF(AN689=0,J689,0)</f>
      </c>
      <c r="AK689" s="56">
        <f>IF(AN689=12,J689,0)</f>
      </c>
      <c r="AL689" s="56">
        <f>IF(AN689=21,J689,0)</f>
      </c>
      <c r="AN689" s="56" t="n">
        <v>21</v>
      </c>
      <c r="AO689" s="56">
        <f>G689*0.67222827</f>
      </c>
      <c r="AP689" s="56">
        <f>G689*(1-0.67222827)</f>
      </c>
      <c r="AQ689" s="57" t="s">
        <v>85</v>
      </c>
      <c r="AV689" s="56">
        <f>AW689+AX689</f>
      </c>
      <c r="AW689" s="56">
        <f>F689*AO689</f>
      </c>
      <c r="AX689" s="56">
        <f>F689*AP689</f>
      </c>
      <c r="AY689" s="57" t="s">
        <v>1114</v>
      </c>
      <c r="AZ689" s="57" t="s">
        <v>536</v>
      </c>
      <c r="BA689" s="28" t="s">
        <v>64</v>
      </c>
      <c r="BC689" s="56">
        <f>AW689+AX689</f>
      </c>
      <c r="BD689" s="56">
        <f>G689/(100-BE689)*100</f>
      </c>
      <c r="BE689" s="56" t="n">
        <v>0</v>
      </c>
      <c r="BF689" s="56">
        <f>689</f>
      </c>
      <c r="BH689" s="56">
        <f>F689*AO689</f>
      </c>
      <c r="BI689" s="56">
        <f>F689*AP689</f>
      </c>
      <c r="BJ689" s="56">
        <f>F689*G689</f>
      </c>
      <c r="BK689" s="56"/>
      <c r="BL689" s="56" t="n">
        <v>767</v>
      </c>
      <c r="BW689" s="56" t="n">
        <v>21</v>
      </c>
      <c r="BX689" s="14" t="s">
        <v>1119</v>
      </c>
    </row>
    <row r="690" customHeight="true" ht="13.5">
      <c r="A690" s="58"/>
      <c r="C690" s="59" t="s">
        <v>1138</v>
      </c>
      <c r="D690" s="60"/>
      <c r="E690" s="60"/>
      <c r="F690" s="60"/>
      <c r="G690" s="60"/>
      <c r="H690" s="60"/>
      <c r="I690" s="60"/>
      <c r="J690" s="60"/>
      <c r="K690" s="61"/>
    </row>
    <row r="691">
      <c r="A691" s="68"/>
      <c r="B691" s="69"/>
      <c r="C691" s="70" t="s">
        <v>1139</v>
      </c>
      <c r="D691" s="71" t="s">
        <v>1140</v>
      </c>
      <c r="E691" s="69"/>
      <c r="F691" s="72" t="n">
        <v>1494.768</v>
      </c>
      <c r="G691" s="69"/>
      <c r="H691" s="69"/>
      <c r="I691" s="69"/>
      <c r="J691" s="69"/>
      <c r="K691" s="73"/>
    </row>
    <row r="692">
      <c r="A692" s="74"/>
      <c r="B692" s="75"/>
      <c r="C692" s="76" t="s">
        <v>1141</v>
      </c>
      <c r="D692" s="77" t="s">
        <v>1128</v>
      </c>
      <c r="E692" s="75"/>
      <c r="F692" s="78" t="n">
        <v>224.2152</v>
      </c>
      <c r="G692" s="75"/>
      <c r="H692" s="75"/>
      <c r="I692" s="75"/>
      <c r="J692" s="75"/>
      <c r="K692" s="79"/>
    </row>
    <row r="693">
      <c r="A693" s="51" t="s">
        <v>1142</v>
      </c>
      <c r="B693" s="52" t="s">
        <v>1143</v>
      </c>
      <c r="C693" s="53" t="s">
        <v>1119</v>
      </c>
      <c r="D693" s="52"/>
      <c r="E693" s="52" t="s">
        <v>303</v>
      </c>
      <c r="F693" s="54" t="n">
        <v>556.7012</v>
      </c>
      <c r="G693" s="54" t="n">
        <v>0</v>
      </c>
      <c r="H693" s="54">
        <f>F693*AO693</f>
      </c>
      <c r="I693" s="54">
        <f>F693*AP693</f>
      </c>
      <c r="J693" s="54">
        <f>F693*G693</f>
      </c>
      <c r="K693" s="55" t="s">
        <v>100</v>
      </c>
      <c r="Z693" s="56">
        <f>IF(AQ693="5",BJ693,0)</f>
      </c>
      <c r="AB693" s="56">
        <f>IF(AQ693="1",BH693,0)</f>
      </c>
      <c r="AC693" s="56">
        <f>IF(AQ693="1",BI693,0)</f>
      </c>
      <c r="AD693" s="56">
        <f>IF(AQ693="7",BH693,0)</f>
      </c>
      <c r="AE693" s="56">
        <f>IF(AQ693="7",BI693,0)</f>
      </c>
      <c r="AF693" s="56">
        <f>IF(AQ693="2",BH693,0)</f>
      </c>
      <c r="AG693" s="56">
        <f>IF(AQ693="2",BI693,0)</f>
      </c>
      <c r="AH693" s="56">
        <f>IF(AQ693="0",BJ693,0)</f>
      </c>
      <c r="AI693" s="28" t="s">
        <v>57</v>
      </c>
      <c r="AJ693" s="56">
        <f>IF(AN693=0,J693,0)</f>
      </c>
      <c r="AK693" s="56">
        <f>IF(AN693=12,J693,0)</f>
      </c>
      <c r="AL693" s="56">
        <f>IF(AN693=21,J693,0)</f>
      </c>
      <c r="AN693" s="56" t="n">
        <v>21</v>
      </c>
      <c r="AO693" s="56">
        <f>G693*0.639889479</f>
      </c>
      <c r="AP693" s="56">
        <f>G693*(1-0.639889479)</f>
      </c>
      <c r="AQ693" s="57" t="s">
        <v>85</v>
      </c>
      <c r="AV693" s="56">
        <f>AW693+AX693</f>
      </c>
      <c r="AW693" s="56">
        <f>F693*AO693</f>
      </c>
      <c r="AX693" s="56">
        <f>F693*AP693</f>
      </c>
      <c r="AY693" s="57" t="s">
        <v>1114</v>
      </c>
      <c r="AZ693" s="57" t="s">
        <v>536</v>
      </c>
      <c r="BA693" s="28" t="s">
        <v>64</v>
      </c>
      <c r="BC693" s="56">
        <f>AW693+AX693</f>
      </c>
      <c r="BD693" s="56">
        <f>G693/(100-BE693)*100</f>
      </c>
      <c r="BE693" s="56" t="n">
        <v>0</v>
      </c>
      <c r="BF693" s="56">
        <f>693</f>
      </c>
      <c r="BH693" s="56">
        <f>F693*AO693</f>
      </c>
      <c r="BI693" s="56">
        <f>F693*AP693</f>
      </c>
      <c r="BJ693" s="56">
        <f>F693*G693</f>
      </c>
      <c r="BK693" s="56"/>
      <c r="BL693" s="56" t="n">
        <v>767</v>
      </c>
      <c r="BW693" s="56" t="n">
        <v>21</v>
      </c>
      <c r="BX693" s="14" t="s">
        <v>1119</v>
      </c>
    </row>
    <row r="694" customHeight="true" ht="13.5">
      <c r="A694" s="58"/>
      <c r="C694" s="59" t="s">
        <v>1144</v>
      </c>
      <c r="D694" s="60"/>
      <c r="E694" s="60"/>
      <c r="F694" s="60"/>
      <c r="G694" s="60"/>
      <c r="H694" s="60"/>
      <c r="I694" s="60"/>
      <c r="J694" s="60"/>
      <c r="K694" s="61"/>
    </row>
    <row r="695">
      <c r="A695" s="68"/>
      <c r="B695" s="69"/>
      <c r="C695" s="70" t="s">
        <v>1145</v>
      </c>
      <c r="D695" s="71" t="s">
        <v>1146</v>
      </c>
      <c r="E695" s="69"/>
      <c r="F695" s="72" t="n">
        <v>484.088</v>
      </c>
      <c r="G695" s="69"/>
      <c r="H695" s="69"/>
      <c r="I695" s="69"/>
      <c r="J695" s="69"/>
      <c r="K695" s="73"/>
    </row>
    <row r="696">
      <c r="A696" s="74"/>
      <c r="B696" s="75"/>
      <c r="C696" s="76" t="s">
        <v>1147</v>
      </c>
      <c r="D696" s="77" t="s">
        <v>1128</v>
      </c>
      <c r="E696" s="75"/>
      <c r="F696" s="78" t="n">
        <v>72.6132</v>
      </c>
      <c r="G696" s="75"/>
      <c r="H696" s="75"/>
      <c r="I696" s="75"/>
      <c r="J696" s="75"/>
      <c r="K696" s="79"/>
    </row>
    <row r="697">
      <c r="A697" s="51" t="s">
        <v>1148</v>
      </c>
      <c r="B697" s="52" t="s">
        <v>1149</v>
      </c>
      <c r="C697" s="53" t="s">
        <v>1119</v>
      </c>
      <c r="D697" s="52"/>
      <c r="E697" s="52" t="s">
        <v>303</v>
      </c>
      <c r="F697" s="54" t="n">
        <v>379.64536</v>
      </c>
      <c r="G697" s="54" t="n">
        <v>0</v>
      </c>
      <c r="H697" s="54">
        <f>F697*AO697</f>
      </c>
      <c r="I697" s="54">
        <f>F697*AP697</f>
      </c>
      <c r="J697" s="54">
        <f>F697*G697</f>
      </c>
      <c r="K697" s="55" t="s">
        <v>100</v>
      </c>
      <c r="Z697" s="56">
        <f>IF(AQ697="5",BJ697,0)</f>
      </c>
      <c r="AB697" s="56">
        <f>IF(AQ697="1",BH697,0)</f>
      </c>
      <c r="AC697" s="56">
        <f>IF(AQ697="1",BI697,0)</f>
      </c>
      <c r="AD697" s="56">
        <f>IF(AQ697="7",BH697,0)</f>
      </c>
      <c r="AE697" s="56">
        <f>IF(AQ697="7",BI697,0)</f>
      </c>
      <c r="AF697" s="56">
        <f>IF(AQ697="2",BH697,0)</f>
      </c>
      <c r="AG697" s="56">
        <f>IF(AQ697="2",BI697,0)</f>
      </c>
      <c r="AH697" s="56">
        <f>IF(AQ697="0",BJ697,0)</f>
      </c>
      <c r="AI697" s="28" t="s">
        <v>57</v>
      </c>
      <c r="AJ697" s="56">
        <f>IF(AN697=0,J697,0)</f>
      </c>
      <c r="AK697" s="56">
        <f>IF(AN697=12,J697,0)</f>
      </c>
      <c r="AL697" s="56">
        <f>IF(AN697=21,J697,0)</f>
      </c>
      <c r="AN697" s="56" t="n">
        <v>21</v>
      </c>
      <c r="AO697" s="56">
        <f>G697*0.558522226</f>
      </c>
      <c r="AP697" s="56">
        <f>G697*(1-0.558522226)</f>
      </c>
      <c r="AQ697" s="57" t="s">
        <v>85</v>
      </c>
      <c r="AV697" s="56">
        <f>AW697+AX697</f>
      </c>
      <c r="AW697" s="56">
        <f>F697*AO697</f>
      </c>
      <c r="AX697" s="56">
        <f>F697*AP697</f>
      </c>
      <c r="AY697" s="57" t="s">
        <v>1114</v>
      </c>
      <c r="AZ697" s="57" t="s">
        <v>536</v>
      </c>
      <c r="BA697" s="28" t="s">
        <v>64</v>
      </c>
      <c r="BC697" s="56">
        <f>AW697+AX697</f>
      </c>
      <c r="BD697" s="56">
        <f>G697/(100-BE697)*100</f>
      </c>
      <c r="BE697" s="56" t="n">
        <v>0</v>
      </c>
      <c r="BF697" s="56">
        <f>697</f>
      </c>
      <c r="BH697" s="56">
        <f>F697*AO697</f>
      </c>
      <c r="BI697" s="56">
        <f>F697*AP697</f>
      </c>
      <c r="BJ697" s="56">
        <f>F697*G697</f>
      </c>
      <c r="BK697" s="56"/>
      <c r="BL697" s="56" t="n">
        <v>767</v>
      </c>
      <c r="BW697" s="56" t="n">
        <v>21</v>
      </c>
      <c r="BX697" s="14" t="s">
        <v>1119</v>
      </c>
    </row>
    <row r="698" customHeight="true" ht="13.5">
      <c r="A698" s="58"/>
      <c r="C698" s="59" t="s">
        <v>1150</v>
      </c>
      <c r="D698" s="60"/>
      <c r="E698" s="60"/>
      <c r="F698" s="60"/>
      <c r="G698" s="60"/>
      <c r="H698" s="60"/>
      <c r="I698" s="60"/>
      <c r="J698" s="60"/>
      <c r="K698" s="61"/>
    </row>
    <row r="699">
      <c r="A699" s="68"/>
      <c r="B699" s="69"/>
      <c r="C699" s="70" t="s">
        <v>1151</v>
      </c>
      <c r="D699" s="71" t="s">
        <v>1152</v>
      </c>
      <c r="E699" s="69"/>
      <c r="F699" s="72" t="n">
        <v>184.864</v>
      </c>
      <c r="G699" s="69"/>
      <c r="H699" s="69"/>
      <c r="I699" s="69"/>
      <c r="J699" s="69"/>
      <c r="K699" s="73"/>
    </row>
    <row r="700">
      <c r="A700" s="74"/>
      <c r="B700" s="75"/>
      <c r="C700" s="76" t="s">
        <v>1153</v>
      </c>
      <c r="D700" s="77" t="s">
        <v>1154</v>
      </c>
      <c r="E700" s="75"/>
      <c r="F700" s="78" t="n">
        <v>145.2624</v>
      </c>
      <c r="G700" s="75"/>
      <c r="H700" s="75"/>
      <c r="I700" s="75"/>
      <c r="J700" s="75"/>
      <c r="K700" s="79"/>
    </row>
    <row r="701">
      <c r="A701" s="74"/>
      <c r="B701" s="75"/>
      <c r="C701" s="76" t="s">
        <v>1155</v>
      </c>
      <c r="D701" s="77" t="s">
        <v>1128</v>
      </c>
      <c r="E701" s="75"/>
      <c r="F701" s="78" t="n">
        <v>49.51896</v>
      </c>
      <c r="G701" s="75"/>
      <c r="H701" s="75"/>
      <c r="I701" s="75"/>
      <c r="J701" s="75"/>
      <c r="K701" s="79"/>
    </row>
    <row r="702">
      <c r="A702" s="51" t="s">
        <v>1156</v>
      </c>
      <c r="B702" s="52" t="s">
        <v>1157</v>
      </c>
      <c r="C702" s="53" t="s">
        <v>1158</v>
      </c>
      <c r="D702" s="52"/>
      <c r="E702" s="52" t="s">
        <v>242</v>
      </c>
      <c r="F702" s="54" t="n">
        <v>3.38287</v>
      </c>
      <c r="G702" s="54" t="n">
        <v>0</v>
      </c>
      <c r="H702" s="54">
        <f>F702*AO702</f>
      </c>
      <c r="I702" s="54">
        <f>F702*AP702</f>
      </c>
      <c r="J702" s="54">
        <f>F702*G702</f>
      </c>
      <c r="K702" s="55" t="s">
        <v>100</v>
      </c>
      <c r="Z702" s="56">
        <f>IF(AQ702="5",BJ702,0)</f>
      </c>
      <c r="AB702" s="56">
        <f>IF(AQ702="1",BH702,0)</f>
      </c>
      <c r="AC702" s="56">
        <f>IF(AQ702="1",BI702,0)</f>
      </c>
      <c r="AD702" s="56">
        <f>IF(AQ702="7",BH702,0)</f>
      </c>
      <c r="AE702" s="56">
        <f>IF(AQ702="7",BI702,0)</f>
      </c>
      <c r="AF702" s="56">
        <f>IF(AQ702="2",BH702,0)</f>
      </c>
      <c r="AG702" s="56">
        <f>IF(AQ702="2",BI702,0)</f>
      </c>
      <c r="AH702" s="56">
        <f>IF(AQ702="0",BJ702,0)</f>
      </c>
      <c r="AI702" s="28" t="s">
        <v>57</v>
      </c>
      <c r="AJ702" s="56">
        <f>IF(AN702=0,J702,0)</f>
      </c>
      <c r="AK702" s="56">
        <f>IF(AN702=12,J702,0)</f>
      </c>
      <c r="AL702" s="56">
        <f>IF(AN702=21,J702,0)</f>
      </c>
      <c r="AN702" s="56" t="n">
        <v>21</v>
      </c>
      <c r="AO702" s="56">
        <f>G702*0</f>
      </c>
      <c r="AP702" s="56">
        <f>G702*(1-0)</f>
      </c>
      <c r="AQ702" s="57" t="s">
        <v>79</v>
      </c>
      <c r="AV702" s="56">
        <f>AW702+AX702</f>
      </c>
      <c r="AW702" s="56">
        <f>F702*AO702</f>
      </c>
      <c r="AX702" s="56">
        <f>F702*AP702</f>
      </c>
      <c r="AY702" s="57" t="s">
        <v>1114</v>
      </c>
      <c r="AZ702" s="57" t="s">
        <v>536</v>
      </c>
      <c r="BA702" s="28" t="s">
        <v>64</v>
      </c>
      <c r="BC702" s="56">
        <f>AW702+AX702</f>
      </c>
      <c r="BD702" s="56">
        <f>G702/(100-BE702)*100</f>
      </c>
      <c r="BE702" s="56" t="n">
        <v>0</v>
      </c>
      <c r="BF702" s="56">
        <f>702</f>
      </c>
      <c r="BH702" s="56">
        <f>F702*AO702</f>
      </c>
      <c r="BI702" s="56">
        <f>F702*AP702</f>
      </c>
      <c r="BJ702" s="56">
        <f>F702*G702</f>
      </c>
      <c r="BK702" s="56"/>
      <c r="BL702" s="56" t="n">
        <v>767</v>
      </c>
      <c r="BW702" s="56" t="n">
        <v>21</v>
      </c>
      <c r="BX702" s="14" t="s">
        <v>1158</v>
      </c>
    </row>
    <row r="703">
      <c r="A703" s="45" t="s">
        <v>53</v>
      </c>
      <c r="B703" s="46" t="s">
        <v>1159</v>
      </c>
      <c r="C703" s="47" t="s">
        <v>1160</v>
      </c>
      <c r="D703" s="46"/>
      <c r="E703" s="48" t="s">
        <v>34</v>
      </c>
      <c r="F703" s="48" t="s">
        <v>34</v>
      </c>
      <c r="G703" s="48" t="s">
        <v>34</v>
      </c>
      <c r="H703" s="49">
        <f>SUM(H704:H736)</f>
      </c>
      <c r="I703" s="49">
        <f>SUM(I704:I736)</f>
      </c>
      <c r="J703" s="49">
        <f>SUM(J704:J736)</f>
      </c>
      <c r="K703" s="50" t="s">
        <v>53</v>
      </c>
      <c r="AI703" s="28" t="s">
        <v>57</v>
      </c>
      <c r="AS703" s="2">
        <f>SUM(AJ704:AJ736)</f>
      </c>
      <c r="AT703" s="2">
        <f>SUM(AK704:AK736)</f>
      </c>
      <c r="AU703" s="2">
        <f>SUM(AL704:AL736)</f>
      </c>
    </row>
    <row r="704">
      <c r="A704" s="51" t="s">
        <v>1161</v>
      </c>
      <c r="B704" s="52" t="s">
        <v>1162</v>
      </c>
      <c r="C704" s="53" t="s">
        <v>1163</v>
      </c>
      <c r="D704" s="52"/>
      <c r="E704" s="52" t="s">
        <v>130</v>
      </c>
      <c r="F704" s="54" t="n">
        <v>9.6941</v>
      </c>
      <c r="G704" s="54" t="n">
        <v>0</v>
      </c>
      <c r="H704" s="54">
        <f>F704*AO704</f>
      </c>
      <c r="I704" s="54">
        <f>F704*AP704</f>
      </c>
      <c r="J704" s="54">
        <f>F704*G704</f>
      </c>
      <c r="K704" s="55" t="s">
        <v>100</v>
      </c>
      <c r="Z704" s="56">
        <f>IF(AQ704="5",BJ704,0)</f>
      </c>
      <c r="AB704" s="56">
        <f>IF(AQ704="1",BH704,0)</f>
      </c>
      <c r="AC704" s="56">
        <f>IF(AQ704="1",BI704,0)</f>
      </c>
      <c r="AD704" s="56">
        <f>IF(AQ704="7",BH704,0)</f>
      </c>
      <c r="AE704" s="56">
        <f>IF(AQ704="7",BI704,0)</f>
      </c>
      <c r="AF704" s="56">
        <f>IF(AQ704="2",BH704,0)</f>
      </c>
      <c r="AG704" s="56">
        <f>IF(AQ704="2",BI704,0)</f>
      </c>
      <c r="AH704" s="56">
        <f>IF(AQ704="0",BJ704,0)</f>
      </c>
      <c r="AI704" s="28" t="s">
        <v>57</v>
      </c>
      <c r="AJ704" s="56">
        <f>IF(AN704=0,J704,0)</f>
      </c>
      <c r="AK704" s="56">
        <f>IF(AN704=12,J704,0)</f>
      </c>
      <c r="AL704" s="56">
        <f>IF(AN704=21,J704,0)</f>
      </c>
      <c r="AN704" s="56" t="n">
        <v>21</v>
      </c>
      <c r="AO704" s="56">
        <f>G704*0</f>
      </c>
      <c r="AP704" s="56">
        <f>G704*(1-0)</f>
      </c>
      <c r="AQ704" s="57" t="s">
        <v>85</v>
      </c>
      <c r="AV704" s="56">
        <f>AW704+AX704</f>
      </c>
      <c r="AW704" s="56">
        <f>F704*AO704</f>
      </c>
      <c r="AX704" s="56">
        <f>F704*AP704</f>
      </c>
      <c r="AY704" s="57" t="s">
        <v>1164</v>
      </c>
      <c r="AZ704" s="57" t="s">
        <v>1165</v>
      </c>
      <c r="BA704" s="28" t="s">
        <v>64</v>
      </c>
      <c r="BC704" s="56">
        <f>AW704+AX704</f>
      </c>
      <c r="BD704" s="56">
        <f>G704/(100-BE704)*100</f>
      </c>
      <c r="BE704" s="56" t="n">
        <v>0</v>
      </c>
      <c r="BF704" s="56">
        <f>704</f>
      </c>
      <c r="BH704" s="56">
        <f>F704*AO704</f>
      </c>
      <c r="BI704" s="56">
        <f>F704*AP704</f>
      </c>
      <c r="BJ704" s="56">
        <f>F704*G704</f>
      </c>
      <c r="BK704" s="56"/>
      <c r="BL704" s="56" t="n">
        <v>771</v>
      </c>
      <c r="BW704" s="56" t="n">
        <v>21</v>
      </c>
      <c r="BX704" s="14" t="s">
        <v>1163</v>
      </c>
    </row>
    <row r="705">
      <c r="A705" s="74"/>
      <c r="B705" s="75"/>
      <c r="C705" s="76" t="s">
        <v>1166</v>
      </c>
      <c r="D705" s="77" t="s">
        <v>1167</v>
      </c>
      <c r="E705" s="75"/>
      <c r="F705" s="78" t="n">
        <v>9.6941</v>
      </c>
      <c r="G705" s="75"/>
      <c r="H705" s="75"/>
      <c r="I705" s="75"/>
      <c r="J705" s="75"/>
      <c r="K705" s="79"/>
    </row>
    <row r="706" ht="36.75">
      <c r="A706" s="58"/>
      <c r="B706" s="80" t="s">
        <v>108</v>
      </c>
      <c r="C706" s="59" t="s">
        <v>1168</v>
      </c>
      <c r="D706" s="60"/>
      <c r="E706" s="60"/>
      <c r="F706" s="60"/>
      <c r="G706" s="60"/>
      <c r="H706" s="60"/>
      <c r="I706" s="60"/>
      <c r="J706" s="60"/>
      <c r="K706" s="61"/>
      <c r="BX706" s="81" t="s">
        <v>1168</v>
      </c>
    </row>
    <row r="707">
      <c r="A707" s="87" t="s">
        <v>1169</v>
      </c>
      <c r="B707" s="88" t="s">
        <v>1170</v>
      </c>
      <c r="C707" s="89" t="s">
        <v>1171</v>
      </c>
      <c r="D707" s="88"/>
      <c r="E707" s="88" t="s">
        <v>130</v>
      </c>
      <c r="F707" s="90" t="n">
        <v>10.1788</v>
      </c>
      <c r="G707" s="90" t="n">
        <v>0</v>
      </c>
      <c r="H707" s="90">
        <f>F707*AO707</f>
      </c>
      <c r="I707" s="90">
        <f>F707*AP707</f>
      </c>
      <c r="J707" s="90">
        <f>F707*G707</f>
      </c>
      <c r="K707" s="91" t="s">
        <v>100</v>
      </c>
      <c r="Z707" s="56">
        <f>IF(AQ707="5",BJ707,0)</f>
      </c>
      <c r="AB707" s="56">
        <f>IF(AQ707="1",BH707,0)</f>
      </c>
      <c r="AC707" s="56">
        <f>IF(AQ707="1",BI707,0)</f>
      </c>
      <c r="AD707" s="56">
        <f>IF(AQ707="7",BH707,0)</f>
      </c>
      <c r="AE707" s="56">
        <f>IF(AQ707="7",BI707,0)</f>
      </c>
      <c r="AF707" s="56">
        <f>IF(AQ707="2",BH707,0)</f>
      </c>
      <c r="AG707" s="56">
        <f>IF(AQ707="2",BI707,0)</f>
      </c>
      <c r="AH707" s="56">
        <f>IF(AQ707="0",BJ707,0)</f>
      </c>
      <c r="AI707" s="28" t="s">
        <v>57</v>
      </c>
      <c r="AJ707" s="92">
        <f>IF(AN707=0,J707,0)</f>
      </c>
      <c r="AK707" s="92">
        <f>IF(AN707=12,J707,0)</f>
      </c>
      <c r="AL707" s="92">
        <f>IF(AN707=21,J707,0)</f>
      </c>
      <c r="AN707" s="56" t="n">
        <v>21</v>
      </c>
      <c r="AO707" s="56">
        <f>G707*1</f>
      </c>
      <c r="AP707" s="56">
        <f>G707*(1-1)</f>
      </c>
      <c r="AQ707" s="93" t="s">
        <v>85</v>
      </c>
      <c r="AV707" s="56">
        <f>AW707+AX707</f>
      </c>
      <c r="AW707" s="56">
        <f>F707*AO707</f>
      </c>
      <c r="AX707" s="56">
        <f>F707*AP707</f>
      </c>
      <c r="AY707" s="57" t="s">
        <v>1164</v>
      </c>
      <c r="AZ707" s="57" t="s">
        <v>1165</v>
      </c>
      <c r="BA707" s="28" t="s">
        <v>64</v>
      </c>
      <c r="BC707" s="56">
        <f>AW707+AX707</f>
      </c>
      <c r="BD707" s="56">
        <f>G707/(100-BE707)*100</f>
      </c>
      <c r="BE707" s="56" t="n">
        <v>0</v>
      </c>
      <c r="BF707" s="56">
        <f>707</f>
      </c>
      <c r="BH707" s="92">
        <f>F707*AO707</f>
      </c>
      <c r="BI707" s="92">
        <f>F707*AP707</f>
      </c>
      <c r="BJ707" s="92">
        <f>F707*G707</f>
      </c>
      <c r="BK707" s="92"/>
      <c r="BL707" s="56" t="n">
        <v>771</v>
      </c>
      <c r="BW707" s="56" t="n">
        <v>21</v>
      </c>
      <c r="BX707" s="94" t="s">
        <v>1171</v>
      </c>
    </row>
    <row r="708">
      <c r="A708" s="74"/>
      <c r="B708" s="75"/>
      <c r="C708" s="76" t="s">
        <v>1172</v>
      </c>
      <c r="D708" s="77" t="s">
        <v>1167</v>
      </c>
      <c r="E708" s="75"/>
      <c r="F708" s="78" t="n">
        <v>9.6941</v>
      </c>
      <c r="G708" s="75"/>
      <c r="H708" s="75"/>
      <c r="I708" s="75"/>
      <c r="J708" s="75"/>
      <c r="K708" s="79"/>
    </row>
    <row r="709">
      <c r="A709" s="74"/>
      <c r="B709" s="75"/>
      <c r="C709" s="76" t="s">
        <v>1173</v>
      </c>
      <c r="D709" s="77" t="s">
        <v>53</v>
      </c>
      <c r="E709" s="75"/>
      <c r="F709" s="78" t="n">
        <v>0.4847</v>
      </c>
      <c r="G709" s="75"/>
      <c r="H709" s="75"/>
      <c r="I709" s="75"/>
      <c r="J709" s="75"/>
      <c r="K709" s="79"/>
    </row>
    <row r="710" ht="24.75">
      <c r="A710" s="58"/>
      <c r="B710" s="80" t="s">
        <v>108</v>
      </c>
      <c r="C710" s="59" t="s">
        <v>1174</v>
      </c>
      <c r="D710" s="60"/>
      <c r="E710" s="60"/>
      <c r="F710" s="60"/>
      <c r="G710" s="60"/>
      <c r="H710" s="60"/>
      <c r="I710" s="60"/>
      <c r="J710" s="60"/>
      <c r="K710" s="61"/>
      <c r="BX710" s="95" t="s">
        <v>1174</v>
      </c>
    </row>
    <row r="711">
      <c r="A711" s="87" t="s">
        <v>1175</v>
      </c>
      <c r="B711" s="88" t="s">
        <v>1176</v>
      </c>
      <c r="C711" s="89" t="s">
        <v>1177</v>
      </c>
      <c r="D711" s="88"/>
      <c r="E711" s="88" t="s">
        <v>303</v>
      </c>
      <c r="F711" s="90" t="n">
        <v>40.71522</v>
      </c>
      <c r="G711" s="90" t="n">
        <v>0</v>
      </c>
      <c r="H711" s="90">
        <f>F711*AO711</f>
      </c>
      <c r="I711" s="90">
        <f>F711*AP711</f>
      </c>
      <c r="J711" s="90">
        <f>F711*G711</f>
      </c>
      <c r="K711" s="91" t="s">
        <v>100</v>
      </c>
      <c r="Z711" s="56">
        <f>IF(AQ711="5",BJ711,0)</f>
      </c>
      <c r="AB711" s="56">
        <f>IF(AQ711="1",BH711,0)</f>
      </c>
      <c r="AC711" s="56">
        <f>IF(AQ711="1",BI711,0)</f>
      </c>
      <c r="AD711" s="56">
        <f>IF(AQ711="7",BH711,0)</f>
      </c>
      <c r="AE711" s="56">
        <f>IF(AQ711="7",BI711,0)</f>
      </c>
      <c r="AF711" s="56">
        <f>IF(AQ711="2",BH711,0)</f>
      </c>
      <c r="AG711" s="56">
        <f>IF(AQ711="2",BI711,0)</f>
      </c>
      <c r="AH711" s="56">
        <f>IF(AQ711="0",BJ711,0)</f>
      </c>
      <c r="AI711" s="28" t="s">
        <v>57</v>
      </c>
      <c r="AJ711" s="92">
        <f>IF(AN711=0,J711,0)</f>
      </c>
      <c r="AK711" s="92">
        <f>IF(AN711=12,J711,0)</f>
      </c>
      <c r="AL711" s="92">
        <f>IF(AN711=21,J711,0)</f>
      </c>
      <c r="AN711" s="56" t="n">
        <v>21</v>
      </c>
      <c r="AO711" s="56">
        <f>G711*1</f>
      </c>
      <c r="AP711" s="56">
        <f>G711*(1-1)</f>
      </c>
      <c r="AQ711" s="93" t="s">
        <v>85</v>
      </c>
      <c r="AV711" s="56">
        <f>AW711+AX711</f>
      </c>
      <c r="AW711" s="56">
        <f>F711*AO711</f>
      </c>
      <c r="AX711" s="56">
        <f>F711*AP711</f>
      </c>
      <c r="AY711" s="57" t="s">
        <v>1164</v>
      </c>
      <c r="AZ711" s="57" t="s">
        <v>1165</v>
      </c>
      <c r="BA711" s="28" t="s">
        <v>64</v>
      </c>
      <c r="BC711" s="56">
        <f>AW711+AX711</f>
      </c>
      <c r="BD711" s="56">
        <f>G711/(100-BE711)*100</f>
      </c>
      <c r="BE711" s="56" t="n">
        <v>0</v>
      </c>
      <c r="BF711" s="56">
        <f>711</f>
      </c>
      <c r="BH711" s="92">
        <f>F711*AO711</f>
      </c>
      <c r="BI711" s="92">
        <f>F711*AP711</f>
      </c>
      <c r="BJ711" s="92">
        <f>F711*G711</f>
      </c>
      <c r="BK711" s="92"/>
      <c r="BL711" s="56" t="n">
        <v>771</v>
      </c>
      <c r="BW711" s="56" t="n">
        <v>21</v>
      </c>
      <c r="BX711" s="94" t="s">
        <v>1177</v>
      </c>
    </row>
    <row r="712">
      <c r="A712" s="74"/>
      <c r="B712" s="75"/>
      <c r="C712" s="76" t="s">
        <v>1178</v>
      </c>
      <c r="D712" s="77" t="s">
        <v>1167</v>
      </c>
      <c r="E712" s="75"/>
      <c r="F712" s="78" t="n">
        <v>38.7764</v>
      </c>
      <c r="G712" s="75"/>
      <c r="H712" s="75"/>
      <c r="I712" s="75"/>
      <c r="J712" s="75"/>
      <c r="K712" s="79"/>
    </row>
    <row r="713">
      <c r="A713" s="74"/>
      <c r="B713" s="75"/>
      <c r="C713" s="76" t="s">
        <v>1179</v>
      </c>
      <c r="D713" s="77" t="s">
        <v>53</v>
      </c>
      <c r="E713" s="75"/>
      <c r="F713" s="78" t="n">
        <v>1.93882</v>
      </c>
      <c r="G713" s="75"/>
      <c r="H713" s="75"/>
      <c r="I713" s="75"/>
      <c r="J713" s="75"/>
      <c r="K713" s="79"/>
    </row>
    <row r="714" ht="36.75">
      <c r="A714" s="58"/>
      <c r="B714" s="80" t="s">
        <v>108</v>
      </c>
      <c r="C714" s="59" t="s">
        <v>1180</v>
      </c>
      <c r="D714" s="60"/>
      <c r="E714" s="60"/>
      <c r="F714" s="60"/>
      <c r="G714" s="60"/>
      <c r="H714" s="60"/>
      <c r="I714" s="60"/>
      <c r="J714" s="60"/>
      <c r="K714" s="61"/>
      <c r="BX714" s="95" t="s">
        <v>1180</v>
      </c>
    </row>
    <row r="715">
      <c r="A715" s="82" t="s">
        <v>1181</v>
      </c>
      <c r="B715" s="83" t="s">
        <v>1182</v>
      </c>
      <c r="C715" s="84" t="s">
        <v>1183</v>
      </c>
      <c r="D715" s="83"/>
      <c r="E715" s="83" t="s">
        <v>393</v>
      </c>
      <c r="F715" s="85" t="n">
        <v>13.04</v>
      </c>
      <c r="G715" s="85" t="n">
        <v>0</v>
      </c>
      <c r="H715" s="85">
        <f>F715*AO715</f>
      </c>
      <c r="I715" s="85">
        <f>F715*AP715</f>
      </c>
      <c r="J715" s="85">
        <f>F715*G715</f>
      </c>
      <c r="K715" s="86" t="s">
        <v>100</v>
      </c>
      <c r="Z715" s="56">
        <f>IF(AQ715="5",BJ715,0)</f>
      </c>
      <c r="AB715" s="56">
        <f>IF(AQ715="1",BH715,0)</f>
      </c>
      <c r="AC715" s="56">
        <f>IF(AQ715="1",BI715,0)</f>
      </c>
      <c r="AD715" s="56">
        <f>IF(AQ715="7",BH715,0)</f>
      </c>
      <c r="AE715" s="56">
        <f>IF(AQ715="7",BI715,0)</f>
      </c>
      <c r="AF715" s="56">
        <f>IF(AQ715="2",BH715,0)</f>
      </c>
      <c r="AG715" s="56">
        <f>IF(AQ715="2",BI715,0)</f>
      </c>
      <c r="AH715" s="56">
        <f>IF(AQ715="0",BJ715,0)</f>
      </c>
      <c r="AI715" s="28" t="s">
        <v>57</v>
      </c>
      <c r="AJ715" s="56">
        <f>IF(AN715=0,J715,0)</f>
      </c>
      <c r="AK715" s="56">
        <f>IF(AN715=12,J715,0)</f>
      </c>
      <c r="AL715" s="56">
        <f>IF(AN715=21,J715,0)</f>
      </c>
      <c r="AN715" s="56" t="n">
        <v>21</v>
      </c>
      <c r="AO715" s="56">
        <f>G715*0.054367347</f>
      </c>
      <c r="AP715" s="56">
        <f>G715*(1-0.054367347)</f>
      </c>
      <c r="AQ715" s="57" t="s">
        <v>85</v>
      </c>
      <c r="AV715" s="56">
        <f>AW715+AX715</f>
      </c>
      <c r="AW715" s="56">
        <f>F715*AO715</f>
      </c>
      <c r="AX715" s="56">
        <f>F715*AP715</f>
      </c>
      <c r="AY715" s="57" t="s">
        <v>1164</v>
      </c>
      <c r="AZ715" s="57" t="s">
        <v>1165</v>
      </c>
      <c r="BA715" s="28" t="s">
        <v>64</v>
      </c>
      <c r="BC715" s="56">
        <f>AW715+AX715</f>
      </c>
      <c r="BD715" s="56">
        <f>G715/(100-BE715)*100</f>
      </c>
      <c r="BE715" s="56" t="n">
        <v>0</v>
      </c>
      <c r="BF715" s="56">
        <f>715</f>
      </c>
      <c r="BH715" s="56">
        <f>F715*AO715</f>
      </c>
      <c r="BI715" s="56">
        <f>F715*AP715</f>
      </c>
      <c r="BJ715" s="56">
        <f>F715*G715</f>
      </c>
      <c r="BK715" s="56"/>
      <c r="BL715" s="56" t="n">
        <v>771</v>
      </c>
      <c r="BW715" s="56" t="n">
        <v>21</v>
      </c>
      <c r="BX715" s="14" t="s">
        <v>1183</v>
      </c>
    </row>
    <row r="716" customHeight="true" ht="13.5">
      <c r="A716" s="58"/>
      <c r="C716" s="59" t="s">
        <v>1184</v>
      </c>
      <c r="D716" s="60"/>
      <c r="E716" s="60"/>
      <c r="F716" s="60"/>
      <c r="G716" s="60"/>
      <c r="H716" s="60"/>
      <c r="I716" s="60"/>
      <c r="J716" s="60"/>
      <c r="K716" s="61"/>
    </row>
    <row r="717">
      <c r="A717" s="68"/>
      <c r="B717" s="69"/>
      <c r="C717" s="70" t="s">
        <v>1185</v>
      </c>
      <c r="D717" s="71" t="s">
        <v>1186</v>
      </c>
      <c r="E717" s="69"/>
      <c r="F717" s="72" t="n">
        <v>13.04</v>
      </c>
      <c r="G717" s="69"/>
      <c r="H717" s="69"/>
      <c r="I717" s="69"/>
      <c r="J717" s="69"/>
      <c r="K717" s="73"/>
    </row>
    <row r="718">
      <c r="A718" s="58"/>
      <c r="B718" s="80" t="s">
        <v>108</v>
      </c>
      <c r="C718" s="59" t="s">
        <v>1187</v>
      </c>
      <c r="D718" s="60"/>
      <c r="E718" s="60"/>
      <c r="F718" s="60"/>
      <c r="G718" s="60"/>
      <c r="H718" s="60"/>
      <c r="I718" s="60"/>
      <c r="J718" s="60"/>
      <c r="K718" s="61"/>
      <c r="BX718" s="81" t="s">
        <v>1187</v>
      </c>
    </row>
    <row r="719">
      <c r="A719" s="87" t="s">
        <v>1188</v>
      </c>
      <c r="B719" s="88" t="s">
        <v>1170</v>
      </c>
      <c r="C719" s="89" t="s">
        <v>1189</v>
      </c>
      <c r="D719" s="88"/>
      <c r="E719" s="88" t="s">
        <v>130</v>
      </c>
      <c r="F719" s="90" t="n">
        <v>4.99867</v>
      </c>
      <c r="G719" s="90" t="n">
        <v>0</v>
      </c>
      <c r="H719" s="90">
        <f>F719*AO719</f>
      </c>
      <c r="I719" s="90">
        <f>F719*AP719</f>
      </c>
      <c r="J719" s="90">
        <f>F719*G719</f>
      </c>
      <c r="K719" s="91" t="s">
        <v>100</v>
      </c>
      <c r="Z719" s="56">
        <f>IF(AQ719="5",BJ719,0)</f>
      </c>
      <c r="AB719" s="56">
        <f>IF(AQ719="1",BH719,0)</f>
      </c>
      <c r="AC719" s="56">
        <f>IF(AQ719="1",BI719,0)</f>
      </c>
      <c r="AD719" s="56">
        <f>IF(AQ719="7",BH719,0)</f>
      </c>
      <c r="AE719" s="56">
        <f>IF(AQ719="7",BI719,0)</f>
      </c>
      <c r="AF719" s="56">
        <f>IF(AQ719="2",BH719,0)</f>
      </c>
      <c r="AG719" s="56">
        <f>IF(AQ719="2",BI719,0)</f>
      </c>
      <c r="AH719" s="56">
        <f>IF(AQ719="0",BJ719,0)</f>
      </c>
      <c r="AI719" s="28" t="s">
        <v>57</v>
      </c>
      <c r="AJ719" s="92">
        <f>IF(AN719=0,J719,0)</f>
      </c>
      <c r="AK719" s="92">
        <f>IF(AN719=12,J719,0)</f>
      </c>
      <c r="AL719" s="92">
        <f>IF(AN719=21,J719,0)</f>
      </c>
      <c r="AN719" s="56" t="n">
        <v>21</v>
      </c>
      <c r="AO719" s="56">
        <f>G719*1</f>
      </c>
      <c r="AP719" s="56">
        <f>G719*(1-1)</f>
      </c>
      <c r="AQ719" s="93" t="s">
        <v>85</v>
      </c>
      <c r="AV719" s="56">
        <f>AW719+AX719</f>
      </c>
      <c r="AW719" s="56">
        <f>F719*AO719</f>
      </c>
      <c r="AX719" s="56">
        <f>F719*AP719</f>
      </c>
      <c r="AY719" s="57" t="s">
        <v>1164</v>
      </c>
      <c r="AZ719" s="57" t="s">
        <v>1165</v>
      </c>
      <c r="BA719" s="28" t="s">
        <v>64</v>
      </c>
      <c r="BC719" s="56">
        <f>AW719+AX719</f>
      </c>
      <c r="BD719" s="56">
        <f>G719/(100-BE719)*100</f>
      </c>
      <c r="BE719" s="56" t="n">
        <v>0</v>
      </c>
      <c r="BF719" s="56">
        <f>719</f>
      </c>
      <c r="BH719" s="92">
        <f>F719*AO719</f>
      </c>
      <c r="BI719" s="92">
        <f>F719*AP719</f>
      </c>
      <c r="BJ719" s="92">
        <f>F719*G719</f>
      </c>
      <c r="BK719" s="92"/>
      <c r="BL719" s="56" t="n">
        <v>771</v>
      </c>
      <c r="BW719" s="56" t="n">
        <v>21</v>
      </c>
      <c r="BX719" s="94" t="s">
        <v>1189</v>
      </c>
    </row>
    <row r="720">
      <c r="A720" s="74"/>
      <c r="B720" s="75"/>
      <c r="C720" s="76" t="s">
        <v>1190</v>
      </c>
      <c r="D720" s="77" t="s">
        <v>1186</v>
      </c>
      <c r="E720" s="75"/>
      <c r="F720" s="78" t="n">
        <v>4.34667</v>
      </c>
      <c r="G720" s="75"/>
      <c r="H720" s="75"/>
      <c r="I720" s="75"/>
      <c r="J720" s="75"/>
      <c r="K720" s="79"/>
    </row>
    <row r="721">
      <c r="A721" s="74"/>
      <c r="B721" s="75"/>
      <c r="C721" s="76" t="s">
        <v>1191</v>
      </c>
      <c r="D721" s="77" t="s">
        <v>53</v>
      </c>
      <c r="E721" s="75"/>
      <c r="F721" s="78" t="n">
        <v>0.652</v>
      </c>
      <c r="G721" s="75"/>
      <c r="H721" s="75"/>
      <c r="I721" s="75"/>
      <c r="J721" s="75"/>
      <c r="K721" s="79"/>
    </row>
    <row r="722" ht="24.75">
      <c r="A722" s="58"/>
      <c r="B722" s="80" t="s">
        <v>108</v>
      </c>
      <c r="C722" s="59" t="s">
        <v>1174</v>
      </c>
      <c r="D722" s="60"/>
      <c r="E722" s="60"/>
      <c r="F722" s="60"/>
      <c r="G722" s="60"/>
      <c r="H722" s="60"/>
      <c r="I722" s="60"/>
      <c r="J722" s="60"/>
      <c r="K722" s="61"/>
      <c r="BX722" s="95" t="s">
        <v>1174</v>
      </c>
    </row>
    <row r="723">
      <c r="A723" s="82" t="s">
        <v>1192</v>
      </c>
      <c r="B723" s="83" t="s">
        <v>1193</v>
      </c>
      <c r="C723" s="84" t="s">
        <v>1194</v>
      </c>
      <c r="D723" s="83"/>
      <c r="E723" s="83" t="s">
        <v>393</v>
      </c>
      <c r="F723" s="85" t="n">
        <v>13.04</v>
      </c>
      <c r="G723" s="85" t="n">
        <v>0</v>
      </c>
      <c r="H723" s="85">
        <f>F723*AO723</f>
      </c>
      <c r="I723" s="85">
        <f>F723*AP723</f>
      </c>
      <c r="J723" s="85">
        <f>F723*G723</f>
      </c>
      <c r="K723" s="86" t="s">
        <v>100</v>
      </c>
      <c r="Z723" s="56">
        <f>IF(AQ723="5",BJ723,0)</f>
      </c>
      <c r="AB723" s="56">
        <f>IF(AQ723="1",BH723,0)</f>
      </c>
      <c r="AC723" s="56">
        <f>IF(AQ723="1",BI723,0)</f>
      </c>
      <c r="AD723" s="56">
        <f>IF(AQ723="7",BH723,0)</f>
      </c>
      <c r="AE723" s="56">
        <f>IF(AQ723="7",BI723,0)</f>
      </c>
      <c r="AF723" s="56">
        <f>IF(AQ723="2",BH723,0)</f>
      </c>
      <c r="AG723" s="56">
        <f>IF(AQ723="2",BI723,0)</f>
      </c>
      <c r="AH723" s="56">
        <f>IF(AQ723="0",BJ723,0)</f>
      </c>
      <c r="AI723" s="28" t="s">
        <v>57</v>
      </c>
      <c r="AJ723" s="56">
        <f>IF(AN723=0,J723,0)</f>
      </c>
      <c r="AK723" s="56">
        <f>IF(AN723=12,J723,0)</f>
      </c>
      <c r="AL723" s="56">
        <f>IF(AN723=21,J723,0)</f>
      </c>
      <c r="AN723" s="56" t="n">
        <v>21</v>
      </c>
      <c r="AO723" s="56">
        <f>G723*0.056049549</f>
      </c>
      <c r="AP723" s="56">
        <f>G723*(1-0.056049549)</f>
      </c>
      <c r="AQ723" s="57" t="s">
        <v>85</v>
      </c>
      <c r="AV723" s="56">
        <f>AW723+AX723</f>
      </c>
      <c r="AW723" s="56">
        <f>F723*AO723</f>
      </c>
      <c r="AX723" s="56">
        <f>F723*AP723</f>
      </c>
      <c r="AY723" s="57" t="s">
        <v>1164</v>
      </c>
      <c r="AZ723" s="57" t="s">
        <v>1165</v>
      </c>
      <c r="BA723" s="28" t="s">
        <v>64</v>
      </c>
      <c r="BC723" s="56">
        <f>AW723+AX723</f>
      </c>
      <c r="BD723" s="56">
        <f>G723/(100-BE723)*100</f>
      </c>
      <c r="BE723" s="56" t="n">
        <v>0</v>
      </c>
      <c r="BF723" s="56">
        <f>723</f>
      </c>
      <c r="BH723" s="56">
        <f>F723*AO723</f>
      </c>
      <c r="BI723" s="56">
        <f>F723*AP723</f>
      </c>
      <c r="BJ723" s="56">
        <f>F723*G723</f>
      </c>
      <c r="BK723" s="56"/>
      <c r="BL723" s="56" t="n">
        <v>771</v>
      </c>
      <c r="BW723" s="56" t="n">
        <v>21</v>
      </c>
      <c r="BX723" s="14" t="s">
        <v>1194</v>
      </c>
    </row>
    <row r="724">
      <c r="A724" s="74"/>
      <c r="B724" s="75"/>
      <c r="C724" s="76" t="s">
        <v>1185</v>
      </c>
      <c r="D724" s="77" t="s">
        <v>1186</v>
      </c>
      <c r="E724" s="75"/>
      <c r="F724" s="78" t="n">
        <v>13.04</v>
      </c>
      <c r="G724" s="75"/>
      <c r="H724" s="75"/>
      <c r="I724" s="75"/>
      <c r="J724" s="75"/>
      <c r="K724" s="79"/>
    </row>
    <row r="725">
      <c r="A725" s="51" t="s">
        <v>1195</v>
      </c>
      <c r="B725" s="52" t="s">
        <v>1196</v>
      </c>
      <c r="C725" s="53" t="s">
        <v>1197</v>
      </c>
      <c r="D725" s="52"/>
      <c r="E725" s="52" t="s">
        <v>393</v>
      </c>
      <c r="F725" s="54" t="n">
        <v>13.04</v>
      </c>
      <c r="G725" s="54" t="n">
        <v>0</v>
      </c>
      <c r="H725" s="54">
        <f>F725*AO725</f>
      </c>
      <c r="I725" s="54">
        <f>F725*AP725</f>
      </c>
      <c r="J725" s="54">
        <f>F725*G725</f>
      </c>
      <c r="K725" s="55" t="s">
        <v>100</v>
      </c>
      <c r="Z725" s="56">
        <f>IF(AQ725="5",BJ725,0)</f>
      </c>
      <c r="AB725" s="56">
        <f>IF(AQ725="1",BH725,0)</f>
      </c>
      <c r="AC725" s="56">
        <f>IF(AQ725="1",BI725,0)</f>
      </c>
      <c r="AD725" s="56">
        <f>IF(AQ725="7",BH725,0)</f>
      </c>
      <c r="AE725" s="56">
        <f>IF(AQ725="7",BI725,0)</f>
      </c>
      <c r="AF725" s="56">
        <f>IF(AQ725="2",BH725,0)</f>
      </c>
      <c r="AG725" s="56">
        <f>IF(AQ725="2",BI725,0)</f>
      </c>
      <c r="AH725" s="56">
        <f>IF(AQ725="0",BJ725,0)</f>
      </c>
      <c r="AI725" s="28" t="s">
        <v>57</v>
      </c>
      <c r="AJ725" s="56">
        <f>IF(AN725=0,J725,0)</f>
      </c>
      <c r="AK725" s="56">
        <f>IF(AN725=12,J725,0)</f>
      </c>
      <c r="AL725" s="56">
        <f>IF(AN725=21,J725,0)</f>
      </c>
      <c r="AN725" s="56" t="n">
        <v>21</v>
      </c>
      <c r="AO725" s="56">
        <f>G725*0.374808578</f>
      </c>
      <c r="AP725" s="56">
        <f>G725*(1-0.374808578)</f>
      </c>
      <c r="AQ725" s="57" t="s">
        <v>85</v>
      </c>
      <c r="AV725" s="56">
        <f>AW725+AX725</f>
      </c>
      <c r="AW725" s="56">
        <f>F725*AO725</f>
      </c>
      <c r="AX725" s="56">
        <f>F725*AP725</f>
      </c>
      <c r="AY725" s="57" t="s">
        <v>1164</v>
      </c>
      <c r="AZ725" s="57" t="s">
        <v>1165</v>
      </c>
      <c r="BA725" s="28" t="s">
        <v>64</v>
      </c>
      <c r="BC725" s="56">
        <f>AW725+AX725</f>
      </c>
      <c r="BD725" s="56">
        <f>G725/(100-BE725)*100</f>
      </c>
      <c r="BE725" s="56" t="n">
        <v>0</v>
      </c>
      <c r="BF725" s="56">
        <f>725</f>
      </c>
      <c r="BH725" s="56">
        <f>F725*AO725</f>
      </c>
      <c r="BI725" s="56">
        <f>F725*AP725</f>
      </c>
      <c r="BJ725" s="56">
        <f>F725*G725</f>
      </c>
      <c r="BK725" s="56"/>
      <c r="BL725" s="56" t="n">
        <v>771</v>
      </c>
      <c r="BW725" s="56" t="n">
        <v>21</v>
      </c>
      <c r="BX725" s="14" t="s">
        <v>1197</v>
      </c>
    </row>
    <row r="726">
      <c r="A726" s="74"/>
      <c r="B726" s="75"/>
      <c r="C726" s="76" t="s">
        <v>1185</v>
      </c>
      <c r="D726" s="77" t="s">
        <v>1186</v>
      </c>
      <c r="E726" s="75"/>
      <c r="F726" s="78" t="n">
        <v>13.04</v>
      </c>
      <c r="G726" s="75"/>
      <c r="H726" s="75"/>
      <c r="I726" s="75"/>
      <c r="J726" s="75"/>
      <c r="K726" s="79"/>
    </row>
    <row r="727">
      <c r="A727" s="51" t="s">
        <v>1198</v>
      </c>
      <c r="B727" s="52" t="s">
        <v>1199</v>
      </c>
      <c r="C727" s="53" t="s">
        <v>1200</v>
      </c>
      <c r="D727" s="52"/>
      <c r="E727" s="52" t="s">
        <v>130</v>
      </c>
      <c r="F727" s="54" t="n">
        <v>10.9981</v>
      </c>
      <c r="G727" s="54" t="n">
        <v>0</v>
      </c>
      <c r="H727" s="54">
        <f>F727*AO727</f>
      </c>
      <c r="I727" s="54">
        <f>F727*AP727</f>
      </c>
      <c r="J727" s="54">
        <f>F727*G727</f>
      </c>
      <c r="K727" s="55" t="s">
        <v>100</v>
      </c>
      <c r="Z727" s="56">
        <f>IF(AQ727="5",BJ727,0)</f>
      </c>
      <c r="AB727" s="56">
        <f>IF(AQ727="1",BH727,0)</f>
      </c>
      <c r="AC727" s="56">
        <f>IF(AQ727="1",BI727,0)</f>
      </c>
      <c r="AD727" s="56">
        <f>IF(AQ727="7",BH727,0)</f>
      </c>
      <c r="AE727" s="56">
        <f>IF(AQ727="7",BI727,0)</f>
      </c>
      <c r="AF727" s="56">
        <f>IF(AQ727="2",BH727,0)</f>
      </c>
      <c r="AG727" s="56">
        <f>IF(AQ727="2",BI727,0)</f>
      </c>
      <c r="AH727" s="56">
        <f>IF(AQ727="0",BJ727,0)</f>
      </c>
      <c r="AI727" s="28" t="s">
        <v>57</v>
      </c>
      <c r="AJ727" s="56">
        <f>IF(AN727=0,J727,0)</f>
      </c>
      <c r="AK727" s="56">
        <f>IF(AN727=12,J727,0)</f>
      </c>
      <c r="AL727" s="56">
        <f>IF(AN727=21,J727,0)</f>
      </c>
      <c r="AN727" s="56" t="n">
        <v>21</v>
      </c>
      <c r="AO727" s="56">
        <f>G727*0.999969314</f>
      </c>
      <c r="AP727" s="56">
        <f>G727*(1-0.999969314)</f>
      </c>
      <c r="AQ727" s="57" t="s">
        <v>85</v>
      </c>
      <c r="AV727" s="56">
        <f>AW727+AX727</f>
      </c>
      <c r="AW727" s="56">
        <f>F727*AO727</f>
      </c>
      <c r="AX727" s="56">
        <f>F727*AP727</f>
      </c>
      <c r="AY727" s="57" t="s">
        <v>1164</v>
      </c>
      <c r="AZ727" s="57" t="s">
        <v>1165</v>
      </c>
      <c r="BA727" s="28" t="s">
        <v>64</v>
      </c>
      <c r="BC727" s="56">
        <f>AW727+AX727</f>
      </c>
      <c r="BD727" s="56">
        <f>G727/(100-BE727)*100</f>
      </c>
      <c r="BE727" s="56" t="n">
        <v>0</v>
      </c>
      <c r="BF727" s="56">
        <f>727</f>
      </c>
      <c r="BH727" s="56">
        <f>F727*AO727</f>
      </c>
      <c r="BI727" s="56">
        <f>F727*AP727</f>
      </c>
      <c r="BJ727" s="56">
        <f>F727*G727</f>
      </c>
      <c r="BK727" s="56"/>
      <c r="BL727" s="56" t="n">
        <v>771</v>
      </c>
      <c r="BW727" s="56" t="n">
        <v>21</v>
      </c>
      <c r="BX727" s="14" t="s">
        <v>1200</v>
      </c>
    </row>
    <row r="728">
      <c r="A728" s="74"/>
      <c r="B728" s="75"/>
      <c r="C728" s="76" t="s">
        <v>1166</v>
      </c>
      <c r="D728" s="77" t="s">
        <v>1167</v>
      </c>
      <c r="E728" s="75"/>
      <c r="F728" s="78" t="n">
        <v>9.6941</v>
      </c>
      <c r="G728" s="75"/>
      <c r="H728" s="75"/>
      <c r="I728" s="75"/>
      <c r="J728" s="75"/>
      <c r="K728" s="79"/>
    </row>
    <row r="729">
      <c r="A729" s="74"/>
      <c r="B729" s="75"/>
      <c r="C729" s="76" t="s">
        <v>1201</v>
      </c>
      <c r="D729" s="77" t="s">
        <v>1186</v>
      </c>
      <c r="E729" s="75"/>
      <c r="F729" s="78" t="n">
        <v>1.304</v>
      </c>
      <c r="G729" s="75"/>
      <c r="H729" s="75"/>
      <c r="I729" s="75"/>
      <c r="J729" s="75"/>
      <c r="K729" s="79"/>
    </row>
    <row r="730">
      <c r="A730" s="51" t="s">
        <v>1202</v>
      </c>
      <c r="B730" s="52" t="s">
        <v>1203</v>
      </c>
      <c r="C730" s="53" t="s">
        <v>1204</v>
      </c>
      <c r="D730" s="52"/>
      <c r="E730" s="52" t="s">
        <v>393</v>
      </c>
      <c r="F730" s="54" t="n">
        <v>2</v>
      </c>
      <c r="G730" s="54" t="n">
        <v>0</v>
      </c>
      <c r="H730" s="54">
        <f>F730*AO730</f>
      </c>
      <c r="I730" s="54">
        <f>F730*AP730</f>
      </c>
      <c r="J730" s="54">
        <f>F730*G730</f>
      </c>
      <c r="K730" s="55" t="s">
        <v>100</v>
      </c>
      <c r="Z730" s="56">
        <f>IF(AQ730="5",BJ730,0)</f>
      </c>
      <c r="AB730" s="56">
        <f>IF(AQ730="1",BH730,0)</f>
      </c>
      <c r="AC730" s="56">
        <f>IF(AQ730="1",BI730,0)</f>
      </c>
      <c r="AD730" s="56">
        <f>IF(AQ730="7",BH730,0)</f>
      </c>
      <c r="AE730" s="56">
        <f>IF(AQ730="7",BI730,0)</f>
      </c>
      <c r="AF730" s="56">
        <f>IF(AQ730="2",BH730,0)</f>
      </c>
      <c r="AG730" s="56">
        <f>IF(AQ730="2",BI730,0)</f>
      </c>
      <c r="AH730" s="56">
        <f>IF(AQ730="0",BJ730,0)</f>
      </c>
      <c r="AI730" s="28" t="s">
        <v>57</v>
      </c>
      <c r="AJ730" s="56">
        <f>IF(AN730=0,J730,0)</f>
      </c>
      <c r="AK730" s="56">
        <f>IF(AN730=12,J730,0)</f>
      </c>
      <c r="AL730" s="56">
        <f>IF(AN730=21,J730,0)</f>
      </c>
      <c r="AN730" s="56" t="n">
        <v>21</v>
      </c>
      <c r="AO730" s="56">
        <f>G730*0</f>
      </c>
      <c r="AP730" s="56">
        <f>G730*(1-0)</f>
      </c>
      <c r="AQ730" s="57" t="s">
        <v>85</v>
      </c>
      <c r="AV730" s="56">
        <f>AW730+AX730</f>
      </c>
      <c r="AW730" s="56">
        <f>F730*AO730</f>
      </c>
      <c r="AX730" s="56">
        <f>F730*AP730</f>
      </c>
      <c r="AY730" s="57" t="s">
        <v>1164</v>
      </c>
      <c r="AZ730" s="57" t="s">
        <v>1165</v>
      </c>
      <c r="BA730" s="28" t="s">
        <v>64</v>
      </c>
      <c r="BC730" s="56">
        <f>AW730+AX730</f>
      </c>
      <c r="BD730" s="56">
        <f>G730/(100-BE730)*100</f>
      </c>
      <c r="BE730" s="56" t="n">
        <v>0</v>
      </c>
      <c r="BF730" s="56">
        <f>730</f>
      </c>
      <c r="BH730" s="56">
        <f>F730*AO730</f>
      </c>
      <c r="BI730" s="56">
        <f>F730*AP730</f>
      </c>
      <c r="BJ730" s="56">
        <f>F730*G730</f>
      </c>
      <c r="BK730" s="56"/>
      <c r="BL730" s="56" t="n">
        <v>771</v>
      </c>
      <c r="BW730" s="56" t="n">
        <v>21</v>
      </c>
      <c r="BX730" s="14" t="s">
        <v>1204</v>
      </c>
    </row>
    <row r="731">
      <c r="A731" s="74"/>
      <c r="B731" s="75"/>
      <c r="C731" s="76" t="s">
        <v>61</v>
      </c>
      <c r="D731" s="77" t="s">
        <v>53</v>
      </c>
      <c r="E731" s="75"/>
      <c r="F731" s="78" t="n">
        <v>2</v>
      </c>
      <c r="G731" s="75"/>
      <c r="H731" s="75"/>
      <c r="I731" s="75"/>
      <c r="J731" s="75"/>
      <c r="K731" s="79"/>
    </row>
    <row r="732">
      <c r="A732" s="58"/>
      <c r="B732" s="80" t="s">
        <v>108</v>
      </c>
      <c r="C732" s="59" t="s">
        <v>1205</v>
      </c>
      <c r="D732" s="60"/>
      <c r="E732" s="60"/>
      <c r="F732" s="60"/>
      <c r="G732" s="60"/>
      <c r="H732" s="60"/>
      <c r="I732" s="60"/>
      <c r="J732" s="60"/>
      <c r="K732" s="61"/>
      <c r="BX732" s="81" t="s">
        <v>1205</v>
      </c>
    </row>
    <row r="733">
      <c r="A733" s="87" t="s">
        <v>1206</v>
      </c>
      <c r="B733" s="88" t="s">
        <v>1207</v>
      </c>
      <c r="C733" s="89" t="s">
        <v>1208</v>
      </c>
      <c r="D733" s="88"/>
      <c r="E733" s="88" t="s">
        <v>180</v>
      </c>
      <c r="F733" s="90" t="n">
        <v>1</v>
      </c>
      <c r="G733" s="90" t="n">
        <v>0</v>
      </c>
      <c r="H733" s="90">
        <f>F733*AO733</f>
      </c>
      <c r="I733" s="90">
        <f>F733*AP733</f>
      </c>
      <c r="J733" s="90">
        <f>F733*G733</f>
      </c>
      <c r="K733" s="91" t="s">
        <v>100</v>
      </c>
      <c r="Z733" s="56">
        <f>IF(AQ733="5",BJ733,0)</f>
      </c>
      <c r="AB733" s="56">
        <f>IF(AQ733="1",BH733,0)</f>
      </c>
      <c r="AC733" s="56">
        <f>IF(AQ733="1",BI733,0)</f>
      </c>
      <c r="AD733" s="56">
        <f>IF(AQ733="7",BH733,0)</f>
      </c>
      <c r="AE733" s="56">
        <f>IF(AQ733="7",BI733,0)</f>
      </c>
      <c r="AF733" s="56">
        <f>IF(AQ733="2",BH733,0)</f>
      </c>
      <c r="AG733" s="56">
        <f>IF(AQ733="2",BI733,0)</f>
      </c>
      <c r="AH733" s="56">
        <f>IF(AQ733="0",BJ733,0)</f>
      </c>
      <c r="AI733" s="28" t="s">
        <v>57</v>
      </c>
      <c r="AJ733" s="92">
        <f>IF(AN733=0,J733,0)</f>
      </c>
      <c r="AK733" s="92">
        <f>IF(AN733=12,J733,0)</f>
      </c>
      <c r="AL733" s="92">
        <f>IF(AN733=21,J733,0)</f>
      </c>
      <c r="AN733" s="56" t="n">
        <v>21</v>
      </c>
      <c r="AO733" s="56">
        <f>G733*1</f>
      </c>
      <c r="AP733" s="56">
        <f>G733*(1-1)</f>
      </c>
      <c r="AQ733" s="93" t="s">
        <v>85</v>
      </c>
      <c r="AV733" s="56">
        <f>AW733+AX733</f>
      </c>
      <c r="AW733" s="56">
        <f>F733*AO733</f>
      </c>
      <c r="AX733" s="56">
        <f>F733*AP733</f>
      </c>
      <c r="AY733" s="57" t="s">
        <v>1164</v>
      </c>
      <c r="AZ733" s="57" t="s">
        <v>1165</v>
      </c>
      <c r="BA733" s="28" t="s">
        <v>64</v>
      </c>
      <c r="BC733" s="56">
        <f>AW733+AX733</f>
      </c>
      <c r="BD733" s="56">
        <f>G733/(100-BE733)*100</f>
      </c>
      <c r="BE733" s="56" t="n">
        <v>0</v>
      </c>
      <c r="BF733" s="56">
        <f>733</f>
      </c>
      <c r="BH733" s="92">
        <f>F733*AO733</f>
      </c>
      <c r="BI733" s="92">
        <f>F733*AP733</f>
      </c>
      <c r="BJ733" s="92">
        <f>F733*G733</f>
      </c>
      <c r="BK733" s="92"/>
      <c r="BL733" s="56" t="n">
        <v>771</v>
      </c>
      <c r="BW733" s="56" t="n">
        <v>21</v>
      </c>
      <c r="BX733" s="94" t="s">
        <v>1208</v>
      </c>
    </row>
    <row r="734">
      <c r="A734" s="74"/>
      <c r="B734" s="75"/>
      <c r="C734" s="76" t="s">
        <v>58</v>
      </c>
      <c r="D734" s="77" t="s">
        <v>53</v>
      </c>
      <c r="E734" s="75"/>
      <c r="F734" s="78" t="n">
        <v>1</v>
      </c>
      <c r="G734" s="75"/>
      <c r="H734" s="75"/>
      <c r="I734" s="75"/>
      <c r="J734" s="75"/>
      <c r="K734" s="79"/>
    </row>
    <row r="735">
      <c r="A735" s="58"/>
      <c r="B735" s="80" t="s">
        <v>108</v>
      </c>
      <c r="C735" s="59" t="s">
        <v>1209</v>
      </c>
      <c r="D735" s="60"/>
      <c r="E735" s="60"/>
      <c r="F735" s="60"/>
      <c r="G735" s="60"/>
      <c r="H735" s="60"/>
      <c r="I735" s="60"/>
      <c r="J735" s="60"/>
      <c r="K735" s="61"/>
      <c r="BX735" s="95" t="s">
        <v>1209</v>
      </c>
    </row>
    <row r="736">
      <c r="A736" s="82" t="s">
        <v>1210</v>
      </c>
      <c r="B736" s="83" t="s">
        <v>1211</v>
      </c>
      <c r="C736" s="84" t="s">
        <v>1212</v>
      </c>
      <c r="D736" s="83"/>
      <c r="E736" s="83" t="s">
        <v>242</v>
      </c>
      <c r="F736" s="85" t="n">
        <v>0.35267</v>
      </c>
      <c r="G736" s="85" t="n">
        <v>0</v>
      </c>
      <c r="H736" s="85">
        <f>F736*AO736</f>
      </c>
      <c r="I736" s="85">
        <f>F736*AP736</f>
      </c>
      <c r="J736" s="85">
        <f>F736*G736</f>
      </c>
      <c r="K736" s="86" t="s">
        <v>100</v>
      </c>
      <c r="Z736" s="56">
        <f>IF(AQ736="5",BJ736,0)</f>
      </c>
      <c r="AB736" s="56">
        <f>IF(AQ736="1",BH736,0)</f>
      </c>
      <c r="AC736" s="56">
        <f>IF(AQ736="1",BI736,0)</f>
      </c>
      <c r="AD736" s="56">
        <f>IF(AQ736="7",BH736,0)</f>
      </c>
      <c r="AE736" s="56">
        <f>IF(AQ736="7",BI736,0)</f>
      </c>
      <c r="AF736" s="56">
        <f>IF(AQ736="2",BH736,0)</f>
      </c>
      <c r="AG736" s="56">
        <f>IF(AQ736="2",BI736,0)</f>
      </c>
      <c r="AH736" s="56">
        <f>IF(AQ736="0",BJ736,0)</f>
      </c>
      <c r="AI736" s="28" t="s">
        <v>57</v>
      </c>
      <c r="AJ736" s="56">
        <f>IF(AN736=0,J736,0)</f>
      </c>
      <c r="AK736" s="56">
        <f>IF(AN736=12,J736,0)</f>
      </c>
      <c r="AL736" s="56">
        <f>IF(AN736=21,J736,0)</f>
      </c>
      <c r="AN736" s="56" t="n">
        <v>21</v>
      </c>
      <c r="AO736" s="56">
        <f>G736*0</f>
      </c>
      <c r="AP736" s="56">
        <f>G736*(1-0)</f>
      </c>
      <c r="AQ736" s="57" t="s">
        <v>79</v>
      </c>
      <c r="AV736" s="56">
        <f>AW736+AX736</f>
      </c>
      <c r="AW736" s="56">
        <f>F736*AO736</f>
      </c>
      <c r="AX736" s="56">
        <f>F736*AP736</f>
      </c>
      <c r="AY736" s="57" t="s">
        <v>1164</v>
      </c>
      <c r="AZ736" s="57" t="s">
        <v>1165</v>
      </c>
      <c r="BA736" s="28" t="s">
        <v>64</v>
      </c>
      <c r="BC736" s="56">
        <f>AW736+AX736</f>
      </c>
      <c r="BD736" s="56">
        <f>G736/(100-BE736)*100</f>
      </c>
      <c r="BE736" s="56" t="n">
        <v>0</v>
      </c>
      <c r="BF736" s="56">
        <f>736</f>
      </c>
      <c r="BH736" s="56">
        <f>F736*AO736</f>
      </c>
      <c r="BI736" s="56">
        <f>F736*AP736</f>
      </c>
      <c r="BJ736" s="56">
        <f>F736*G736</f>
      </c>
      <c r="BK736" s="56"/>
      <c r="BL736" s="56" t="n">
        <v>771</v>
      </c>
      <c r="BW736" s="56" t="n">
        <v>21</v>
      </c>
      <c r="BX736" s="14" t="s">
        <v>1212</v>
      </c>
    </row>
    <row r="737">
      <c r="A737" s="45" t="s">
        <v>53</v>
      </c>
      <c r="B737" s="46" t="s">
        <v>1213</v>
      </c>
      <c r="C737" s="47" t="s">
        <v>1214</v>
      </c>
      <c r="D737" s="46"/>
      <c r="E737" s="48" t="s">
        <v>34</v>
      </c>
      <c r="F737" s="48" t="s">
        <v>34</v>
      </c>
      <c r="G737" s="48" t="s">
        <v>34</v>
      </c>
      <c r="H737" s="49">
        <f>SUM(H738:H764)</f>
      </c>
      <c r="I737" s="49">
        <f>SUM(I738:I764)</f>
      </c>
      <c r="J737" s="49">
        <f>SUM(J738:J764)</f>
      </c>
      <c r="K737" s="50" t="s">
        <v>53</v>
      </c>
      <c r="AI737" s="28" t="s">
        <v>57</v>
      </c>
      <c r="AS737" s="2">
        <f>SUM(AJ738:AJ764)</f>
      </c>
      <c r="AT737" s="2">
        <f>SUM(AK738:AK764)</f>
      </c>
      <c r="AU737" s="2">
        <f>SUM(AL738:AL764)</f>
      </c>
    </row>
    <row r="738">
      <c r="A738" s="51" t="s">
        <v>1215</v>
      </c>
      <c r="B738" s="52" t="s">
        <v>1216</v>
      </c>
      <c r="C738" s="53" t="s">
        <v>1217</v>
      </c>
      <c r="D738" s="52"/>
      <c r="E738" s="52" t="s">
        <v>130</v>
      </c>
      <c r="F738" s="54" t="n">
        <v>301.1412</v>
      </c>
      <c r="G738" s="54" t="n">
        <v>0</v>
      </c>
      <c r="H738" s="54">
        <f>F738*AO738</f>
      </c>
      <c r="I738" s="54">
        <f>F738*AP738</f>
      </c>
      <c r="J738" s="54">
        <f>F738*G738</f>
      </c>
      <c r="K738" s="55" t="s">
        <v>100</v>
      </c>
      <c r="Z738" s="56">
        <f>IF(AQ738="5",BJ738,0)</f>
      </c>
      <c r="AB738" s="56">
        <f>IF(AQ738="1",BH738,0)</f>
      </c>
      <c r="AC738" s="56">
        <f>IF(AQ738="1",BI738,0)</f>
      </c>
      <c r="AD738" s="56">
        <f>IF(AQ738="7",BH738,0)</f>
      </c>
      <c r="AE738" s="56">
        <f>IF(AQ738="7",BI738,0)</f>
      </c>
      <c r="AF738" s="56">
        <f>IF(AQ738="2",BH738,0)</f>
      </c>
      <c r="AG738" s="56">
        <f>IF(AQ738="2",BI738,0)</f>
      </c>
      <c r="AH738" s="56">
        <f>IF(AQ738="0",BJ738,0)</f>
      </c>
      <c r="AI738" s="28" t="s">
        <v>57</v>
      </c>
      <c r="AJ738" s="56">
        <f>IF(AN738=0,J738,0)</f>
      </c>
      <c r="AK738" s="56">
        <f>IF(AN738=12,J738,0)</f>
      </c>
      <c r="AL738" s="56">
        <f>IF(AN738=21,J738,0)</f>
      </c>
      <c r="AN738" s="56" t="n">
        <v>21</v>
      </c>
      <c r="AO738" s="56">
        <f>G738*0</f>
      </c>
      <c r="AP738" s="56">
        <f>G738*(1-0)</f>
      </c>
      <c r="AQ738" s="57" t="s">
        <v>85</v>
      </c>
      <c r="AV738" s="56">
        <f>AW738+AX738</f>
      </c>
      <c r="AW738" s="56">
        <f>F738*AO738</f>
      </c>
      <c r="AX738" s="56">
        <f>F738*AP738</f>
      </c>
      <c r="AY738" s="57" t="s">
        <v>1218</v>
      </c>
      <c r="AZ738" s="57" t="s">
        <v>1165</v>
      </c>
      <c r="BA738" s="28" t="s">
        <v>64</v>
      </c>
      <c r="BC738" s="56">
        <f>AW738+AX738</f>
      </c>
      <c r="BD738" s="56">
        <f>G738/(100-BE738)*100</f>
      </c>
      <c r="BE738" s="56" t="n">
        <v>0</v>
      </c>
      <c r="BF738" s="56">
        <f>738</f>
      </c>
      <c r="BH738" s="56">
        <f>F738*AO738</f>
      </c>
      <c r="BI738" s="56">
        <f>F738*AP738</f>
      </c>
      <c r="BJ738" s="56">
        <f>F738*G738</f>
      </c>
      <c r="BK738" s="56"/>
      <c r="BL738" s="56" t="n">
        <v>776</v>
      </c>
      <c r="BW738" s="56" t="n">
        <v>21</v>
      </c>
      <c r="BX738" s="14" t="s">
        <v>1217</v>
      </c>
    </row>
    <row r="739">
      <c r="A739" s="74"/>
      <c r="B739" s="75"/>
      <c r="C739" s="76" t="s">
        <v>336</v>
      </c>
      <c r="D739" s="77" t="s">
        <v>1219</v>
      </c>
      <c r="E739" s="75"/>
      <c r="F739" s="78" t="n">
        <v>25.488</v>
      </c>
      <c r="G739" s="75"/>
      <c r="H739" s="75"/>
      <c r="I739" s="75"/>
      <c r="J739" s="75"/>
      <c r="K739" s="79"/>
    </row>
    <row r="740">
      <c r="A740" s="74"/>
      <c r="B740" s="75"/>
      <c r="C740" s="76" t="s">
        <v>1220</v>
      </c>
      <c r="D740" s="77" t="s">
        <v>1221</v>
      </c>
      <c r="E740" s="75"/>
      <c r="F740" s="78" t="n">
        <v>275.6532</v>
      </c>
      <c r="G740" s="75"/>
      <c r="H740" s="75"/>
      <c r="I740" s="75"/>
      <c r="J740" s="75"/>
      <c r="K740" s="79"/>
    </row>
    <row r="741">
      <c r="A741" s="58"/>
      <c r="B741" s="80" t="s">
        <v>108</v>
      </c>
      <c r="C741" s="59" t="s">
        <v>1222</v>
      </c>
      <c r="D741" s="60"/>
      <c r="E741" s="60"/>
      <c r="F741" s="60"/>
      <c r="G741" s="60"/>
      <c r="H741" s="60"/>
      <c r="I741" s="60"/>
      <c r="J741" s="60"/>
      <c r="K741" s="61"/>
      <c r="BX741" s="81" t="s">
        <v>1222</v>
      </c>
    </row>
    <row r="742">
      <c r="A742" s="87" t="s">
        <v>1223</v>
      </c>
      <c r="B742" s="88" t="s">
        <v>1224</v>
      </c>
      <c r="C742" s="89" t="s">
        <v>1225</v>
      </c>
      <c r="D742" s="88"/>
      <c r="E742" s="88" t="s">
        <v>303</v>
      </c>
      <c r="F742" s="90" t="n">
        <v>63.23965</v>
      </c>
      <c r="G742" s="90" t="n">
        <v>0</v>
      </c>
      <c r="H742" s="90">
        <f>F742*AO742</f>
      </c>
      <c r="I742" s="90">
        <f>F742*AP742</f>
      </c>
      <c r="J742" s="90">
        <f>F742*G742</f>
      </c>
      <c r="K742" s="91" t="s">
        <v>100</v>
      </c>
      <c r="Z742" s="56">
        <f>IF(AQ742="5",BJ742,0)</f>
      </c>
      <c r="AB742" s="56">
        <f>IF(AQ742="1",BH742,0)</f>
      </c>
      <c r="AC742" s="56">
        <f>IF(AQ742="1",BI742,0)</f>
      </c>
      <c r="AD742" s="56">
        <f>IF(AQ742="7",BH742,0)</f>
      </c>
      <c r="AE742" s="56">
        <f>IF(AQ742="7",BI742,0)</f>
      </c>
      <c r="AF742" s="56">
        <f>IF(AQ742="2",BH742,0)</f>
      </c>
      <c r="AG742" s="56">
        <f>IF(AQ742="2",BI742,0)</f>
      </c>
      <c r="AH742" s="56">
        <f>IF(AQ742="0",BJ742,0)</f>
      </c>
      <c r="AI742" s="28" t="s">
        <v>57</v>
      </c>
      <c r="AJ742" s="92">
        <f>IF(AN742=0,J742,0)</f>
      </c>
      <c r="AK742" s="92">
        <f>IF(AN742=12,J742,0)</f>
      </c>
      <c r="AL742" s="92">
        <f>IF(AN742=21,J742,0)</f>
      </c>
      <c r="AN742" s="56" t="n">
        <v>21</v>
      </c>
      <c r="AO742" s="56">
        <f>G742*1</f>
      </c>
      <c r="AP742" s="56">
        <f>G742*(1-1)</f>
      </c>
      <c r="AQ742" s="93" t="s">
        <v>85</v>
      </c>
      <c r="AV742" s="56">
        <f>AW742+AX742</f>
      </c>
      <c r="AW742" s="56">
        <f>F742*AO742</f>
      </c>
      <c r="AX742" s="56">
        <f>F742*AP742</f>
      </c>
      <c r="AY742" s="57" t="s">
        <v>1218</v>
      </c>
      <c r="AZ742" s="57" t="s">
        <v>1165</v>
      </c>
      <c r="BA742" s="28" t="s">
        <v>64</v>
      </c>
      <c r="BC742" s="56">
        <f>AW742+AX742</f>
      </c>
      <c r="BD742" s="56">
        <f>G742/(100-BE742)*100</f>
      </c>
      <c r="BE742" s="56" t="n">
        <v>0</v>
      </c>
      <c r="BF742" s="56">
        <f>742</f>
      </c>
      <c r="BH742" s="92">
        <f>F742*AO742</f>
      </c>
      <c r="BI742" s="92">
        <f>F742*AP742</f>
      </c>
      <c r="BJ742" s="92">
        <f>F742*G742</f>
      </c>
      <c r="BK742" s="92"/>
      <c r="BL742" s="56" t="n">
        <v>776</v>
      </c>
      <c r="BW742" s="56" t="n">
        <v>21</v>
      </c>
      <c r="BX742" s="94" t="s">
        <v>1225</v>
      </c>
    </row>
    <row r="743">
      <c r="A743" s="74"/>
      <c r="B743" s="75"/>
      <c r="C743" s="76" t="s">
        <v>1226</v>
      </c>
      <c r="D743" s="77" t="s">
        <v>1227</v>
      </c>
      <c r="E743" s="75"/>
      <c r="F743" s="78" t="n">
        <v>5.0976</v>
      </c>
      <c r="G743" s="75"/>
      <c r="H743" s="75"/>
      <c r="I743" s="75"/>
      <c r="J743" s="75"/>
      <c r="K743" s="79"/>
    </row>
    <row r="744">
      <c r="A744" s="74"/>
      <c r="B744" s="75"/>
      <c r="C744" s="76" t="s">
        <v>1228</v>
      </c>
      <c r="D744" s="77" t="s">
        <v>1221</v>
      </c>
      <c r="E744" s="75"/>
      <c r="F744" s="78" t="n">
        <v>55.13064</v>
      </c>
      <c r="G744" s="75"/>
      <c r="H744" s="75"/>
      <c r="I744" s="75"/>
      <c r="J744" s="75"/>
      <c r="K744" s="79"/>
    </row>
    <row r="745">
      <c r="A745" s="74"/>
      <c r="B745" s="75"/>
      <c r="C745" s="76" t="s">
        <v>1229</v>
      </c>
      <c r="D745" s="77" t="s">
        <v>53</v>
      </c>
      <c r="E745" s="75"/>
      <c r="F745" s="78" t="n">
        <v>3.01141</v>
      </c>
      <c r="G745" s="75"/>
      <c r="H745" s="75"/>
      <c r="I745" s="75"/>
      <c r="J745" s="75"/>
      <c r="K745" s="79"/>
    </row>
    <row r="746" ht="24.75">
      <c r="A746" s="58"/>
      <c r="B746" s="80" t="s">
        <v>108</v>
      </c>
      <c r="C746" s="59" t="s">
        <v>1230</v>
      </c>
      <c r="D746" s="60"/>
      <c r="E746" s="60"/>
      <c r="F746" s="60"/>
      <c r="G746" s="60"/>
      <c r="H746" s="60"/>
      <c r="I746" s="60"/>
      <c r="J746" s="60"/>
      <c r="K746" s="61"/>
      <c r="BX746" s="95" t="s">
        <v>1230</v>
      </c>
    </row>
    <row r="747">
      <c r="A747" s="82" t="s">
        <v>1231</v>
      </c>
      <c r="B747" s="83" t="s">
        <v>1232</v>
      </c>
      <c r="C747" s="84" t="s">
        <v>1233</v>
      </c>
      <c r="D747" s="83"/>
      <c r="E747" s="83" t="s">
        <v>130</v>
      </c>
      <c r="F747" s="85" t="n">
        <v>93.86</v>
      </c>
      <c r="G747" s="85" t="n">
        <v>0</v>
      </c>
      <c r="H747" s="85">
        <f>F747*AO747</f>
      </c>
      <c r="I747" s="85">
        <f>F747*AP747</f>
      </c>
      <c r="J747" s="85">
        <f>F747*G747</f>
      </c>
      <c r="K747" s="86" t="s">
        <v>100</v>
      </c>
      <c r="Z747" s="56">
        <f>IF(AQ747="5",BJ747,0)</f>
      </c>
      <c r="AB747" s="56">
        <f>IF(AQ747="1",BH747,0)</f>
      </c>
      <c r="AC747" s="56">
        <f>IF(AQ747="1",BI747,0)</f>
      </c>
      <c r="AD747" s="56">
        <f>IF(AQ747="7",BH747,0)</f>
      </c>
      <c r="AE747" s="56">
        <f>IF(AQ747="7",BI747,0)</f>
      </c>
      <c r="AF747" s="56">
        <f>IF(AQ747="2",BH747,0)</f>
      </c>
      <c r="AG747" s="56">
        <f>IF(AQ747="2",BI747,0)</f>
      </c>
      <c r="AH747" s="56">
        <f>IF(AQ747="0",BJ747,0)</f>
      </c>
      <c r="AI747" s="28" t="s">
        <v>57</v>
      </c>
      <c r="AJ747" s="56">
        <f>IF(AN747=0,J747,0)</f>
      </c>
      <c r="AK747" s="56">
        <f>IF(AN747=12,J747,0)</f>
      </c>
      <c r="AL747" s="56">
        <f>IF(AN747=21,J747,0)</f>
      </c>
      <c r="AN747" s="56" t="n">
        <v>21</v>
      </c>
      <c r="AO747" s="56">
        <f>G747*0.296604162</f>
      </c>
      <c r="AP747" s="56">
        <f>G747*(1-0.296604162)</f>
      </c>
      <c r="AQ747" s="57" t="s">
        <v>85</v>
      </c>
      <c r="AV747" s="56">
        <f>AW747+AX747</f>
      </c>
      <c r="AW747" s="56">
        <f>F747*AO747</f>
      </c>
      <c r="AX747" s="56">
        <f>F747*AP747</f>
      </c>
      <c r="AY747" s="57" t="s">
        <v>1218</v>
      </c>
      <c r="AZ747" s="57" t="s">
        <v>1165</v>
      </c>
      <c r="BA747" s="28" t="s">
        <v>64</v>
      </c>
      <c r="BC747" s="56">
        <f>AW747+AX747</f>
      </c>
      <c r="BD747" s="56">
        <f>G747/(100-BE747)*100</f>
      </c>
      <c r="BE747" s="56" t="n">
        <v>0</v>
      </c>
      <c r="BF747" s="56">
        <f>747</f>
      </c>
      <c r="BH747" s="56">
        <f>F747*AO747</f>
      </c>
      <c r="BI747" s="56">
        <f>F747*AP747</f>
      </c>
      <c r="BJ747" s="56">
        <f>F747*G747</f>
      </c>
      <c r="BK747" s="56"/>
      <c r="BL747" s="56" t="n">
        <v>776</v>
      </c>
      <c r="BW747" s="56" t="n">
        <v>21</v>
      </c>
      <c r="BX747" s="14" t="s">
        <v>1233</v>
      </c>
    </row>
    <row r="748" customHeight="true" ht="13.5">
      <c r="A748" s="58"/>
      <c r="C748" s="59" t="s">
        <v>1234</v>
      </c>
      <c r="D748" s="60"/>
      <c r="E748" s="60"/>
      <c r="F748" s="60"/>
      <c r="G748" s="60"/>
      <c r="H748" s="60"/>
      <c r="I748" s="60"/>
      <c r="J748" s="60"/>
      <c r="K748" s="61"/>
    </row>
    <row r="749">
      <c r="A749" s="68"/>
      <c r="B749" s="69"/>
      <c r="C749" s="70" t="s">
        <v>1235</v>
      </c>
      <c r="D749" s="71" t="s">
        <v>1236</v>
      </c>
      <c r="E749" s="69"/>
      <c r="F749" s="72" t="n">
        <v>93.86</v>
      </c>
      <c r="G749" s="69"/>
      <c r="H749" s="69"/>
      <c r="I749" s="69"/>
      <c r="J749" s="69"/>
      <c r="K749" s="73"/>
    </row>
    <row r="750">
      <c r="A750" s="96" t="s">
        <v>1237</v>
      </c>
      <c r="B750" s="97" t="s">
        <v>1238</v>
      </c>
      <c r="C750" s="98" t="s">
        <v>1239</v>
      </c>
      <c r="D750" s="97"/>
      <c r="E750" s="97" t="s">
        <v>130</v>
      </c>
      <c r="F750" s="99" t="n">
        <v>107.939</v>
      </c>
      <c r="G750" s="99" t="n">
        <v>0</v>
      </c>
      <c r="H750" s="99">
        <f>F750*AO750</f>
      </c>
      <c r="I750" s="99">
        <f>F750*AP750</f>
      </c>
      <c r="J750" s="99">
        <f>F750*G750</f>
      </c>
      <c r="K750" s="100" t="s">
        <v>100</v>
      </c>
      <c r="Z750" s="56">
        <f>IF(AQ750="5",BJ750,0)</f>
      </c>
      <c r="AB750" s="56">
        <f>IF(AQ750="1",BH750,0)</f>
      </c>
      <c r="AC750" s="56">
        <f>IF(AQ750="1",BI750,0)</f>
      </c>
      <c r="AD750" s="56">
        <f>IF(AQ750="7",BH750,0)</f>
      </c>
      <c r="AE750" s="56">
        <f>IF(AQ750="7",BI750,0)</f>
      </c>
      <c r="AF750" s="56">
        <f>IF(AQ750="2",BH750,0)</f>
      </c>
      <c r="AG750" s="56">
        <f>IF(AQ750="2",BI750,0)</f>
      </c>
      <c r="AH750" s="56">
        <f>IF(AQ750="0",BJ750,0)</f>
      </c>
      <c r="AI750" s="28" t="s">
        <v>57</v>
      </c>
      <c r="AJ750" s="92">
        <f>IF(AN750=0,J750,0)</f>
      </c>
      <c r="AK750" s="92">
        <f>IF(AN750=12,J750,0)</f>
      </c>
      <c r="AL750" s="92">
        <f>IF(AN750=21,J750,0)</f>
      </c>
      <c r="AN750" s="56" t="n">
        <v>21</v>
      </c>
      <c r="AO750" s="56">
        <f>G750*1</f>
      </c>
      <c r="AP750" s="56">
        <f>G750*(1-1)</f>
      </c>
      <c r="AQ750" s="93" t="s">
        <v>85</v>
      </c>
      <c r="AV750" s="56">
        <f>AW750+AX750</f>
      </c>
      <c r="AW750" s="56">
        <f>F750*AO750</f>
      </c>
      <c r="AX750" s="56">
        <f>F750*AP750</f>
      </c>
      <c r="AY750" s="57" t="s">
        <v>1218</v>
      </c>
      <c r="AZ750" s="57" t="s">
        <v>1165</v>
      </c>
      <c r="BA750" s="28" t="s">
        <v>64</v>
      </c>
      <c r="BC750" s="56">
        <f>AW750+AX750</f>
      </c>
      <c r="BD750" s="56">
        <f>G750/(100-BE750)*100</f>
      </c>
      <c r="BE750" s="56" t="n">
        <v>0</v>
      </c>
      <c r="BF750" s="56">
        <f>750</f>
      </c>
      <c r="BH750" s="92">
        <f>F750*AO750</f>
      </c>
      <c r="BI750" s="92">
        <f>F750*AP750</f>
      </c>
      <c r="BJ750" s="92">
        <f>F750*G750</f>
      </c>
      <c r="BK750" s="92"/>
      <c r="BL750" s="56" t="n">
        <v>776</v>
      </c>
      <c r="BW750" s="56" t="n">
        <v>21</v>
      </c>
      <c r="BX750" s="94" t="s">
        <v>1239</v>
      </c>
    </row>
    <row r="751">
      <c r="A751" s="74"/>
      <c r="B751" s="75"/>
      <c r="C751" s="76" t="s">
        <v>1240</v>
      </c>
      <c r="D751" s="77" t="s">
        <v>1236</v>
      </c>
      <c r="E751" s="75"/>
      <c r="F751" s="78" t="n">
        <v>93.86</v>
      </c>
      <c r="G751" s="75"/>
      <c r="H751" s="75"/>
      <c r="I751" s="75"/>
      <c r="J751" s="75"/>
      <c r="K751" s="79"/>
    </row>
    <row r="752">
      <c r="A752" s="74"/>
      <c r="B752" s="75"/>
      <c r="C752" s="76" t="s">
        <v>1241</v>
      </c>
      <c r="D752" s="77" t="s">
        <v>53</v>
      </c>
      <c r="E752" s="75"/>
      <c r="F752" s="78" t="n">
        <v>14.079</v>
      </c>
      <c r="G752" s="75"/>
      <c r="H752" s="75"/>
      <c r="I752" s="75"/>
      <c r="J752" s="75"/>
      <c r="K752" s="79"/>
    </row>
    <row r="753" ht="168.75">
      <c r="A753" s="58"/>
      <c r="B753" s="80" t="s">
        <v>108</v>
      </c>
      <c r="C753" s="59" t="s">
        <v>1242</v>
      </c>
      <c r="D753" s="60"/>
      <c r="E753" s="60"/>
      <c r="F753" s="60"/>
      <c r="G753" s="60"/>
      <c r="H753" s="60"/>
      <c r="I753" s="60"/>
      <c r="J753" s="60"/>
      <c r="K753" s="61"/>
      <c r="BX753" s="95" t="s">
        <v>1242</v>
      </c>
    </row>
    <row r="754">
      <c r="A754" s="82" t="s">
        <v>1243</v>
      </c>
      <c r="B754" s="83" t="s">
        <v>1244</v>
      </c>
      <c r="C754" s="84" t="s">
        <v>1245</v>
      </c>
      <c r="D754" s="83"/>
      <c r="E754" s="83" t="s">
        <v>393</v>
      </c>
      <c r="F754" s="85" t="n">
        <v>78.85</v>
      </c>
      <c r="G754" s="85" t="n">
        <v>0</v>
      </c>
      <c r="H754" s="85">
        <f>F754*AO754</f>
      </c>
      <c r="I754" s="85">
        <f>F754*AP754</f>
      </c>
      <c r="J754" s="85">
        <f>F754*G754</f>
      </c>
      <c r="K754" s="86" t="s">
        <v>100</v>
      </c>
      <c r="Z754" s="56">
        <f>IF(AQ754="5",BJ754,0)</f>
      </c>
      <c r="AB754" s="56">
        <f>IF(AQ754="1",BH754,0)</f>
      </c>
      <c r="AC754" s="56">
        <f>IF(AQ754="1",BI754,0)</f>
      </c>
      <c r="AD754" s="56">
        <f>IF(AQ754="7",BH754,0)</f>
      </c>
      <c r="AE754" s="56">
        <f>IF(AQ754="7",BI754,0)</f>
      </c>
      <c r="AF754" s="56">
        <f>IF(AQ754="2",BH754,0)</f>
      </c>
      <c r="AG754" s="56">
        <f>IF(AQ754="2",BI754,0)</f>
      </c>
      <c r="AH754" s="56">
        <f>IF(AQ754="0",BJ754,0)</f>
      </c>
      <c r="AI754" s="28" t="s">
        <v>57</v>
      </c>
      <c r="AJ754" s="56">
        <f>IF(AN754=0,J754,0)</f>
      </c>
      <c r="AK754" s="56">
        <f>IF(AN754=12,J754,0)</f>
      </c>
      <c r="AL754" s="56">
        <f>IF(AN754=21,J754,0)</f>
      </c>
      <c r="AN754" s="56" t="n">
        <v>21</v>
      </c>
      <c r="AO754" s="56">
        <f>G754*0.232772861</f>
      </c>
      <c r="AP754" s="56">
        <f>G754*(1-0.232772861)</f>
      </c>
      <c r="AQ754" s="57" t="s">
        <v>85</v>
      </c>
      <c r="AV754" s="56">
        <f>AW754+AX754</f>
      </c>
      <c r="AW754" s="56">
        <f>F754*AO754</f>
      </c>
      <c r="AX754" s="56">
        <f>F754*AP754</f>
      </c>
      <c r="AY754" s="57" t="s">
        <v>1218</v>
      </c>
      <c r="AZ754" s="57" t="s">
        <v>1165</v>
      </c>
      <c r="BA754" s="28" t="s">
        <v>64</v>
      </c>
      <c r="BC754" s="56">
        <f>AW754+AX754</f>
      </c>
      <c r="BD754" s="56">
        <f>G754/(100-BE754)*100</f>
      </c>
      <c r="BE754" s="56" t="n">
        <v>0</v>
      </c>
      <c r="BF754" s="56">
        <f>754</f>
      </c>
      <c r="BH754" s="56">
        <f>F754*AO754</f>
      </c>
      <c r="BI754" s="56">
        <f>F754*AP754</f>
      </c>
      <c r="BJ754" s="56">
        <f>F754*G754</f>
      </c>
      <c r="BK754" s="56"/>
      <c r="BL754" s="56" t="n">
        <v>776</v>
      </c>
      <c r="BW754" s="56" t="n">
        <v>21</v>
      </c>
      <c r="BX754" s="14" t="s">
        <v>1245</v>
      </c>
    </row>
    <row r="755">
      <c r="A755" s="74"/>
      <c r="B755" s="75"/>
      <c r="C755" s="76" t="s">
        <v>1246</v>
      </c>
      <c r="D755" s="77" t="s">
        <v>1236</v>
      </c>
      <c r="E755" s="75"/>
      <c r="F755" s="78" t="n">
        <v>82.95</v>
      </c>
      <c r="G755" s="75"/>
      <c r="H755" s="75"/>
      <c r="I755" s="75"/>
      <c r="J755" s="75"/>
      <c r="K755" s="79"/>
    </row>
    <row r="756">
      <c r="A756" s="74"/>
      <c r="B756" s="75"/>
      <c r="C756" s="76" t="s">
        <v>1247</v>
      </c>
      <c r="D756" s="77" t="s">
        <v>203</v>
      </c>
      <c r="E756" s="75"/>
      <c r="F756" s="78" t="n">
        <v>-4.1</v>
      </c>
      <c r="G756" s="75"/>
      <c r="H756" s="75"/>
      <c r="I756" s="75"/>
      <c r="J756" s="75"/>
      <c r="K756" s="79"/>
    </row>
    <row r="757">
      <c r="A757" s="58"/>
      <c r="B757" s="80" t="s">
        <v>108</v>
      </c>
      <c r="C757" s="59" t="s">
        <v>1248</v>
      </c>
      <c r="D757" s="60"/>
      <c r="E757" s="60"/>
      <c r="F757" s="60"/>
      <c r="G757" s="60"/>
      <c r="H757" s="60"/>
      <c r="I757" s="60"/>
      <c r="J757" s="60"/>
      <c r="K757" s="61"/>
      <c r="BX757" s="81" t="s">
        <v>1248</v>
      </c>
    </row>
    <row r="758">
      <c r="A758" s="87" t="s">
        <v>1249</v>
      </c>
      <c r="B758" s="88" t="s">
        <v>1250</v>
      </c>
      <c r="C758" s="89" t="s">
        <v>1251</v>
      </c>
      <c r="D758" s="88"/>
      <c r="E758" s="88" t="s">
        <v>393</v>
      </c>
      <c r="F758" s="90" t="n">
        <v>82.7925</v>
      </c>
      <c r="G758" s="90" t="n">
        <v>0</v>
      </c>
      <c r="H758" s="90">
        <f>F758*AO758</f>
      </c>
      <c r="I758" s="90">
        <f>F758*AP758</f>
      </c>
      <c r="J758" s="90">
        <f>F758*G758</f>
      </c>
      <c r="K758" s="91" t="s">
        <v>100</v>
      </c>
      <c r="Z758" s="56">
        <f>IF(AQ758="5",BJ758,0)</f>
      </c>
      <c r="AB758" s="56">
        <f>IF(AQ758="1",BH758,0)</f>
      </c>
      <c r="AC758" s="56">
        <f>IF(AQ758="1",BI758,0)</f>
      </c>
      <c r="AD758" s="56">
        <f>IF(AQ758="7",BH758,0)</f>
      </c>
      <c r="AE758" s="56">
        <f>IF(AQ758="7",BI758,0)</f>
      </c>
      <c r="AF758" s="56">
        <f>IF(AQ758="2",BH758,0)</f>
      </c>
      <c r="AG758" s="56">
        <f>IF(AQ758="2",BI758,0)</f>
      </c>
      <c r="AH758" s="56">
        <f>IF(AQ758="0",BJ758,0)</f>
      </c>
      <c r="AI758" s="28" t="s">
        <v>57</v>
      </c>
      <c r="AJ758" s="92">
        <f>IF(AN758=0,J758,0)</f>
      </c>
      <c r="AK758" s="92">
        <f>IF(AN758=12,J758,0)</f>
      </c>
      <c r="AL758" s="92">
        <f>IF(AN758=21,J758,0)</f>
      </c>
      <c r="AN758" s="56" t="n">
        <v>21</v>
      </c>
      <c r="AO758" s="56">
        <f>G758*1</f>
      </c>
      <c r="AP758" s="56">
        <f>G758*(1-1)</f>
      </c>
      <c r="AQ758" s="93" t="s">
        <v>85</v>
      </c>
      <c r="AV758" s="56">
        <f>AW758+AX758</f>
      </c>
      <c r="AW758" s="56">
        <f>F758*AO758</f>
      </c>
      <c r="AX758" s="56">
        <f>F758*AP758</f>
      </c>
      <c r="AY758" s="57" t="s">
        <v>1218</v>
      </c>
      <c r="AZ758" s="57" t="s">
        <v>1165</v>
      </c>
      <c r="BA758" s="28" t="s">
        <v>64</v>
      </c>
      <c r="BC758" s="56">
        <f>AW758+AX758</f>
      </c>
      <c r="BD758" s="56">
        <f>G758/(100-BE758)*100</f>
      </c>
      <c r="BE758" s="56" t="n">
        <v>0</v>
      </c>
      <c r="BF758" s="56">
        <f>758</f>
      </c>
      <c r="BH758" s="92">
        <f>F758*AO758</f>
      </c>
      <c r="BI758" s="92">
        <f>F758*AP758</f>
      </c>
      <c r="BJ758" s="92">
        <f>F758*G758</f>
      </c>
      <c r="BK758" s="92"/>
      <c r="BL758" s="56" t="n">
        <v>776</v>
      </c>
      <c r="BW758" s="56" t="n">
        <v>21</v>
      </c>
      <c r="BX758" s="94" t="s">
        <v>1251</v>
      </c>
    </row>
    <row r="759">
      <c r="A759" s="74"/>
      <c r="B759" s="75"/>
      <c r="C759" s="76" t="s">
        <v>1252</v>
      </c>
      <c r="D759" s="77" t="s">
        <v>53</v>
      </c>
      <c r="E759" s="75"/>
      <c r="F759" s="78" t="n">
        <v>78.85</v>
      </c>
      <c r="G759" s="75"/>
      <c r="H759" s="75"/>
      <c r="I759" s="75"/>
      <c r="J759" s="75"/>
      <c r="K759" s="79"/>
    </row>
    <row r="760">
      <c r="A760" s="74"/>
      <c r="B760" s="75"/>
      <c r="C760" s="76" t="s">
        <v>1253</v>
      </c>
      <c r="D760" s="77" t="s">
        <v>53</v>
      </c>
      <c r="E760" s="75"/>
      <c r="F760" s="78" t="n">
        <v>3.9425</v>
      </c>
      <c r="G760" s="75"/>
      <c r="H760" s="75"/>
      <c r="I760" s="75"/>
      <c r="J760" s="75"/>
      <c r="K760" s="79"/>
    </row>
    <row r="761">
      <c r="A761" s="58"/>
      <c r="B761" s="80" t="s">
        <v>108</v>
      </c>
      <c r="C761" s="59" t="s">
        <v>1254</v>
      </c>
      <c r="D761" s="60"/>
      <c r="E761" s="60"/>
      <c r="F761" s="60"/>
      <c r="G761" s="60"/>
      <c r="H761" s="60"/>
      <c r="I761" s="60"/>
      <c r="J761" s="60"/>
      <c r="K761" s="61"/>
      <c r="BX761" s="95" t="s">
        <v>1254</v>
      </c>
    </row>
    <row r="762">
      <c r="A762" s="82" t="s">
        <v>1255</v>
      </c>
      <c r="B762" s="83" t="s">
        <v>1256</v>
      </c>
      <c r="C762" s="84" t="s">
        <v>1257</v>
      </c>
      <c r="D762" s="83"/>
      <c r="E762" s="83" t="s">
        <v>130</v>
      </c>
      <c r="F762" s="85" t="n">
        <v>93.86</v>
      </c>
      <c r="G762" s="85" t="n">
        <v>0</v>
      </c>
      <c r="H762" s="85">
        <f>F762*AO762</f>
      </c>
      <c r="I762" s="85">
        <f>F762*AP762</f>
      </c>
      <c r="J762" s="85">
        <f>F762*G762</f>
      </c>
      <c r="K762" s="86" t="s">
        <v>100</v>
      </c>
      <c r="Z762" s="56">
        <f>IF(AQ762="5",BJ762,0)</f>
      </c>
      <c r="AB762" s="56">
        <f>IF(AQ762="1",BH762,0)</f>
      </c>
      <c r="AC762" s="56">
        <f>IF(AQ762="1",BI762,0)</f>
      </c>
      <c r="AD762" s="56">
        <f>IF(AQ762="7",BH762,0)</f>
      </c>
      <c r="AE762" s="56">
        <f>IF(AQ762="7",BI762,0)</f>
      </c>
      <c r="AF762" s="56">
        <f>IF(AQ762="2",BH762,0)</f>
      </c>
      <c r="AG762" s="56">
        <f>IF(AQ762="2",BI762,0)</f>
      </c>
      <c r="AH762" s="56">
        <f>IF(AQ762="0",BJ762,0)</f>
      </c>
      <c r="AI762" s="28" t="s">
        <v>57</v>
      </c>
      <c r="AJ762" s="56">
        <f>IF(AN762=0,J762,0)</f>
      </c>
      <c r="AK762" s="56">
        <f>IF(AN762=12,J762,0)</f>
      </c>
      <c r="AL762" s="56">
        <f>IF(AN762=21,J762,0)</f>
      </c>
      <c r="AN762" s="56" t="n">
        <v>21</v>
      </c>
      <c r="AO762" s="56">
        <f>G762*0.223223784</f>
      </c>
      <c r="AP762" s="56">
        <f>G762*(1-0.223223784)</f>
      </c>
      <c r="AQ762" s="57" t="s">
        <v>85</v>
      </c>
      <c r="AV762" s="56">
        <f>AW762+AX762</f>
      </c>
      <c r="AW762" s="56">
        <f>F762*AO762</f>
      </c>
      <c r="AX762" s="56">
        <f>F762*AP762</f>
      </c>
      <c r="AY762" s="57" t="s">
        <v>1218</v>
      </c>
      <c r="AZ762" s="57" t="s">
        <v>1165</v>
      </c>
      <c r="BA762" s="28" t="s">
        <v>64</v>
      </c>
      <c r="BC762" s="56">
        <f>AW762+AX762</f>
      </c>
      <c r="BD762" s="56">
        <f>G762/(100-BE762)*100</f>
      </c>
      <c r="BE762" s="56" t="n">
        <v>0</v>
      </c>
      <c r="BF762" s="56">
        <f>762</f>
      </c>
      <c r="BH762" s="56">
        <f>F762*AO762</f>
      </c>
      <c r="BI762" s="56">
        <f>F762*AP762</f>
      </c>
      <c r="BJ762" s="56">
        <f>F762*G762</f>
      </c>
      <c r="BK762" s="56"/>
      <c r="BL762" s="56" t="n">
        <v>776</v>
      </c>
      <c r="BW762" s="56" t="n">
        <v>21</v>
      </c>
      <c r="BX762" s="14" t="s">
        <v>1257</v>
      </c>
    </row>
    <row r="763">
      <c r="A763" s="74"/>
      <c r="B763" s="75"/>
      <c r="C763" s="76" t="s">
        <v>1240</v>
      </c>
      <c r="D763" s="77" t="s">
        <v>53</v>
      </c>
      <c r="E763" s="75"/>
      <c r="F763" s="78" t="n">
        <v>93.86</v>
      </c>
      <c r="G763" s="75"/>
      <c r="H763" s="75"/>
      <c r="I763" s="75"/>
      <c r="J763" s="75"/>
      <c r="K763" s="79"/>
    </row>
    <row r="764">
      <c r="A764" s="51" t="s">
        <v>1258</v>
      </c>
      <c r="B764" s="52" t="s">
        <v>1259</v>
      </c>
      <c r="C764" s="53" t="s">
        <v>1260</v>
      </c>
      <c r="D764" s="52"/>
      <c r="E764" s="52" t="s">
        <v>242</v>
      </c>
      <c r="F764" s="54" t="n">
        <v>0.39755</v>
      </c>
      <c r="G764" s="54" t="n">
        <v>0</v>
      </c>
      <c r="H764" s="54">
        <f>F764*AO764</f>
      </c>
      <c r="I764" s="54">
        <f>F764*AP764</f>
      </c>
      <c r="J764" s="54">
        <f>F764*G764</f>
      </c>
      <c r="K764" s="55" t="s">
        <v>100</v>
      </c>
      <c r="Z764" s="56">
        <f>IF(AQ764="5",BJ764,0)</f>
      </c>
      <c r="AB764" s="56">
        <f>IF(AQ764="1",BH764,0)</f>
      </c>
      <c r="AC764" s="56">
        <f>IF(AQ764="1",BI764,0)</f>
      </c>
      <c r="AD764" s="56">
        <f>IF(AQ764="7",BH764,0)</f>
      </c>
      <c r="AE764" s="56">
        <f>IF(AQ764="7",BI764,0)</f>
      </c>
      <c r="AF764" s="56">
        <f>IF(AQ764="2",BH764,0)</f>
      </c>
      <c r="AG764" s="56">
        <f>IF(AQ764="2",BI764,0)</f>
      </c>
      <c r="AH764" s="56">
        <f>IF(AQ764="0",BJ764,0)</f>
      </c>
      <c r="AI764" s="28" t="s">
        <v>57</v>
      </c>
      <c r="AJ764" s="56">
        <f>IF(AN764=0,J764,0)</f>
      </c>
      <c r="AK764" s="56">
        <f>IF(AN764=12,J764,0)</f>
      </c>
      <c r="AL764" s="56">
        <f>IF(AN764=21,J764,0)</f>
      </c>
      <c r="AN764" s="56" t="n">
        <v>21</v>
      </c>
      <c r="AO764" s="56">
        <f>G764*0</f>
      </c>
      <c r="AP764" s="56">
        <f>G764*(1-0)</f>
      </c>
      <c r="AQ764" s="57" t="s">
        <v>79</v>
      </c>
      <c r="AV764" s="56">
        <f>AW764+AX764</f>
      </c>
      <c r="AW764" s="56">
        <f>F764*AO764</f>
      </c>
      <c r="AX764" s="56">
        <f>F764*AP764</f>
      </c>
      <c r="AY764" s="57" t="s">
        <v>1218</v>
      </c>
      <c r="AZ764" s="57" t="s">
        <v>1165</v>
      </c>
      <c r="BA764" s="28" t="s">
        <v>64</v>
      </c>
      <c r="BC764" s="56">
        <f>AW764+AX764</f>
      </c>
      <c r="BD764" s="56">
        <f>G764/(100-BE764)*100</f>
      </c>
      <c r="BE764" s="56" t="n">
        <v>0</v>
      </c>
      <c r="BF764" s="56">
        <f>764</f>
      </c>
      <c r="BH764" s="56">
        <f>F764*AO764</f>
      </c>
      <c r="BI764" s="56">
        <f>F764*AP764</f>
      </c>
      <c r="BJ764" s="56">
        <f>F764*G764</f>
      </c>
      <c r="BK764" s="56"/>
      <c r="BL764" s="56" t="n">
        <v>776</v>
      </c>
      <c r="BW764" s="56" t="n">
        <v>21</v>
      </c>
      <c r="BX764" s="14" t="s">
        <v>1260</v>
      </c>
    </row>
    <row r="765">
      <c r="A765" s="45" t="s">
        <v>53</v>
      </c>
      <c r="B765" s="46" t="s">
        <v>1261</v>
      </c>
      <c r="C765" s="47" t="s">
        <v>1262</v>
      </c>
      <c r="D765" s="46"/>
      <c r="E765" s="48" t="s">
        <v>34</v>
      </c>
      <c r="F765" s="48" t="s">
        <v>34</v>
      </c>
      <c r="G765" s="48" t="s">
        <v>34</v>
      </c>
      <c r="H765" s="49">
        <f>SUM(H766:H798)</f>
      </c>
      <c r="I765" s="49">
        <f>SUM(I766:I798)</f>
      </c>
      <c r="J765" s="49">
        <f>SUM(J766:J798)</f>
      </c>
      <c r="K765" s="50" t="s">
        <v>53</v>
      </c>
      <c r="AI765" s="28" t="s">
        <v>57</v>
      </c>
      <c r="AS765" s="2">
        <f>SUM(AJ766:AJ798)</f>
      </c>
      <c r="AT765" s="2">
        <f>SUM(AK766:AK798)</f>
      </c>
      <c r="AU765" s="2">
        <f>SUM(AL766:AL798)</f>
      </c>
    </row>
    <row r="766">
      <c r="A766" s="51" t="s">
        <v>1263</v>
      </c>
      <c r="B766" s="52" t="s">
        <v>1264</v>
      </c>
      <c r="C766" s="53" t="s">
        <v>1265</v>
      </c>
      <c r="D766" s="52"/>
      <c r="E766" s="52" t="s">
        <v>130</v>
      </c>
      <c r="F766" s="54" t="n">
        <v>1.8</v>
      </c>
      <c r="G766" s="54" t="n">
        <v>0</v>
      </c>
      <c r="H766" s="54">
        <f>F766*AO766</f>
      </c>
      <c r="I766" s="54">
        <f>F766*AP766</f>
      </c>
      <c r="J766" s="54">
        <f>F766*G766</f>
      </c>
      <c r="K766" s="55" t="s">
        <v>100</v>
      </c>
      <c r="Z766" s="56">
        <f>IF(AQ766="5",BJ766,0)</f>
      </c>
      <c r="AB766" s="56">
        <f>IF(AQ766="1",BH766,0)</f>
      </c>
      <c r="AC766" s="56">
        <f>IF(AQ766="1",BI766,0)</f>
      </c>
      <c r="AD766" s="56">
        <f>IF(AQ766="7",BH766,0)</f>
      </c>
      <c r="AE766" s="56">
        <f>IF(AQ766="7",BI766,0)</f>
      </c>
      <c r="AF766" s="56">
        <f>IF(AQ766="2",BH766,0)</f>
      </c>
      <c r="AG766" s="56">
        <f>IF(AQ766="2",BI766,0)</f>
      </c>
      <c r="AH766" s="56">
        <f>IF(AQ766="0",BJ766,0)</f>
      </c>
      <c r="AI766" s="28" t="s">
        <v>57</v>
      </c>
      <c r="AJ766" s="56">
        <f>IF(AN766=0,J766,0)</f>
      </c>
      <c r="AK766" s="56">
        <f>IF(AN766=12,J766,0)</f>
      </c>
      <c r="AL766" s="56">
        <f>IF(AN766=21,J766,0)</f>
      </c>
      <c r="AN766" s="56" t="n">
        <v>21</v>
      </c>
      <c r="AO766" s="56">
        <f>G766*0.170487062</f>
      </c>
      <c r="AP766" s="56">
        <f>G766*(1-0.170487062)</f>
      </c>
      <c r="AQ766" s="57" t="s">
        <v>85</v>
      </c>
      <c r="AV766" s="56">
        <f>AW766+AX766</f>
      </c>
      <c r="AW766" s="56">
        <f>F766*AO766</f>
      </c>
      <c r="AX766" s="56">
        <f>F766*AP766</f>
      </c>
      <c r="AY766" s="57" t="s">
        <v>1266</v>
      </c>
      <c r="AZ766" s="57" t="s">
        <v>1267</v>
      </c>
      <c r="BA766" s="28" t="s">
        <v>64</v>
      </c>
      <c r="BC766" s="56">
        <f>AW766+AX766</f>
      </c>
      <c r="BD766" s="56">
        <f>G766/(100-BE766)*100</f>
      </c>
      <c r="BE766" s="56" t="n">
        <v>0</v>
      </c>
      <c r="BF766" s="56">
        <f>766</f>
      </c>
      <c r="BH766" s="56">
        <f>F766*AO766</f>
      </c>
      <c r="BI766" s="56">
        <f>F766*AP766</f>
      </c>
      <c r="BJ766" s="56">
        <f>F766*G766</f>
      </c>
      <c r="BK766" s="56"/>
      <c r="BL766" s="56" t="n">
        <v>781</v>
      </c>
      <c r="BW766" s="56" t="n">
        <v>21</v>
      </c>
      <c r="BX766" s="14" t="s">
        <v>1265</v>
      </c>
    </row>
    <row r="767" customHeight="true" ht="13.5">
      <c r="A767" s="58"/>
      <c r="C767" s="59" t="s">
        <v>1268</v>
      </c>
      <c r="D767" s="60"/>
      <c r="E767" s="60"/>
      <c r="F767" s="60"/>
      <c r="G767" s="60"/>
      <c r="H767" s="60"/>
      <c r="I767" s="60"/>
      <c r="J767" s="60"/>
      <c r="K767" s="61"/>
    </row>
    <row r="768">
      <c r="A768" s="68"/>
      <c r="B768" s="69"/>
      <c r="C768" s="70" t="s">
        <v>228</v>
      </c>
      <c r="D768" s="71" t="s">
        <v>1269</v>
      </c>
      <c r="E768" s="69"/>
      <c r="F768" s="72" t="n">
        <v>1.8</v>
      </c>
      <c r="G768" s="69"/>
      <c r="H768" s="69"/>
      <c r="I768" s="69"/>
      <c r="J768" s="69"/>
      <c r="K768" s="73"/>
    </row>
    <row r="769">
      <c r="A769" s="58"/>
      <c r="B769" s="80" t="s">
        <v>108</v>
      </c>
      <c r="C769" s="59" t="s">
        <v>1270</v>
      </c>
      <c r="D769" s="60"/>
      <c r="E769" s="60"/>
      <c r="F769" s="60"/>
      <c r="G769" s="60"/>
      <c r="H769" s="60"/>
      <c r="I769" s="60"/>
      <c r="J769" s="60"/>
      <c r="K769" s="61"/>
      <c r="BX769" s="81" t="s">
        <v>1270</v>
      </c>
    </row>
    <row r="770">
      <c r="A770" s="87" t="s">
        <v>1271</v>
      </c>
      <c r="B770" s="88" t="s">
        <v>1272</v>
      </c>
      <c r="C770" s="89" t="s">
        <v>1273</v>
      </c>
      <c r="D770" s="88"/>
      <c r="E770" s="88" t="s">
        <v>130</v>
      </c>
      <c r="F770" s="90" t="n">
        <v>1.98</v>
      </c>
      <c r="G770" s="90" t="n">
        <v>0</v>
      </c>
      <c r="H770" s="90">
        <f>F770*AO770</f>
      </c>
      <c r="I770" s="90">
        <f>F770*AP770</f>
      </c>
      <c r="J770" s="90">
        <f>F770*G770</f>
      </c>
      <c r="K770" s="91" t="s">
        <v>100</v>
      </c>
      <c r="Z770" s="56">
        <f>IF(AQ770="5",BJ770,0)</f>
      </c>
      <c r="AB770" s="56">
        <f>IF(AQ770="1",BH770,0)</f>
      </c>
      <c r="AC770" s="56">
        <f>IF(AQ770="1",BI770,0)</f>
      </c>
      <c r="AD770" s="56">
        <f>IF(AQ770="7",BH770,0)</f>
      </c>
      <c r="AE770" s="56">
        <f>IF(AQ770="7",BI770,0)</f>
      </c>
      <c r="AF770" s="56">
        <f>IF(AQ770="2",BH770,0)</f>
      </c>
      <c r="AG770" s="56">
        <f>IF(AQ770="2",BI770,0)</f>
      </c>
      <c r="AH770" s="56">
        <f>IF(AQ770="0",BJ770,0)</f>
      </c>
      <c r="AI770" s="28" t="s">
        <v>57</v>
      </c>
      <c r="AJ770" s="92">
        <f>IF(AN770=0,J770,0)</f>
      </c>
      <c r="AK770" s="92">
        <f>IF(AN770=12,J770,0)</f>
      </c>
      <c r="AL770" s="92">
        <f>IF(AN770=21,J770,0)</f>
      </c>
      <c r="AN770" s="56" t="n">
        <v>21</v>
      </c>
      <c r="AO770" s="56">
        <f>G770*1</f>
      </c>
      <c r="AP770" s="56">
        <f>G770*(1-1)</f>
      </c>
      <c r="AQ770" s="93" t="s">
        <v>85</v>
      </c>
      <c r="AV770" s="56">
        <f>AW770+AX770</f>
      </c>
      <c r="AW770" s="56">
        <f>F770*AO770</f>
      </c>
      <c r="AX770" s="56">
        <f>F770*AP770</f>
      </c>
      <c r="AY770" s="57" t="s">
        <v>1266</v>
      </c>
      <c r="AZ770" s="57" t="s">
        <v>1267</v>
      </c>
      <c r="BA770" s="28" t="s">
        <v>64</v>
      </c>
      <c r="BC770" s="56">
        <f>AW770+AX770</f>
      </c>
      <c r="BD770" s="56">
        <f>G770/(100-BE770)*100</f>
      </c>
      <c r="BE770" s="56" t="n">
        <v>0</v>
      </c>
      <c r="BF770" s="56">
        <f>770</f>
      </c>
      <c r="BH770" s="92">
        <f>F770*AO770</f>
      </c>
      <c r="BI770" s="92">
        <f>F770*AP770</f>
      </c>
      <c r="BJ770" s="92">
        <f>F770*G770</f>
      </c>
      <c r="BK770" s="92"/>
      <c r="BL770" s="56" t="n">
        <v>781</v>
      </c>
      <c r="BW770" s="56" t="n">
        <v>21</v>
      </c>
      <c r="BX770" s="94" t="s">
        <v>1273</v>
      </c>
    </row>
    <row r="771">
      <c r="A771" s="74"/>
      <c r="B771" s="75"/>
      <c r="C771" s="76" t="s">
        <v>1274</v>
      </c>
      <c r="D771" s="77" t="s">
        <v>53</v>
      </c>
      <c r="E771" s="75"/>
      <c r="F771" s="78" t="n">
        <v>1.8</v>
      </c>
      <c r="G771" s="75"/>
      <c r="H771" s="75"/>
      <c r="I771" s="75"/>
      <c r="J771" s="75"/>
      <c r="K771" s="79"/>
    </row>
    <row r="772">
      <c r="A772" s="74"/>
      <c r="B772" s="75"/>
      <c r="C772" s="76" t="s">
        <v>1275</v>
      </c>
      <c r="D772" s="77" t="s">
        <v>53</v>
      </c>
      <c r="E772" s="75"/>
      <c r="F772" s="78" t="n">
        <v>0.18</v>
      </c>
      <c r="G772" s="75"/>
      <c r="H772" s="75"/>
      <c r="I772" s="75"/>
      <c r="J772" s="75"/>
      <c r="K772" s="79"/>
    </row>
    <row r="773">
      <c r="A773" s="58"/>
      <c r="B773" s="80" t="s">
        <v>108</v>
      </c>
      <c r="C773" s="59" t="s">
        <v>1276</v>
      </c>
      <c r="D773" s="60"/>
      <c r="E773" s="60"/>
      <c r="F773" s="60"/>
      <c r="G773" s="60"/>
      <c r="H773" s="60"/>
      <c r="I773" s="60"/>
      <c r="J773" s="60"/>
      <c r="K773" s="61"/>
      <c r="BX773" s="95" t="s">
        <v>1276</v>
      </c>
    </row>
    <row r="774">
      <c r="A774" s="82" t="s">
        <v>1277</v>
      </c>
      <c r="B774" s="83" t="s">
        <v>1278</v>
      </c>
      <c r="C774" s="84" t="s">
        <v>1279</v>
      </c>
      <c r="D774" s="83"/>
      <c r="E774" s="83" t="s">
        <v>130</v>
      </c>
      <c r="F774" s="85" t="n">
        <v>2.25</v>
      </c>
      <c r="G774" s="85" t="n">
        <v>0</v>
      </c>
      <c r="H774" s="85">
        <f>F774*AO774</f>
      </c>
      <c r="I774" s="85">
        <f>F774*AP774</f>
      </c>
      <c r="J774" s="85">
        <f>F774*G774</f>
      </c>
      <c r="K774" s="86" t="s">
        <v>100</v>
      </c>
      <c r="Z774" s="56">
        <f>IF(AQ774="5",BJ774,0)</f>
      </c>
      <c r="AB774" s="56">
        <f>IF(AQ774="1",BH774,0)</f>
      </c>
      <c r="AC774" s="56">
        <f>IF(AQ774="1",BI774,0)</f>
      </c>
      <c r="AD774" s="56">
        <f>IF(AQ774="7",BH774,0)</f>
      </c>
      <c r="AE774" s="56">
        <f>IF(AQ774="7",BI774,0)</f>
      </c>
      <c r="AF774" s="56">
        <f>IF(AQ774="2",BH774,0)</f>
      </c>
      <c r="AG774" s="56">
        <f>IF(AQ774="2",BI774,0)</f>
      </c>
      <c r="AH774" s="56">
        <f>IF(AQ774="0",BJ774,0)</f>
      </c>
      <c r="AI774" s="28" t="s">
        <v>57</v>
      </c>
      <c r="AJ774" s="56">
        <f>IF(AN774=0,J774,0)</f>
      </c>
      <c r="AK774" s="56">
        <f>IF(AN774=12,J774,0)</f>
      </c>
      <c r="AL774" s="56">
        <f>IF(AN774=21,J774,0)</f>
      </c>
      <c r="AN774" s="56" t="n">
        <v>21</v>
      </c>
      <c r="AO774" s="56">
        <f>G774*1.000261506</f>
      </c>
      <c r="AP774" s="56">
        <f>G774*(1-1.000261506)</f>
      </c>
      <c r="AQ774" s="57" t="s">
        <v>85</v>
      </c>
      <c r="AV774" s="56">
        <f>AW774+AX774</f>
      </c>
      <c r="AW774" s="56">
        <f>F774*AO774</f>
      </c>
      <c r="AX774" s="56">
        <f>F774*AP774</f>
      </c>
      <c r="AY774" s="57" t="s">
        <v>1266</v>
      </c>
      <c r="AZ774" s="57" t="s">
        <v>1267</v>
      </c>
      <c r="BA774" s="28" t="s">
        <v>64</v>
      </c>
      <c r="BC774" s="56">
        <f>AW774+AX774</f>
      </c>
      <c r="BD774" s="56">
        <f>G774/(100-BE774)*100</f>
      </c>
      <c r="BE774" s="56" t="n">
        <v>0</v>
      </c>
      <c r="BF774" s="56">
        <f>774</f>
      </c>
      <c r="BH774" s="56">
        <f>F774*AO774</f>
      </c>
      <c r="BI774" s="56">
        <f>F774*AP774</f>
      </c>
      <c r="BJ774" s="56">
        <f>F774*G774</f>
      </c>
      <c r="BK774" s="56"/>
      <c r="BL774" s="56" t="n">
        <v>781</v>
      </c>
      <c r="BW774" s="56" t="n">
        <v>21</v>
      </c>
      <c r="BX774" s="14" t="s">
        <v>1279</v>
      </c>
    </row>
    <row r="775">
      <c r="A775" s="74"/>
      <c r="B775" s="75"/>
      <c r="C775" s="76" t="s">
        <v>1280</v>
      </c>
      <c r="D775" s="77" t="s">
        <v>53</v>
      </c>
      <c r="E775" s="75"/>
      <c r="F775" s="78" t="n">
        <v>2.25</v>
      </c>
      <c r="G775" s="75"/>
      <c r="H775" s="75"/>
      <c r="I775" s="75"/>
      <c r="J775" s="75"/>
      <c r="K775" s="79"/>
    </row>
    <row r="776">
      <c r="A776" s="51" t="s">
        <v>1281</v>
      </c>
      <c r="B776" s="52" t="s">
        <v>1282</v>
      </c>
      <c r="C776" s="53" t="s">
        <v>1283</v>
      </c>
      <c r="D776" s="52"/>
      <c r="E776" s="52" t="s">
        <v>393</v>
      </c>
      <c r="F776" s="54" t="n">
        <v>4.2</v>
      </c>
      <c r="G776" s="54" t="n">
        <v>0</v>
      </c>
      <c r="H776" s="54">
        <f>F776*AO776</f>
      </c>
      <c r="I776" s="54">
        <f>F776*AP776</f>
      </c>
      <c r="J776" s="54">
        <f>F776*G776</f>
      </c>
      <c r="K776" s="55" t="s">
        <v>100</v>
      </c>
      <c r="Z776" s="56">
        <f>IF(AQ776="5",BJ776,0)</f>
      </c>
      <c r="AB776" s="56">
        <f>IF(AQ776="1",BH776,0)</f>
      </c>
      <c r="AC776" s="56">
        <f>IF(AQ776="1",BI776,0)</f>
      </c>
      <c r="AD776" s="56">
        <f>IF(AQ776="7",BH776,0)</f>
      </c>
      <c r="AE776" s="56">
        <f>IF(AQ776="7",BI776,0)</f>
      </c>
      <c r="AF776" s="56">
        <f>IF(AQ776="2",BH776,0)</f>
      </c>
      <c r="AG776" s="56">
        <f>IF(AQ776="2",BI776,0)</f>
      </c>
      <c r="AH776" s="56">
        <f>IF(AQ776="0",BJ776,0)</f>
      </c>
      <c r="AI776" s="28" t="s">
        <v>57</v>
      </c>
      <c r="AJ776" s="56">
        <f>IF(AN776=0,J776,0)</f>
      </c>
      <c r="AK776" s="56">
        <f>IF(AN776=12,J776,0)</f>
      </c>
      <c r="AL776" s="56">
        <f>IF(AN776=21,J776,0)</f>
      </c>
      <c r="AN776" s="56" t="n">
        <v>21</v>
      </c>
      <c r="AO776" s="56">
        <f>G776*0.778003565</f>
      </c>
      <c r="AP776" s="56">
        <f>G776*(1-0.778003565)</f>
      </c>
      <c r="AQ776" s="57" t="s">
        <v>85</v>
      </c>
      <c r="AV776" s="56">
        <f>AW776+AX776</f>
      </c>
      <c r="AW776" s="56">
        <f>F776*AO776</f>
      </c>
      <c r="AX776" s="56">
        <f>F776*AP776</f>
      </c>
      <c r="AY776" s="57" t="s">
        <v>1266</v>
      </c>
      <c r="AZ776" s="57" t="s">
        <v>1267</v>
      </c>
      <c r="BA776" s="28" t="s">
        <v>64</v>
      </c>
      <c r="BC776" s="56">
        <f>AW776+AX776</f>
      </c>
      <c r="BD776" s="56">
        <f>G776/(100-BE776)*100</f>
      </c>
      <c r="BE776" s="56" t="n">
        <v>0</v>
      </c>
      <c r="BF776" s="56">
        <f>776</f>
      </c>
      <c r="BH776" s="56">
        <f>F776*AO776</f>
      </c>
      <c r="BI776" s="56">
        <f>F776*AP776</f>
      </c>
      <c r="BJ776" s="56">
        <f>F776*G776</f>
      </c>
      <c r="BK776" s="56"/>
      <c r="BL776" s="56" t="n">
        <v>781</v>
      </c>
      <c r="BW776" s="56" t="n">
        <v>21</v>
      </c>
      <c r="BX776" s="14" t="s">
        <v>1283</v>
      </c>
    </row>
    <row r="777" customHeight="true" ht="13.5">
      <c r="A777" s="58"/>
      <c r="C777" s="59" t="s">
        <v>1284</v>
      </c>
      <c r="D777" s="60"/>
      <c r="E777" s="60"/>
      <c r="F777" s="60"/>
      <c r="G777" s="60"/>
      <c r="H777" s="60"/>
      <c r="I777" s="60"/>
      <c r="J777" s="60"/>
      <c r="K777" s="61"/>
    </row>
    <row r="778">
      <c r="A778" s="68"/>
      <c r="B778" s="69"/>
      <c r="C778" s="70" t="s">
        <v>1285</v>
      </c>
      <c r="D778" s="71" t="s">
        <v>53</v>
      </c>
      <c r="E778" s="69"/>
      <c r="F778" s="72" t="n">
        <v>4.2</v>
      </c>
      <c r="G778" s="69"/>
      <c r="H778" s="69"/>
      <c r="I778" s="69"/>
      <c r="J778" s="69"/>
      <c r="K778" s="73"/>
    </row>
    <row r="779">
      <c r="A779" s="58"/>
      <c r="B779" s="80" t="s">
        <v>108</v>
      </c>
      <c r="C779" s="59" t="s">
        <v>1286</v>
      </c>
      <c r="D779" s="60"/>
      <c r="E779" s="60"/>
      <c r="F779" s="60"/>
      <c r="G779" s="60"/>
      <c r="H779" s="60"/>
      <c r="I779" s="60"/>
      <c r="J779" s="60"/>
      <c r="K779" s="61"/>
      <c r="BX779" s="81" t="s">
        <v>1286</v>
      </c>
    </row>
    <row r="780">
      <c r="A780" s="82" t="s">
        <v>1287</v>
      </c>
      <c r="B780" s="83" t="s">
        <v>1288</v>
      </c>
      <c r="C780" s="84" t="s">
        <v>1289</v>
      </c>
      <c r="D780" s="83"/>
      <c r="E780" s="83" t="s">
        <v>180</v>
      </c>
      <c r="F780" s="85" t="n">
        <v>2</v>
      </c>
      <c r="G780" s="85" t="n">
        <v>0</v>
      </c>
      <c r="H780" s="85">
        <f>F780*AO780</f>
      </c>
      <c r="I780" s="85">
        <f>F780*AP780</f>
      </c>
      <c r="J780" s="85">
        <f>F780*G780</f>
      </c>
      <c r="K780" s="86" t="s">
        <v>100</v>
      </c>
      <c r="Z780" s="56">
        <f>IF(AQ780="5",BJ780,0)</f>
      </c>
      <c r="AB780" s="56">
        <f>IF(AQ780="1",BH780,0)</f>
      </c>
      <c r="AC780" s="56">
        <f>IF(AQ780="1",BI780,0)</f>
      </c>
      <c r="AD780" s="56">
        <f>IF(AQ780="7",BH780,0)</f>
      </c>
      <c r="AE780" s="56">
        <f>IF(AQ780="7",BI780,0)</f>
      </c>
      <c r="AF780" s="56">
        <f>IF(AQ780="2",BH780,0)</f>
      </c>
      <c r="AG780" s="56">
        <f>IF(AQ780="2",BI780,0)</f>
      </c>
      <c r="AH780" s="56">
        <f>IF(AQ780="0",BJ780,0)</f>
      </c>
      <c r="AI780" s="28" t="s">
        <v>57</v>
      </c>
      <c r="AJ780" s="56">
        <f>IF(AN780=0,J780,0)</f>
      </c>
      <c r="AK780" s="56">
        <f>IF(AN780=12,J780,0)</f>
      </c>
      <c r="AL780" s="56">
        <f>IF(AN780=21,J780,0)</f>
      </c>
      <c r="AN780" s="56" t="n">
        <v>21</v>
      </c>
      <c r="AO780" s="56">
        <f>G780*0.019092628</f>
      </c>
      <c r="AP780" s="56">
        <f>G780*(1-0.019092628)</f>
      </c>
      <c r="AQ780" s="57" t="s">
        <v>85</v>
      </c>
      <c r="AV780" s="56">
        <f>AW780+AX780</f>
      </c>
      <c r="AW780" s="56">
        <f>F780*AO780</f>
      </c>
      <c r="AX780" s="56">
        <f>F780*AP780</f>
      </c>
      <c r="AY780" s="57" t="s">
        <v>1266</v>
      </c>
      <c r="AZ780" s="57" t="s">
        <v>1267</v>
      </c>
      <c r="BA780" s="28" t="s">
        <v>64</v>
      </c>
      <c r="BC780" s="56">
        <f>AW780+AX780</f>
      </c>
      <c r="BD780" s="56">
        <f>G780/(100-BE780)*100</f>
      </c>
      <c r="BE780" s="56" t="n">
        <v>0</v>
      </c>
      <c r="BF780" s="56">
        <f>780</f>
      </c>
      <c r="BH780" s="56">
        <f>F780*AO780</f>
      </c>
      <c r="BI780" s="56">
        <f>F780*AP780</f>
      </c>
      <c r="BJ780" s="56">
        <f>F780*G780</f>
      </c>
      <c r="BK780" s="56"/>
      <c r="BL780" s="56" t="n">
        <v>781</v>
      </c>
      <c r="BW780" s="56" t="n">
        <v>21</v>
      </c>
      <c r="BX780" s="14" t="s">
        <v>1289</v>
      </c>
    </row>
    <row r="781">
      <c r="A781" s="74"/>
      <c r="B781" s="75"/>
      <c r="C781" s="76" t="s">
        <v>61</v>
      </c>
      <c r="D781" s="77" t="s">
        <v>53</v>
      </c>
      <c r="E781" s="75"/>
      <c r="F781" s="78" t="n">
        <v>2</v>
      </c>
      <c r="G781" s="75"/>
      <c r="H781" s="75"/>
      <c r="I781" s="75"/>
      <c r="J781" s="75"/>
      <c r="K781" s="79"/>
    </row>
    <row r="782">
      <c r="A782" s="51" t="s">
        <v>1290</v>
      </c>
      <c r="B782" s="52" t="s">
        <v>1291</v>
      </c>
      <c r="C782" s="53" t="s">
        <v>1292</v>
      </c>
      <c r="D782" s="52"/>
      <c r="E782" s="52" t="s">
        <v>180</v>
      </c>
      <c r="F782" s="54" t="n">
        <v>1</v>
      </c>
      <c r="G782" s="54" t="n">
        <v>0</v>
      </c>
      <c r="H782" s="54">
        <f>F782*AO782</f>
      </c>
      <c r="I782" s="54">
        <f>F782*AP782</f>
      </c>
      <c r="J782" s="54">
        <f>F782*G782</f>
      </c>
      <c r="K782" s="55" t="s">
        <v>100</v>
      </c>
      <c r="Z782" s="56">
        <f>IF(AQ782="5",BJ782,0)</f>
      </c>
      <c r="AB782" s="56">
        <f>IF(AQ782="1",BH782,0)</f>
      </c>
      <c r="AC782" s="56">
        <f>IF(AQ782="1",BI782,0)</f>
      </c>
      <c r="AD782" s="56">
        <f>IF(AQ782="7",BH782,0)</f>
      </c>
      <c r="AE782" s="56">
        <f>IF(AQ782="7",BI782,0)</f>
      </c>
      <c r="AF782" s="56">
        <f>IF(AQ782="2",BH782,0)</f>
      </c>
      <c r="AG782" s="56">
        <f>IF(AQ782="2",BI782,0)</f>
      </c>
      <c r="AH782" s="56">
        <f>IF(AQ782="0",BJ782,0)</f>
      </c>
      <c r="AI782" s="28" t="s">
        <v>57</v>
      </c>
      <c r="AJ782" s="56">
        <f>IF(AN782=0,J782,0)</f>
      </c>
      <c r="AK782" s="56">
        <f>IF(AN782=12,J782,0)</f>
      </c>
      <c r="AL782" s="56">
        <f>IF(AN782=21,J782,0)</f>
      </c>
      <c r="AN782" s="56" t="n">
        <v>21</v>
      </c>
      <c r="AO782" s="56">
        <f>G782*0.06272578</f>
      </c>
      <c r="AP782" s="56">
        <f>G782*(1-0.06272578)</f>
      </c>
      <c r="AQ782" s="57" t="s">
        <v>85</v>
      </c>
      <c r="AV782" s="56">
        <f>AW782+AX782</f>
      </c>
      <c r="AW782" s="56">
        <f>F782*AO782</f>
      </c>
      <c r="AX782" s="56">
        <f>F782*AP782</f>
      </c>
      <c r="AY782" s="57" t="s">
        <v>1266</v>
      </c>
      <c r="AZ782" s="57" t="s">
        <v>1267</v>
      </c>
      <c r="BA782" s="28" t="s">
        <v>64</v>
      </c>
      <c r="BC782" s="56">
        <f>AW782+AX782</f>
      </c>
      <c r="BD782" s="56">
        <f>G782/(100-BE782)*100</f>
      </c>
      <c r="BE782" s="56" t="n">
        <v>0</v>
      </c>
      <c r="BF782" s="56">
        <f>782</f>
      </c>
      <c r="BH782" s="56">
        <f>F782*AO782</f>
      </c>
      <c r="BI782" s="56">
        <f>F782*AP782</f>
      </c>
      <c r="BJ782" s="56">
        <f>F782*G782</f>
      </c>
      <c r="BK782" s="56"/>
      <c r="BL782" s="56" t="n">
        <v>781</v>
      </c>
      <c r="BW782" s="56" t="n">
        <v>21</v>
      </c>
      <c r="BX782" s="14" t="s">
        <v>1292</v>
      </c>
    </row>
    <row r="783">
      <c r="A783" s="74"/>
      <c r="B783" s="75"/>
      <c r="C783" s="76" t="s">
        <v>58</v>
      </c>
      <c r="D783" s="77" t="s">
        <v>53</v>
      </c>
      <c r="E783" s="75"/>
      <c r="F783" s="78" t="n">
        <v>1</v>
      </c>
      <c r="G783" s="75"/>
      <c r="H783" s="75"/>
      <c r="I783" s="75"/>
      <c r="J783" s="75"/>
      <c r="K783" s="79"/>
    </row>
    <row r="784">
      <c r="A784" s="51" t="s">
        <v>1293</v>
      </c>
      <c r="B784" s="52" t="s">
        <v>1294</v>
      </c>
      <c r="C784" s="53" t="s">
        <v>1295</v>
      </c>
      <c r="D784" s="52"/>
      <c r="E784" s="52" t="s">
        <v>130</v>
      </c>
      <c r="F784" s="54" t="n">
        <v>1.8</v>
      </c>
      <c r="G784" s="54" t="n">
        <v>0</v>
      </c>
      <c r="H784" s="54">
        <f>F784*AO784</f>
      </c>
      <c r="I784" s="54">
        <f>F784*AP784</f>
      </c>
      <c r="J784" s="54">
        <f>F784*G784</f>
      </c>
      <c r="K784" s="55" t="s">
        <v>100</v>
      </c>
      <c r="Z784" s="56">
        <f>IF(AQ784="5",BJ784,0)</f>
      </c>
      <c r="AB784" s="56">
        <f>IF(AQ784="1",BH784,0)</f>
      </c>
      <c r="AC784" s="56">
        <f>IF(AQ784="1",BI784,0)</f>
      </c>
      <c r="AD784" s="56">
        <f>IF(AQ784="7",BH784,0)</f>
      </c>
      <c r="AE784" s="56">
        <f>IF(AQ784="7",BI784,0)</f>
      </c>
      <c r="AF784" s="56">
        <f>IF(AQ784="2",BH784,0)</f>
      </c>
      <c r="AG784" s="56">
        <f>IF(AQ784="2",BI784,0)</f>
      </c>
      <c r="AH784" s="56">
        <f>IF(AQ784="0",BJ784,0)</f>
      </c>
      <c r="AI784" s="28" t="s">
        <v>57</v>
      </c>
      <c r="AJ784" s="56">
        <f>IF(AN784=0,J784,0)</f>
      </c>
      <c r="AK784" s="56">
        <f>IF(AN784=12,J784,0)</f>
      </c>
      <c r="AL784" s="56">
        <f>IF(AN784=21,J784,0)</f>
      </c>
      <c r="AN784" s="56" t="n">
        <v>21</v>
      </c>
      <c r="AO784" s="56">
        <f>G784*0</f>
      </c>
      <c r="AP784" s="56">
        <f>G784*(1-0)</f>
      </c>
      <c r="AQ784" s="57" t="s">
        <v>85</v>
      </c>
      <c r="AV784" s="56">
        <f>AW784+AX784</f>
      </c>
      <c r="AW784" s="56">
        <f>F784*AO784</f>
      </c>
      <c r="AX784" s="56">
        <f>F784*AP784</f>
      </c>
      <c r="AY784" s="57" t="s">
        <v>1266</v>
      </c>
      <c r="AZ784" s="57" t="s">
        <v>1267</v>
      </c>
      <c r="BA784" s="28" t="s">
        <v>64</v>
      </c>
      <c r="BC784" s="56">
        <f>AW784+AX784</f>
      </c>
      <c r="BD784" s="56">
        <f>G784/(100-BE784)*100</f>
      </c>
      <c r="BE784" s="56" t="n">
        <v>0</v>
      </c>
      <c r="BF784" s="56">
        <f>784</f>
      </c>
      <c r="BH784" s="56">
        <f>F784*AO784</f>
      </c>
      <c r="BI784" s="56">
        <f>F784*AP784</f>
      </c>
      <c r="BJ784" s="56">
        <f>F784*G784</f>
      </c>
      <c r="BK784" s="56"/>
      <c r="BL784" s="56" t="n">
        <v>781</v>
      </c>
      <c r="BW784" s="56" t="n">
        <v>21</v>
      </c>
      <c r="BX784" s="14" t="s">
        <v>1295</v>
      </c>
    </row>
    <row r="785">
      <c r="A785" s="74"/>
      <c r="B785" s="75"/>
      <c r="C785" s="76" t="s">
        <v>228</v>
      </c>
      <c r="D785" s="77" t="s">
        <v>53</v>
      </c>
      <c r="E785" s="75"/>
      <c r="F785" s="78" t="n">
        <v>1.8</v>
      </c>
      <c r="G785" s="75"/>
      <c r="H785" s="75"/>
      <c r="I785" s="75"/>
      <c r="J785" s="75"/>
      <c r="K785" s="79"/>
    </row>
    <row r="786">
      <c r="A786" s="58"/>
      <c r="B786" s="80" t="s">
        <v>108</v>
      </c>
      <c r="C786" s="59" t="s">
        <v>1296</v>
      </c>
      <c r="D786" s="60"/>
      <c r="E786" s="60"/>
      <c r="F786" s="60"/>
      <c r="G786" s="60"/>
      <c r="H786" s="60"/>
      <c r="I786" s="60"/>
      <c r="J786" s="60"/>
      <c r="K786" s="61"/>
      <c r="BX786" s="81" t="s">
        <v>1296</v>
      </c>
    </row>
    <row r="787">
      <c r="A787" s="87" t="s">
        <v>1297</v>
      </c>
      <c r="B787" s="88" t="s">
        <v>1298</v>
      </c>
      <c r="C787" s="89" t="s">
        <v>1299</v>
      </c>
      <c r="D787" s="88"/>
      <c r="E787" s="88" t="s">
        <v>303</v>
      </c>
      <c r="F787" s="90" t="n">
        <v>2.97</v>
      </c>
      <c r="G787" s="90" t="n">
        <v>0</v>
      </c>
      <c r="H787" s="90">
        <f>F787*AO787</f>
      </c>
      <c r="I787" s="90">
        <f>F787*AP787</f>
      </c>
      <c r="J787" s="90">
        <f>F787*G787</f>
      </c>
      <c r="K787" s="91" t="s">
        <v>100</v>
      </c>
      <c r="Z787" s="56">
        <f>IF(AQ787="5",BJ787,0)</f>
      </c>
      <c r="AB787" s="56">
        <f>IF(AQ787="1",BH787,0)</f>
      </c>
      <c r="AC787" s="56">
        <f>IF(AQ787="1",BI787,0)</f>
      </c>
      <c r="AD787" s="56">
        <f>IF(AQ787="7",BH787,0)</f>
      </c>
      <c r="AE787" s="56">
        <f>IF(AQ787="7",BI787,0)</f>
      </c>
      <c r="AF787" s="56">
        <f>IF(AQ787="2",BH787,0)</f>
      </c>
      <c r="AG787" s="56">
        <f>IF(AQ787="2",BI787,0)</f>
      </c>
      <c r="AH787" s="56">
        <f>IF(AQ787="0",BJ787,0)</f>
      </c>
      <c r="AI787" s="28" t="s">
        <v>57</v>
      </c>
      <c r="AJ787" s="92">
        <f>IF(AN787=0,J787,0)</f>
      </c>
      <c r="AK787" s="92">
        <f>IF(AN787=12,J787,0)</f>
      </c>
      <c r="AL787" s="92">
        <f>IF(AN787=21,J787,0)</f>
      </c>
      <c r="AN787" s="56" t="n">
        <v>21</v>
      </c>
      <c r="AO787" s="56">
        <f>G787*1</f>
      </c>
      <c r="AP787" s="56">
        <f>G787*(1-1)</f>
      </c>
      <c r="AQ787" s="93" t="s">
        <v>85</v>
      </c>
      <c r="AV787" s="56">
        <f>AW787+AX787</f>
      </c>
      <c r="AW787" s="56">
        <f>F787*AO787</f>
      </c>
      <c r="AX787" s="56">
        <f>F787*AP787</f>
      </c>
      <c r="AY787" s="57" t="s">
        <v>1266</v>
      </c>
      <c r="AZ787" s="57" t="s">
        <v>1267</v>
      </c>
      <c r="BA787" s="28" t="s">
        <v>64</v>
      </c>
      <c r="BC787" s="56">
        <f>AW787+AX787</f>
      </c>
      <c r="BD787" s="56">
        <f>G787/(100-BE787)*100</f>
      </c>
      <c r="BE787" s="56" t="n">
        <v>0</v>
      </c>
      <c r="BF787" s="56">
        <f>787</f>
      </c>
      <c r="BH787" s="92">
        <f>F787*AO787</f>
      </c>
      <c r="BI787" s="92">
        <f>F787*AP787</f>
      </c>
      <c r="BJ787" s="92">
        <f>F787*G787</f>
      </c>
      <c r="BK787" s="92"/>
      <c r="BL787" s="56" t="n">
        <v>781</v>
      </c>
      <c r="BW787" s="56" t="n">
        <v>21</v>
      </c>
      <c r="BX787" s="94" t="s">
        <v>1299</v>
      </c>
    </row>
    <row r="788">
      <c r="A788" s="74"/>
      <c r="B788" s="75"/>
      <c r="C788" s="76" t="s">
        <v>1300</v>
      </c>
      <c r="D788" s="77" t="s">
        <v>53</v>
      </c>
      <c r="E788" s="75"/>
      <c r="F788" s="78" t="n">
        <v>2.7</v>
      </c>
      <c r="G788" s="75"/>
      <c r="H788" s="75"/>
      <c r="I788" s="75"/>
      <c r="J788" s="75"/>
      <c r="K788" s="79"/>
    </row>
    <row r="789">
      <c r="A789" s="74"/>
      <c r="B789" s="75"/>
      <c r="C789" s="76" t="s">
        <v>1301</v>
      </c>
      <c r="D789" s="77" t="s">
        <v>53</v>
      </c>
      <c r="E789" s="75"/>
      <c r="F789" s="78" t="n">
        <v>0.27</v>
      </c>
      <c r="G789" s="75"/>
      <c r="H789" s="75"/>
      <c r="I789" s="75"/>
      <c r="J789" s="75"/>
      <c r="K789" s="79"/>
    </row>
    <row r="790" ht="24.75">
      <c r="A790" s="58"/>
      <c r="B790" s="80" t="s">
        <v>108</v>
      </c>
      <c r="C790" s="59" t="s">
        <v>1302</v>
      </c>
      <c r="D790" s="60"/>
      <c r="E790" s="60"/>
      <c r="F790" s="60"/>
      <c r="G790" s="60"/>
      <c r="H790" s="60"/>
      <c r="I790" s="60"/>
      <c r="J790" s="60"/>
      <c r="K790" s="61"/>
      <c r="BX790" s="95" t="s">
        <v>1302</v>
      </c>
    </row>
    <row r="791">
      <c r="A791" s="82" t="s">
        <v>1303</v>
      </c>
      <c r="B791" s="83" t="s">
        <v>1304</v>
      </c>
      <c r="C791" s="84" t="s">
        <v>1305</v>
      </c>
      <c r="D791" s="83"/>
      <c r="E791" s="83" t="s">
        <v>130</v>
      </c>
      <c r="F791" s="85" t="n">
        <v>3.6</v>
      </c>
      <c r="G791" s="85" t="n">
        <v>0</v>
      </c>
      <c r="H791" s="85">
        <f>F791*AO791</f>
      </c>
      <c r="I791" s="85">
        <f>F791*AP791</f>
      </c>
      <c r="J791" s="85">
        <f>F791*G791</f>
      </c>
      <c r="K791" s="86" t="s">
        <v>100</v>
      </c>
      <c r="Z791" s="56">
        <f>IF(AQ791="5",BJ791,0)</f>
      </c>
      <c r="AB791" s="56">
        <f>IF(AQ791="1",BH791,0)</f>
      </c>
      <c r="AC791" s="56">
        <f>IF(AQ791="1",BI791,0)</f>
      </c>
      <c r="AD791" s="56">
        <f>IF(AQ791="7",BH791,0)</f>
      </c>
      <c r="AE791" s="56">
        <f>IF(AQ791="7",BI791,0)</f>
      </c>
      <c r="AF791" s="56">
        <f>IF(AQ791="2",BH791,0)</f>
      </c>
      <c r="AG791" s="56">
        <f>IF(AQ791="2",BI791,0)</f>
      </c>
      <c r="AH791" s="56">
        <f>IF(AQ791="0",BJ791,0)</f>
      </c>
      <c r="AI791" s="28" t="s">
        <v>57</v>
      </c>
      <c r="AJ791" s="56">
        <f>IF(AN791=0,J791,0)</f>
      </c>
      <c r="AK791" s="56">
        <f>IF(AN791=12,J791,0)</f>
      </c>
      <c r="AL791" s="56">
        <f>IF(AN791=21,J791,0)</f>
      </c>
      <c r="AN791" s="56" t="n">
        <v>21</v>
      </c>
      <c r="AO791" s="56">
        <f>G791*0.506653992</f>
      </c>
      <c r="AP791" s="56">
        <f>G791*(1-0.506653992)</f>
      </c>
      <c r="AQ791" s="57" t="s">
        <v>85</v>
      </c>
      <c r="AV791" s="56">
        <f>AW791+AX791</f>
      </c>
      <c r="AW791" s="56">
        <f>F791*AO791</f>
      </c>
      <c r="AX791" s="56">
        <f>F791*AP791</f>
      </c>
      <c r="AY791" s="57" t="s">
        <v>1266</v>
      </c>
      <c r="AZ791" s="57" t="s">
        <v>1267</v>
      </c>
      <c r="BA791" s="28" t="s">
        <v>64</v>
      </c>
      <c r="BC791" s="56">
        <f>AW791+AX791</f>
      </c>
      <c r="BD791" s="56">
        <f>G791/(100-BE791)*100</f>
      </c>
      <c r="BE791" s="56" t="n">
        <v>0</v>
      </c>
      <c r="BF791" s="56">
        <f>791</f>
      </c>
      <c r="BH791" s="56">
        <f>F791*AO791</f>
      </c>
      <c r="BI791" s="56">
        <f>F791*AP791</f>
      </c>
      <c r="BJ791" s="56">
        <f>F791*G791</f>
      </c>
      <c r="BK791" s="56"/>
      <c r="BL791" s="56" t="n">
        <v>781</v>
      </c>
      <c r="BW791" s="56" t="n">
        <v>21</v>
      </c>
      <c r="BX791" s="14" t="s">
        <v>1305</v>
      </c>
    </row>
    <row r="792">
      <c r="A792" s="74"/>
      <c r="B792" s="75"/>
      <c r="C792" s="76" t="s">
        <v>1306</v>
      </c>
      <c r="D792" s="77" t="s">
        <v>1307</v>
      </c>
      <c r="E792" s="75"/>
      <c r="F792" s="78" t="n">
        <v>3.6</v>
      </c>
      <c r="G792" s="75"/>
      <c r="H792" s="75"/>
      <c r="I792" s="75"/>
      <c r="J792" s="75"/>
      <c r="K792" s="79"/>
    </row>
    <row r="793">
      <c r="A793" s="58"/>
      <c r="B793" s="80" t="s">
        <v>108</v>
      </c>
      <c r="C793" s="59" t="s">
        <v>1308</v>
      </c>
      <c r="D793" s="60"/>
      <c r="E793" s="60"/>
      <c r="F793" s="60"/>
      <c r="G793" s="60"/>
      <c r="H793" s="60"/>
      <c r="I793" s="60"/>
      <c r="J793" s="60"/>
      <c r="K793" s="61"/>
      <c r="BX793" s="81" t="s">
        <v>1308</v>
      </c>
    </row>
    <row r="794">
      <c r="A794" s="87" t="s">
        <v>1309</v>
      </c>
      <c r="B794" s="88" t="s">
        <v>1310</v>
      </c>
      <c r="C794" s="89" t="s">
        <v>1311</v>
      </c>
      <c r="D794" s="88"/>
      <c r="E794" s="88" t="s">
        <v>303</v>
      </c>
      <c r="F794" s="90" t="n">
        <v>1.584</v>
      </c>
      <c r="G794" s="90" t="n">
        <v>0</v>
      </c>
      <c r="H794" s="90">
        <f>F794*AO794</f>
      </c>
      <c r="I794" s="90">
        <f>F794*AP794</f>
      </c>
      <c r="J794" s="90">
        <f>F794*G794</f>
      </c>
      <c r="K794" s="91" t="s">
        <v>100</v>
      </c>
      <c r="Z794" s="56">
        <f>IF(AQ794="5",BJ794,0)</f>
      </c>
      <c r="AB794" s="56">
        <f>IF(AQ794="1",BH794,0)</f>
      </c>
      <c r="AC794" s="56">
        <f>IF(AQ794="1",BI794,0)</f>
      </c>
      <c r="AD794" s="56">
        <f>IF(AQ794="7",BH794,0)</f>
      </c>
      <c r="AE794" s="56">
        <f>IF(AQ794="7",BI794,0)</f>
      </c>
      <c r="AF794" s="56">
        <f>IF(AQ794="2",BH794,0)</f>
      </c>
      <c r="AG794" s="56">
        <f>IF(AQ794="2",BI794,0)</f>
      </c>
      <c r="AH794" s="56">
        <f>IF(AQ794="0",BJ794,0)</f>
      </c>
      <c r="AI794" s="28" t="s">
        <v>57</v>
      </c>
      <c r="AJ794" s="92">
        <f>IF(AN794=0,J794,0)</f>
      </c>
      <c r="AK794" s="92">
        <f>IF(AN794=12,J794,0)</f>
      </c>
      <c r="AL794" s="92">
        <f>IF(AN794=21,J794,0)</f>
      </c>
      <c r="AN794" s="56" t="n">
        <v>21</v>
      </c>
      <c r="AO794" s="56">
        <f>G794*1</f>
      </c>
      <c r="AP794" s="56">
        <f>G794*(1-1)</f>
      </c>
      <c r="AQ794" s="93" t="s">
        <v>85</v>
      </c>
      <c r="AV794" s="56">
        <f>AW794+AX794</f>
      </c>
      <c r="AW794" s="56">
        <f>F794*AO794</f>
      </c>
      <c r="AX794" s="56">
        <f>F794*AP794</f>
      </c>
      <c r="AY794" s="57" t="s">
        <v>1266</v>
      </c>
      <c r="AZ794" s="57" t="s">
        <v>1267</v>
      </c>
      <c r="BA794" s="28" t="s">
        <v>64</v>
      </c>
      <c r="BC794" s="56">
        <f>AW794+AX794</f>
      </c>
      <c r="BD794" s="56">
        <f>G794/(100-BE794)*100</f>
      </c>
      <c r="BE794" s="56" t="n">
        <v>0</v>
      </c>
      <c r="BF794" s="56">
        <f>794</f>
      </c>
      <c r="BH794" s="92">
        <f>F794*AO794</f>
      </c>
      <c r="BI794" s="92">
        <f>F794*AP794</f>
      </c>
      <c r="BJ794" s="92">
        <f>F794*G794</f>
      </c>
      <c r="BK794" s="92"/>
      <c r="BL794" s="56" t="n">
        <v>781</v>
      </c>
      <c r="BW794" s="56" t="n">
        <v>21</v>
      </c>
      <c r="BX794" s="94" t="s">
        <v>1311</v>
      </c>
    </row>
    <row r="795">
      <c r="A795" s="74"/>
      <c r="B795" s="75"/>
      <c r="C795" s="76" t="s">
        <v>1312</v>
      </c>
      <c r="D795" s="77" t="s">
        <v>53</v>
      </c>
      <c r="E795" s="75"/>
      <c r="F795" s="78" t="n">
        <v>0.72</v>
      </c>
      <c r="G795" s="75"/>
      <c r="H795" s="75"/>
      <c r="I795" s="75"/>
      <c r="J795" s="75"/>
      <c r="K795" s="79"/>
    </row>
    <row r="796">
      <c r="A796" s="74"/>
      <c r="B796" s="75"/>
      <c r="C796" s="76" t="s">
        <v>1313</v>
      </c>
      <c r="D796" s="77" t="s">
        <v>53</v>
      </c>
      <c r="E796" s="75"/>
      <c r="F796" s="78" t="n">
        <v>0.072</v>
      </c>
      <c r="G796" s="75"/>
      <c r="H796" s="75"/>
      <c r="I796" s="75"/>
      <c r="J796" s="75"/>
      <c r="K796" s="79"/>
    </row>
    <row r="797">
      <c r="A797" s="58"/>
      <c r="B797" s="80" t="s">
        <v>108</v>
      </c>
      <c r="C797" s="59" t="s">
        <v>1314</v>
      </c>
      <c r="D797" s="60"/>
      <c r="E797" s="60"/>
      <c r="F797" s="60"/>
      <c r="G797" s="60"/>
      <c r="H797" s="60"/>
      <c r="I797" s="60"/>
      <c r="J797" s="60"/>
      <c r="K797" s="61"/>
      <c r="BX797" s="95" t="s">
        <v>1314</v>
      </c>
    </row>
    <row r="798">
      <c r="A798" s="82" t="s">
        <v>1315</v>
      </c>
      <c r="B798" s="83" t="s">
        <v>1316</v>
      </c>
      <c r="C798" s="84" t="s">
        <v>1317</v>
      </c>
      <c r="D798" s="83"/>
      <c r="E798" s="83" t="s">
        <v>242</v>
      </c>
      <c r="F798" s="85" t="n">
        <v>0.0392</v>
      </c>
      <c r="G798" s="85" t="n">
        <v>0</v>
      </c>
      <c r="H798" s="85">
        <f>F798*AO798</f>
      </c>
      <c r="I798" s="85">
        <f>F798*AP798</f>
      </c>
      <c r="J798" s="85">
        <f>F798*G798</f>
      </c>
      <c r="K798" s="86" t="s">
        <v>100</v>
      </c>
      <c r="Z798" s="56">
        <f>IF(AQ798="5",BJ798,0)</f>
      </c>
      <c r="AB798" s="56">
        <f>IF(AQ798="1",BH798,0)</f>
      </c>
      <c r="AC798" s="56">
        <f>IF(AQ798="1",BI798,0)</f>
      </c>
      <c r="AD798" s="56">
        <f>IF(AQ798="7",BH798,0)</f>
      </c>
      <c r="AE798" s="56">
        <f>IF(AQ798="7",BI798,0)</f>
      </c>
      <c r="AF798" s="56">
        <f>IF(AQ798="2",BH798,0)</f>
      </c>
      <c r="AG798" s="56">
        <f>IF(AQ798="2",BI798,0)</f>
      </c>
      <c r="AH798" s="56">
        <f>IF(AQ798="0",BJ798,0)</f>
      </c>
      <c r="AI798" s="28" t="s">
        <v>57</v>
      </c>
      <c r="AJ798" s="56">
        <f>IF(AN798=0,J798,0)</f>
      </c>
      <c r="AK798" s="56">
        <f>IF(AN798=12,J798,0)</f>
      </c>
      <c r="AL798" s="56">
        <f>IF(AN798=21,J798,0)</f>
      </c>
      <c r="AN798" s="56" t="n">
        <v>21</v>
      </c>
      <c r="AO798" s="56">
        <f>G798*0</f>
      </c>
      <c r="AP798" s="56">
        <f>G798*(1-0)</f>
      </c>
      <c r="AQ798" s="57" t="s">
        <v>79</v>
      </c>
      <c r="AV798" s="56">
        <f>AW798+AX798</f>
      </c>
      <c r="AW798" s="56">
        <f>F798*AO798</f>
      </c>
      <c r="AX798" s="56">
        <f>F798*AP798</f>
      </c>
      <c r="AY798" s="57" t="s">
        <v>1266</v>
      </c>
      <c r="AZ798" s="57" t="s">
        <v>1267</v>
      </c>
      <c r="BA798" s="28" t="s">
        <v>64</v>
      </c>
      <c r="BC798" s="56">
        <f>AW798+AX798</f>
      </c>
      <c r="BD798" s="56">
        <f>G798/(100-BE798)*100</f>
      </c>
      <c r="BE798" s="56" t="n">
        <v>0</v>
      </c>
      <c r="BF798" s="56">
        <f>798</f>
      </c>
      <c r="BH798" s="56">
        <f>F798*AO798</f>
      </c>
      <c r="BI798" s="56">
        <f>F798*AP798</f>
      </c>
      <c r="BJ798" s="56">
        <f>F798*G798</f>
      </c>
      <c r="BK798" s="56"/>
      <c r="BL798" s="56" t="n">
        <v>781</v>
      </c>
      <c r="BW798" s="56" t="n">
        <v>21</v>
      </c>
      <c r="BX798" s="14" t="s">
        <v>1317</v>
      </c>
    </row>
    <row r="799">
      <c r="A799" s="45" t="s">
        <v>53</v>
      </c>
      <c r="B799" s="46" t="s">
        <v>1318</v>
      </c>
      <c r="C799" s="47" t="s">
        <v>1319</v>
      </c>
      <c r="D799" s="46"/>
      <c r="E799" s="48" t="s">
        <v>34</v>
      </c>
      <c r="F799" s="48" t="s">
        <v>34</v>
      </c>
      <c r="G799" s="48" t="s">
        <v>34</v>
      </c>
      <c r="H799" s="49">
        <f>SUM(H800:H827)</f>
      </c>
      <c r="I799" s="49">
        <f>SUM(I800:I827)</f>
      </c>
      <c r="J799" s="49">
        <f>SUM(J800:J827)</f>
      </c>
      <c r="K799" s="50" t="s">
        <v>53</v>
      </c>
      <c r="AI799" s="28" t="s">
        <v>57</v>
      </c>
      <c r="AS799" s="2">
        <f>SUM(AJ800:AJ827)</f>
      </c>
      <c r="AT799" s="2">
        <f>SUM(AK800:AK827)</f>
      </c>
      <c r="AU799" s="2">
        <f>SUM(AL800:AL827)</f>
      </c>
    </row>
    <row r="800">
      <c r="A800" s="51" t="s">
        <v>1320</v>
      </c>
      <c r="B800" s="52" t="s">
        <v>1321</v>
      </c>
      <c r="C800" s="53" t="s">
        <v>1322</v>
      </c>
      <c r="D800" s="52"/>
      <c r="E800" s="52" t="s">
        <v>130</v>
      </c>
      <c r="F800" s="54" t="n">
        <v>53.5222</v>
      </c>
      <c r="G800" s="54" t="n">
        <v>0</v>
      </c>
      <c r="H800" s="54">
        <f>F800*AO800</f>
      </c>
      <c r="I800" s="54">
        <f>F800*AP800</f>
      </c>
      <c r="J800" s="54">
        <f>F800*G800</f>
      </c>
      <c r="K800" s="55" t="s">
        <v>100</v>
      </c>
      <c r="Z800" s="56">
        <f>IF(AQ800="5",BJ800,0)</f>
      </c>
      <c r="AB800" s="56">
        <f>IF(AQ800="1",BH800,0)</f>
      </c>
      <c r="AC800" s="56">
        <f>IF(AQ800="1",BI800,0)</f>
      </c>
      <c r="AD800" s="56">
        <f>IF(AQ800="7",BH800,0)</f>
      </c>
      <c r="AE800" s="56">
        <f>IF(AQ800="7",BI800,0)</f>
      </c>
      <c r="AF800" s="56">
        <f>IF(AQ800="2",BH800,0)</f>
      </c>
      <c r="AG800" s="56">
        <f>IF(AQ800="2",BI800,0)</f>
      </c>
      <c r="AH800" s="56">
        <f>IF(AQ800="0",BJ800,0)</f>
      </c>
      <c r="AI800" s="28" t="s">
        <v>57</v>
      </c>
      <c r="AJ800" s="56">
        <f>IF(AN800=0,J800,0)</f>
      </c>
      <c r="AK800" s="56">
        <f>IF(AN800=12,J800,0)</f>
      </c>
      <c r="AL800" s="56">
        <f>IF(AN800=21,J800,0)</f>
      </c>
      <c r="AN800" s="56" t="n">
        <v>21</v>
      </c>
      <c r="AO800" s="56">
        <f>G800*0.176714521</f>
      </c>
      <c r="AP800" s="56">
        <f>G800*(1-0.176714521)</f>
      </c>
      <c r="AQ800" s="57" t="s">
        <v>85</v>
      </c>
      <c r="AV800" s="56">
        <f>AW800+AX800</f>
      </c>
      <c r="AW800" s="56">
        <f>F800*AO800</f>
      </c>
      <c r="AX800" s="56">
        <f>F800*AP800</f>
      </c>
      <c r="AY800" s="57" t="s">
        <v>1323</v>
      </c>
      <c r="AZ800" s="57" t="s">
        <v>1267</v>
      </c>
      <c r="BA800" s="28" t="s">
        <v>64</v>
      </c>
      <c r="BC800" s="56">
        <f>AW800+AX800</f>
      </c>
      <c r="BD800" s="56">
        <f>G800/(100-BE800)*100</f>
      </c>
      <c r="BE800" s="56" t="n">
        <v>0</v>
      </c>
      <c r="BF800" s="56">
        <f>800</f>
      </c>
      <c r="BH800" s="56">
        <f>F800*AO800</f>
      </c>
      <c r="BI800" s="56">
        <f>F800*AP800</f>
      </c>
      <c r="BJ800" s="56">
        <f>F800*G800</f>
      </c>
      <c r="BK800" s="56"/>
      <c r="BL800" s="56" t="n">
        <v>783</v>
      </c>
      <c r="BW800" s="56" t="n">
        <v>21</v>
      </c>
      <c r="BX800" s="14" t="s">
        <v>1322</v>
      </c>
    </row>
    <row r="801">
      <c r="A801" s="74"/>
      <c r="B801" s="75"/>
      <c r="C801" s="76" t="s">
        <v>1324</v>
      </c>
      <c r="D801" s="77" t="s">
        <v>1325</v>
      </c>
      <c r="E801" s="75"/>
      <c r="F801" s="78" t="n">
        <v>5.862</v>
      </c>
      <c r="G801" s="75"/>
      <c r="H801" s="75"/>
      <c r="I801" s="75"/>
      <c r="J801" s="75"/>
      <c r="K801" s="79"/>
    </row>
    <row r="802">
      <c r="A802" s="74"/>
      <c r="B802" s="75"/>
      <c r="C802" s="76" t="s">
        <v>1326</v>
      </c>
      <c r="D802" s="77" t="s">
        <v>1327</v>
      </c>
      <c r="E802" s="75"/>
      <c r="F802" s="78" t="n">
        <v>0.64</v>
      </c>
      <c r="G802" s="75"/>
      <c r="H802" s="75"/>
      <c r="I802" s="75"/>
      <c r="J802" s="75"/>
      <c r="K802" s="79"/>
    </row>
    <row r="803">
      <c r="A803" s="74"/>
      <c r="B803" s="75"/>
      <c r="C803" s="76" t="s">
        <v>1328</v>
      </c>
      <c r="D803" s="77" t="s">
        <v>1327</v>
      </c>
      <c r="E803" s="75"/>
      <c r="F803" s="78" t="n">
        <v>47.0202</v>
      </c>
      <c r="G803" s="75"/>
      <c r="H803" s="75"/>
      <c r="I803" s="75"/>
      <c r="J803" s="75"/>
      <c r="K803" s="79"/>
    </row>
    <row r="804">
      <c r="A804" s="51" t="s">
        <v>1329</v>
      </c>
      <c r="B804" s="52" t="s">
        <v>1330</v>
      </c>
      <c r="C804" s="53" t="s">
        <v>1331</v>
      </c>
      <c r="D804" s="52"/>
      <c r="E804" s="52" t="s">
        <v>130</v>
      </c>
      <c r="F804" s="54" t="n">
        <v>132.8262</v>
      </c>
      <c r="G804" s="54" t="n">
        <v>0</v>
      </c>
      <c r="H804" s="54">
        <f>F804*AO804</f>
      </c>
      <c r="I804" s="54">
        <f>F804*AP804</f>
      </c>
      <c r="J804" s="54">
        <f>F804*G804</f>
      </c>
      <c r="K804" s="55" t="s">
        <v>100</v>
      </c>
      <c r="Z804" s="56">
        <f>IF(AQ804="5",BJ804,0)</f>
      </c>
      <c r="AB804" s="56">
        <f>IF(AQ804="1",BH804,0)</f>
      </c>
      <c r="AC804" s="56">
        <f>IF(AQ804="1",BI804,0)</f>
      </c>
      <c r="AD804" s="56">
        <f>IF(AQ804="7",BH804,0)</f>
      </c>
      <c r="AE804" s="56">
        <f>IF(AQ804="7",BI804,0)</f>
      </c>
      <c r="AF804" s="56">
        <f>IF(AQ804="2",BH804,0)</f>
      </c>
      <c r="AG804" s="56">
        <f>IF(AQ804="2",BI804,0)</f>
      </c>
      <c r="AH804" s="56">
        <f>IF(AQ804="0",BJ804,0)</f>
      </c>
      <c r="AI804" s="28" t="s">
        <v>57</v>
      </c>
      <c r="AJ804" s="56">
        <f>IF(AN804=0,J804,0)</f>
      </c>
      <c r="AK804" s="56">
        <f>IF(AN804=12,J804,0)</f>
      </c>
      <c r="AL804" s="56">
        <f>IF(AN804=21,J804,0)</f>
      </c>
      <c r="AN804" s="56" t="n">
        <v>21</v>
      </c>
      <c r="AO804" s="56">
        <f>G804*0.131335191</f>
      </c>
      <c r="AP804" s="56">
        <f>G804*(1-0.131335191)</f>
      </c>
      <c r="AQ804" s="57" t="s">
        <v>85</v>
      </c>
      <c r="AV804" s="56">
        <f>AW804+AX804</f>
      </c>
      <c r="AW804" s="56">
        <f>F804*AO804</f>
      </c>
      <c r="AX804" s="56">
        <f>F804*AP804</f>
      </c>
      <c r="AY804" s="57" t="s">
        <v>1323</v>
      </c>
      <c r="AZ804" s="57" t="s">
        <v>1267</v>
      </c>
      <c r="BA804" s="28" t="s">
        <v>64</v>
      </c>
      <c r="BC804" s="56">
        <f>AW804+AX804</f>
      </c>
      <c r="BD804" s="56">
        <f>G804/(100-BE804)*100</f>
      </c>
      <c r="BE804" s="56" t="n">
        <v>0</v>
      </c>
      <c r="BF804" s="56">
        <f>804</f>
      </c>
      <c r="BH804" s="56">
        <f>F804*AO804</f>
      </c>
      <c r="BI804" s="56">
        <f>F804*AP804</f>
      </c>
      <c r="BJ804" s="56">
        <f>F804*G804</f>
      </c>
      <c r="BK804" s="56"/>
      <c r="BL804" s="56" t="n">
        <v>783</v>
      </c>
      <c r="BW804" s="56" t="n">
        <v>21</v>
      </c>
      <c r="BX804" s="14" t="s">
        <v>1331</v>
      </c>
    </row>
    <row r="805">
      <c r="A805" s="74"/>
      <c r="B805" s="75"/>
      <c r="C805" s="76" t="s">
        <v>1332</v>
      </c>
      <c r="D805" s="77" t="s">
        <v>1333</v>
      </c>
      <c r="E805" s="75"/>
      <c r="F805" s="78" t="n">
        <v>97.125</v>
      </c>
      <c r="G805" s="75"/>
      <c r="H805" s="75"/>
      <c r="I805" s="75"/>
      <c r="J805" s="75"/>
      <c r="K805" s="79"/>
    </row>
    <row r="806">
      <c r="A806" s="74"/>
      <c r="B806" s="75"/>
      <c r="C806" s="76" t="s">
        <v>1334</v>
      </c>
      <c r="D806" s="77" t="s">
        <v>1335</v>
      </c>
      <c r="E806" s="75"/>
      <c r="F806" s="78" t="n">
        <v>35.7012</v>
      </c>
      <c r="G806" s="75"/>
      <c r="H806" s="75"/>
      <c r="I806" s="75"/>
      <c r="J806" s="75"/>
      <c r="K806" s="79"/>
    </row>
    <row r="807">
      <c r="A807" s="51" t="s">
        <v>1336</v>
      </c>
      <c r="B807" s="52" t="s">
        <v>1337</v>
      </c>
      <c r="C807" s="53" t="s">
        <v>1338</v>
      </c>
      <c r="D807" s="52"/>
      <c r="E807" s="52" t="s">
        <v>130</v>
      </c>
      <c r="F807" s="54" t="n">
        <v>502.9658</v>
      </c>
      <c r="G807" s="54" t="n">
        <v>0</v>
      </c>
      <c r="H807" s="54">
        <f>F807*AO807</f>
      </c>
      <c r="I807" s="54">
        <f>F807*AP807</f>
      </c>
      <c r="J807" s="54">
        <f>F807*G807</f>
      </c>
      <c r="K807" s="55" t="s">
        <v>100</v>
      </c>
      <c r="Z807" s="56">
        <f>IF(AQ807="5",BJ807,0)</f>
      </c>
      <c r="AB807" s="56">
        <f>IF(AQ807="1",BH807,0)</f>
      </c>
      <c r="AC807" s="56">
        <f>IF(AQ807="1",BI807,0)</f>
      </c>
      <c r="AD807" s="56">
        <f>IF(AQ807="7",BH807,0)</f>
      </c>
      <c r="AE807" s="56">
        <f>IF(AQ807="7",BI807,0)</f>
      </c>
      <c r="AF807" s="56">
        <f>IF(AQ807="2",BH807,0)</f>
      </c>
      <c r="AG807" s="56">
        <f>IF(AQ807="2",BI807,0)</f>
      </c>
      <c r="AH807" s="56">
        <f>IF(AQ807="0",BJ807,0)</f>
      </c>
      <c r="AI807" s="28" t="s">
        <v>57</v>
      </c>
      <c r="AJ807" s="56">
        <f>IF(AN807=0,J807,0)</f>
      </c>
      <c r="AK807" s="56">
        <f>IF(AN807=12,J807,0)</f>
      </c>
      <c r="AL807" s="56">
        <f>IF(AN807=21,J807,0)</f>
      </c>
      <c r="AN807" s="56" t="n">
        <v>21</v>
      </c>
      <c r="AO807" s="56">
        <f>G807*0.116435414</f>
      </c>
      <c r="AP807" s="56">
        <f>G807*(1-0.116435414)</f>
      </c>
      <c r="AQ807" s="57" t="s">
        <v>85</v>
      </c>
      <c r="AV807" s="56">
        <f>AW807+AX807</f>
      </c>
      <c r="AW807" s="56">
        <f>F807*AO807</f>
      </c>
      <c r="AX807" s="56">
        <f>F807*AP807</f>
      </c>
      <c r="AY807" s="57" t="s">
        <v>1323</v>
      </c>
      <c r="AZ807" s="57" t="s">
        <v>1267</v>
      </c>
      <c r="BA807" s="28" t="s">
        <v>64</v>
      </c>
      <c r="BC807" s="56">
        <f>AW807+AX807</f>
      </c>
      <c r="BD807" s="56">
        <f>G807/(100-BE807)*100</f>
      </c>
      <c r="BE807" s="56" t="n">
        <v>0</v>
      </c>
      <c r="BF807" s="56">
        <f>807</f>
      </c>
      <c r="BH807" s="56">
        <f>F807*AO807</f>
      </c>
      <c r="BI807" s="56">
        <f>F807*AP807</f>
      </c>
      <c r="BJ807" s="56">
        <f>F807*G807</f>
      </c>
      <c r="BK807" s="56"/>
      <c r="BL807" s="56" t="n">
        <v>783</v>
      </c>
      <c r="BW807" s="56" t="n">
        <v>21</v>
      </c>
      <c r="BX807" s="14" t="s">
        <v>1338</v>
      </c>
    </row>
    <row r="808">
      <c r="A808" s="74"/>
      <c r="B808" s="75"/>
      <c r="C808" s="76" t="s">
        <v>1339</v>
      </c>
      <c r="D808" s="77" t="s">
        <v>579</v>
      </c>
      <c r="E808" s="75"/>
      <c r="F808" s="78" t="n">
        <v>30.55</v>
      </c>
      <c r="G808" s="75"/>
      <c r="H808" s="75"/>
      <c r="I808" s="75"/>
      <c r="J808" s="75"/>
      <c r="K808" s="79"/>
    </row>
    <row r="809">
      <c r="A809" s="74"/>
      <c r="B809" s="75"/>
      <c r="C809" s="76" t="s">
        <v>1340</v>
      </c>
      <c r="D809" s="77" t="s">
        <v>584</v>
      </c>
      <c r="E809" s="75"/>
      <c r="F809" s="78" t="n">
        <v>156.8424</v>
      </c>
      <c r="G809" s="75"/>
      <c r="H809" s="75"/>
      <c r="I809" s="75"/>
      <c r="J809" s="75"/>
      <c r="K809" s="79"/>
    </row>
    <row r="810">
      <c r="A810" s="74"/>
      <c r="B810" s="75"/>
      <c r="C810" s="76" t="s">
        <v>1341</v>
      </c>
      <c r="D810" s="77" t="s">
        <v>581</v>
      </c>
      <c r="E810" s="75"/>
      <c r="F810" s="78" t="n">
        <v>55.2396</v>
      </c>
      <c r="G810" s="75"/>
      <c r="H810" s="75"/>
      <c r="I810" s="75"/>
      <c r="J810" s="75"/>
      <c r="K810" s="79"/>
    </row>
    <row r="811">
      <c r="A811" s="74"/>
      <c r="B811" s="75"/>
      <c r="C811" s="76" t="s">
        <v>1342</v>
      </c>
      <c r="D811" s="77" t="s">
        <v>581</v>
      </c>
      <c r="E811" s="75"/>
      <c r="F811" s="78" t="n">
        <v>15.4648</v>
      </c>
      <c r="G811" s="75"/>
      <c r="H811" s="75"/>
      <c r="I811" s="75"/>
      <c r="J811" s="75"/>
      <c r="K811" s="79"/>
    </row>
    <row r="812">
      <c r="A812" s="74"/>
      <c r="B812" s="75"/>
      <c r="C812" s="76" t="s">
        <v>1343</v>
      </c>
      <c r="D812" s="77" t="s">
        <v>592</v>
      </c>
      <c r="E812" s="75"/>
      <c r="F812" s="78" t="n">
        <v>40.2064</v>
      </c>
      <c r="G812" s="75"/>
      <c r="H812" s="75"/>
      <c r="I812" s="75"/>
      <c r="J812" s="75"/>
      <c r="K812" s="79"/>
    </row>
    <row r="813">
      <c r="A813" s="74"/>
      <c r="B813" s="75"/>
      <c r="C813" s="76" t="s">
        <v>1344</v>
      </c>
      <c r="D813" s="77" t="s">
        <v>159</v>
      </c>
      <c r="E813" s="75"/>
      <c r="F813" s="78" t="n">
        <v>-16.7336</v>
      </c>
      <c r="G813" s="75"/>
      <c r="H813" s="75"/>
      <c r="I813" s="75"/>
      <c r="J813" s="75"/>
      <c r="K813" s="79"/>
    </row>
    <row r="814">
      <c r="A814" s="74"/>
      <c r="B814" s="75"/>
      <c r="C814" s="76" t="s">
        <v>1345</v>
      </c>
      <c r="D814" s="77" t="s">
        <v>594</v>
      </c>
      <c r="E814" s="75"/>
      <c r="F814" s="78" t="n">
        <v>20.7636</v>
      </c>
      <c r="G814" s="75"/>
      <c r="H814" s="75"/>
      <c r="I814" s="75"/>
      <c r="J814" s="75"/>
      <c r="K814" s="79"/>
    </row>
    <row r="815">
      <c r="A815" s="74"/>
      <c r="B815" s="75"/>
      <c r="C815" s="76" t="s">
        <v>1346</v>
      </c>
      <c r="D815" s="77" t="s">
        <v>596</v>
      </c>
      <c r="E815" s="75"/>
      <c r="F815" s="78" t="n">
        <v>49.036</v>
      </c>
      <c r="G815" s="75"/>
      <c r="H815" s="75"/>
      <c r="I815" s="75"/>
      <c r="J815" s="75"/>
      <c r="K815" s="79"/>
    </row>
    <row r="816">
      <c r="A816" s="74"/>
      <c r="B816" s="75"/>
      <c r="C816" s="76" t="s">
        <v>1347</v>
      </c>
      <c r="D816" s="77" t="s">
        <v>586</v>
      </c>
      <c r="E816" s="75"/>
      <c r="F816" s="78" t="n">
        <v>3.8272</v>
      </c>
      <c r="G816" s="75"/>
      <c r="H816" s="75"/>
      <c r="I816" s="75"/>
      <c r="J816" s="75"/>
      <c r="K816" s="79"/>
    </row>
    <row r="817">
      <c r="A817" s="74"/>
      <c r="B817" s="75"/>
      <c r="C817" s="76" t="s">
        <v>1348</v>
      </c>
      <c r="D817" s="77" t="s">
        <v>590</v>
      </c>
      <c r="E817" s="75"/>
      <c r="F817" s="78" t="n">
        <v>9.0768</v>
      </c>
      <c r="G817" s="75"/>
      <c r="H817" s="75"/>
      <c r="I817" s="75"/>
      <c r="J817" s="75"/>
      <c r="K817" s="79"/>
    </row>
    <row r="818">
      <c r="A818" s="74"/>
      <c r="B818" s="75"/>
      <c r="C818" s="76" t="s">
        <v>1349</v>
      </c>
      <c r="D818" s="77" t="s">
        <v>637</v>
      </c>
      <c r="E818" s="75"/>
      <c r="F818" s="78" t="n">
        <v>52.4552</v>
      </c>
      <c r="G818" s="75"/>
      <c r="H818" s="75"/>
      <c r="I818" s="75"/>
      <c r="J818" s="75"/>
      <c r="K818" s="79"/>
    </row>
    <row r="819">
      <c r="A819" s="74"/>
      <c r="B819" s="75"/>
      <c r="C819" s="76" t="s">
        <v>1350</v>
      </c>
      <c r="D819" s="77" t="s">
        <v>632</v>
      </c>
      <c r="E819" s="75"/>
      <c r="F819" s="78" t="n">
        <v>26.5664</v>
      </c>
      <c r="G819" s="75"/>
      <c r="H819" s="75"/>
      <c r="I819" s="75"/>
      <c r="J819" s="75"/>
      <c r="K819" s="79"/>
    </row>
    <row r="820">
      <c r="A820" s="74"/>
      <c r="B820" s="75"/>
      <c r="C820" s="76" t="s">
        <v>1351</v>
      </c>
      <c r="D820" s="77" t="s">
        <v>643</v>
      </c>
      <c r="E820" s="75"/>
      <c r="F820" s="78" t="n">
        <v>7.209</v>
      </c>
      <c r="G820" s="75"/>
      <c r="H820" s="75"/>
      <c r="I820" s="75"/>
      <c r="J820" s="75"/>
      <c r="K820" s="79"/>
    </row>
    <row r="821">
      <c r="A821" s="74"/>
      <c r="B821" s="75"/>
      <c r="C821" s="76" t="s">
        <v>1352</v>
      </c>
      <c r="D821" s="77" t="s">
        <v>654</v>
      </c>
      <c r="E821" s="75"/>
      <c r="F821" s="78" t="n">
        <v>30.09</v>
      </c>
      <c r="G821" s="75"/>
      <c r="H821" s="75"/>
      <c r="I821" s="75"/>
      <c r="J821" s="75"/>
      <c r="K821" s="79"/>
    </row>
    <row r="822">
      <c r="A822" s="74"/>
      <c r="B822" s="75"/>
      <c r="C822" s="76" t="s">
        <v>1353</v>
      </c>
      <c r="D822" s="77" t="s">
        <v>669</v>
      </c>
      <c r="E822" s="75"/>
      <c r="F822" s="78" t="n">
        <v>22.372</v>
      </c>
      <c r="G822" s="75"/>
      <c r="H822" s="75"/>
      <c r="I822" s="75"/>
      <c r="J822" s="75"/>
      <c r="K822" s="79"/>
    </row>
    <row r="823" ht="24.75">
      <c r="A823" s="58"/>
      <c r="B823" s="80" t="s">
        <v>108</v>
      </c>
      <c r="C823" s="59" t="s">
        <v>1354</v>
      </c>
      <c r="D823" s="60"/>
      <c r="E823" s="60"/>
      <c r="F823" s="60"/>
      <c r="G823" s="60"/>
      <c r="H823" s="60"/>
      <c r="I823" s="60"/>
      <c r="J823" s="60"/>
      <c r="K823" s="61"/>
      <c r="BX823" s="81" t="s">
        <v>1354</v>
      </c>
    </row>
    <row r="824">
      <c r="A824" s="82" t="s">
        <v>1355</v>
      </c>
      <c r="B824" s="83" t="s">
        <v>1356</v>
      </c>
      <c r="C824" s="84" t="s">
        <v>1357</v>
      </c>
      <c r="D824" s="83"/>
      <c r="E824" s="83" t="s">
        <v>130</v>
      </c>
      <c r="F824" s="85" t="n">
        <v>0.594</v>
      </c>
      <c r="G824" s="85" t="n">
        <v>0</v>
      </c>
      <c r="H824" s="85">
        <f>F824*AO824</f>
      </c>
      <c r="I824" s="85">
        <f>F824*AP824</f>
      </c>
      <c r="J824" s="85">
        <f>F824*G824</f>
      </c>
      <c r="K824" s="86" t="s">
        <v>100</v>
      </c>
      <c r="Z824" s="56">
        <f>IF(AQ824="5",BJ824,0)</f>
      </c>
      <c r="AB824" s="56">
        <f>IF(AQ824="1",BH824,0)</f>
      </c>
      <c r="AC824" s="56">
        <f>IF(AQ824="1",BI824,0)</f>
      </c>
      <c r="AD824" s="56">
        <f>IF(AQ824="7",BH824,0)</f>
      </c>
      <c r="AE824" s="56">
        <f>IF(AQ824="7",BI824,0)</f>
      </c>
      <c r="AF824" s="56">
        <f>IF(AQ824="2",BH824,0)</f>
      </c>
      <c r="AG824" s="56">
        <f>IF(AQ824="2",BI824,0)</f>
      </c>
      <c r="AH824" s="56">
        <f>IF(AQ824="0",BJ824,0)</f>
      </c>
      <c r="AI824" s="28" t="s">
        <v>57</v>
      </c>
      <c r="AJ824" s="56">
        <f>IF(AN824=0,J824,0)</f>
      </c>
      <c r="AK824" s="56">
        <f>IF(AN824=12,J824,0)</f>
      </c>
      <c r="AL824" s="56">
        <f>IF(AN824=21,J824,0)</f>
      </c>
      <c r="AN824" s="56" t="n">
        <v>21</v>
      </c>
      <c r="AO824" s="56">
        <f>G824*0.351279233</f>
      </c>
      <c r="AP824" s="56">
        <f>G824*(1-0.351279233)</f>
      </c>
      <c r="AQ824" s="57" t="s">
        <v>85</v>
      </c>
      <c r="AV824" s="56">
        <f>AW824+AX824</f>
      </c>
      <c r="AW824" s="56">
        <f>F824*AO824</f>
      </c>
      <c r="AX824" s="56">
        <f>F824*AP824</f>
      </c>
      <c r="AY824" s="57" t="s">
        <v>1323</v>
      </c>
      <c r="AZ824" s="57" t="s">
        <v>1267</v>
      </c>
      <c r="BA824" s="28" t="s">
        <v>64</v>
      </c>
      <c r="BC824" s="56">
        <f>AW824+AX824</f>
      </c>
      <c r="BD824" s="56">
        <f>G824/(100-BE824)*100</f>
      </c>
      <c r="BE824" s="56" t="n">
        <v>0</v>
      </c>
      <c r="BF824" s="56">
        <f>824</f>
      </c>
      <c r="BH824" s="56">
        <f>F824*AO824</f>
      </c>
      <c r="BI824" s="56">
        <f>F824*AP824</f>
      </c>
      <c r="BJ824" s="56">
        <f>F824*G824</f>
      </c>
      <c r="BK824" s="56"/>
      <c r="BL824" s="56" t="n">
        <v>783</v>
      </c>
      <c r="BW824" s="56" t="n">
        <v>21</v>
      </c>
      <c r="BX824" s="14" t="s">
        <v>1357</v>
      </c>
    </row>
    <row r="825">
      <c r="A825" s="74"/>
      <c r="B825" s="75"/>
      <c r="C825" s="76" t="s">
        <v>1358</v>
      </c>
      <c r="D825" s="77" t="s">
        <v>1359</v>
      </c>
      <c r="E825" s="75"/>
      <c r="F825" s="78" t="n">
        <v>0.594</v>
      </c>
      <c r="G825" s="75"/>
      <c r="H825" s="75"/>
      <c r="I825" s="75"/>
      <c r="J825" s="75"/>
      <c r="K825" s="79"/>
    </row>
    <row r="826" ht="24.75">
      <c r="A826" s="58"/>
      <c r="B826" s="80" t="s">
        <v>108</v>
      </c>
      <c r="C826" s="59" t="s">
        <v>1360</v>
      </c>
      <c r="D826" s="60"/>
      <c r="E826" s="60"/>
      <c r="F826" s="60"/>
      <c r="G826" s="60"/>
      <c r="H826" s="60"/>
      <c r="I826" s="60"/>
      <c r="J826" s="60"/>
      <c r="K826" s="61"/>
      <c r="BX826" s="81" t="s">
        <v>1360</v>
      </c>
    </row>
    <row r="827">
      <c r="A827" s="82" t="s">
        <v>1361</v>
      </c>
      <c r="B827" s="83" t="s">
        <v>1362</v>
      </c>
      <c r="C827" s="84" t="s">
        <v>1363</v>
      </c>
      <c r="D827" s="83"/>
      <c r="E827" s="83" t="s">
        <v>130</v>
      </c>
      <c r="F827" s="85" t="n">
        <v>0.594</v>
      </c>
      <c r="G827" s="85" t="n">
        <v>0</v>
      </c>
      <c r="H827" s="85">
        <f>F827*AO827</f>
      </c>
      <c r="I827" s="85">
        <f>F827*AP827</f>
      </c>
      <c r="J827" s="85">
        <f>F827*G827</f>
      </c>
      <c r="K827" s="86" t="s">
        <v>100</v>
      </c>
      <c r="Z827" s="56">
        <f>IF(AQ827="5",BJ827,0)</f>
      </c>
      <c r="AB827" s="56">
        <f>IF(AQ827="1",BH827,0)</f>
      </c>
      <c r="AC827" s="56">
        <f>IF(AQ827="1",BI827,0)</f>
      </c>
      <c r="AD827" s="56">
        <f>IF(AQ827="7",BH827,0)</f>
      </c>
      <c r="AE827" s="56">
        <f>IF(AQ827="7",BI827,0)</f>
      </c>
      <c r="AF827" s="56">
        <f>IF(AQ827="2",BH827,0)</f>
      </c>
      <c r="AG827" s="56">
        <f>IF(AQ827="2",BI827,0)</f>
      </c>
      <c r="AH827" s="56">
        <f>IF(AQ827="0",BJ827,0)</f>
      </c>
      <c r="AI827" s="28" t="s">
        <v>57</v>
      </c>
      <c r="AJ827" s="56">
        <f>IF(AN827=0,J827,0)</f>
      </c>
      <c r="AK827" s="56">
        <f>IF(AN827=12,J827,0)</f>
      </c>
      <c r="AL827" s="56">
        <f>IF(AN827=21,J827,0)</f>
      </c>
      <c r="AN827" s="56" t="n">
        <v>21</v>
      </c>
      <c r="AO827" s="56">
        <f>G827*0.501914187</f>
      </c>
      <c r="AP827" s="56">
        <f>G827*(1-0.501914187)</f>
      </c>
      <c r="AQ827" s="57" t="s">
        <v>85</v>
      </c>
      <c r="AV827" s="56">
        <f>AW827+AX827</f>
      </c>
      <c r="AW827" s="56">
        <f>F827*AO827</f>
      </c>
      <c r="AX827" s="56">
        <f>F827*AP827</f>
      </c>
      <c r="AY827" s="57" t="s">
        <v>1323</v>
      </c>
      <c r="AZ827" s="57" t="s">
        <v>1267</v>
      </c>
      <c r="BA827" s="28" t="s">
        <v>64</v>
      </c>
      <c r="BC827" s="56">
        <f>AW827+AX827</f>
      </c>
      <c r="BD827" s="56">
        <f>G827/(100-BE827)*100</f>
      </c>
      <c r="BE827" s="56" t="n">
        <v>0</v>
      </c>
      <c r="BF827" s="56">
        <f>827</f>
      </c>
      <c r="BH827" s="56">
        <f>F827*AO827</f>
      </c>
      <c r="BI827" s="56">
        <f>F827*AP827</f>
      </c>
      <c r="BJ827" s="56">
        <f>F827*G827</f>
      </c>
      <c r="BK827" s="56"/>
      <c r="BL827" s="56" t="n">
        <v>783</v>
      </c>
      <c r="BW827" s="56" t="n">
        <v>21</v>
      </c>
      <c r="BX827" s="14" t="s">
        <v>1363</v>
      </c>
    </row>
    <row r="828">
      <c r="A828" s="74"/>
      <c r="B828" s="75"/>
      <c r="C828" s="76" t="s">
        <v>1358</v>
      </c>
      <c r="D828" s="77" t="s">
        <v>1359</v>
      </c>
      <c r="E828" s="75"/>
      <c r="F828" s="78" t="n">
        <v>0.594</v>
      </c>
      <c r="G828" s="75"/>
      <c r="H828" s="75"/>
      <c r="I828" s="75"/>
      <c r="J828" s="75"/>
      <c r="K828" s="79"/>
    </row>
    <row r="829">
      <c r="A829" s="58"/>
      <c r="B829" s="80" t="s">
        <v>108</v>
      </c>
      <c r="C829" s="59" t="s">
        <v>1364</v>
      </c>
      <c r="D829" s="60"/>
      <c r="E829" s="60"/>
      <c r="F829" s="60"/>
      <c r="G829" s="60"/>
      <c r="H829" s="60"/>
      <c r="I829" s="60"/>
      <c r="J829" s="60"/>
      <c r="K829" s="61"/>
      <c r="BX829" s="81" t="s">
        <v>1364</v>
      </c>
    </row>
    <row r="830">
      <c r="A830" s="62" t="s">
        <v>53</v>
      </c>
      <c r="B830" s="63" t="s">
        <v>1365</v>
      </c>
      <c r="C830" s="64" t="s">
        <v>1366</v>
      </c>
      <c r="D830" s="63"/>
      <c r="E830" s="65" t="s">
        <v>34</v>
      </c>
      <c r="F830" s="65" t="s">
        <v>34</v>
      </c>
      <c r="G830" s="65" t="s">
        <v>34</v>
      </c>
      <c r="H830" s="66">
        <f>SUM(H831:H841)</f>
      </c>
      <c r="I830" s="66">
        <f>SUM(I831:I841)</f>
      </c>
      <c r="J830" s="66">
        <f>SUM(J831:J841)</f>
      </c>
      <c r="K830" s="67" t="s">
        <v>53</v>
      </c>
      <c r="AI830" s="28" t="s">
        <v>57</v>
      </c>
      <c r="AS830" s="2">
        <f>SUM(AJ831:AJ841)</f>
      </c>
      <c r="AT830" s="2">
        <f>SUM(AK831:AK841)</f>
      </c>
      <c r="AU830" s="2">
        <f>SUM(AL831:AL841)</f>
      </c>
    </row>
    <row r="831">
      <c r="A831" s="51" t="s">
        <v>1367</v>
      </c>
      <c r="B831" s="52" t="s">
        <v>1368</v>
      </c>
      <c r="C831" s="53" t="s">
        <v>1369</v>
      </c>
      <c r="D831" s="52"/>
      <c r="E831" s="52" t="s">
        <v>130</v>
      </c>
      <c r="F831" s="54" t="n">
        <v>523.10965</v>
      </c>
      <c r="G831" s="54" t="n">
        <v>0</v>
      </c>
      <c r="H831" s="54">
        <f>F831*AO831</f>
      </c>
      <c r="I831" s="54">
        <f>F831*AP831</f>
      </c>
      <c r="J831" s="54">
        <f>F831*G831</f>
      </c>
      <c r="K831" s="55" t="s">
        <v>100</v>
      </c>
      <c r="Z831" s="56">
        <f>IF(AQ831="5",BJ831,0)</f>
      </c>
      <c r="AB831" s="56">
        <f>IF(AQ831="1",BH831,0)</f>
      </c>
      <c r="AC831" s="56">
        <f>IF(AQ831="1",BI831,0)</f>
      </c>
      <c r="AD831" s="56">
        <f>IF(AQ831="7",BH831,0)</f>
      </c>
      <c r="AE831" s="56">
        <f>IF(AQ831="7",BI831,0)</f>
      </c>
      <c r="AF831" s="56">
        <f>IF(AQ831="2",BH831,0)</f>
      </c>
      <c r="AG831" s="56">
        <f>IF(AQ831="2",BI831,0)</f>
      </c>
      <c r="AH831" s="56">
        <f>IF(AQ831="0",BJ831,0)</f>
      </c>
      <c r="AI831" s="28" t="s">
        <v>57</v>
      </c>
      <c r="AJ831" s="56">
        <f>IF(AN831=0,J831,0)</f>
      </c>
      <c r="AK831" s="56">
        <f>IF(AN831=12,J831,0)</f>
      </c>
      <c r="AL831" s="56">
        <f>IF(AN831=21,J831,0)</f>
      </c>
      <c r="AN831" s="56" t="n">
        <v>21</v>
      </c>
      <c r="AO831" s="56">
        <f>G831*0.21767437</f>
      </c>
      <c r="AP831" s="56">
        <f>G831*(1-0.21767437)</f>
      </c>
      <c r="AQ831" s="57" t="s">
        <v>85</v>
      </c>
      <c r="AV831" s="56">
        <f>AW831+AX831</f>
      </c>
      <c r="AW831" s="56">
        <f>F831*AO831</f>
      </c>
      <c r="AX831" s="56">
        <f>F831*AP831</f>
      </c>
      <c r="AY831" s="57" t="s">
        <v>1370</v>
      </c>
      <c r="AZ831" s="57" t="s">
        <v>1267</v>
      </c>
      <c r="BA831" s="28" t="s">
        <v>64</v>
      </c>
      <c r="BC831" s="56">
        <f>AW831+AX831</f>
      </c>
      <c r="BD831" s="56">
        <f>G831/(100-BE831)*100</f>
      </c>
      <c r="BE831" s="56" t="n">
        <v>0</v>
      </c>
      <c r="BF831" s="56">
        <f>831</f>
      </c>
      <c r="BH831" s="56">
        <f>F831*AO831</f>
      </c>
      <c r="BI831" s="56">
        <f>F831*AP831</f>
      </c>
      <c r="BJ831" s="56">
        <f>F831*G831</f>
      </c>
      <c r="BK831" s="56"/>
      <c r="BL831" s="56" t="n">
        <v>784</v>
      </c>
      <c r="BW831" s="56" t="n">
        <v>21</v>
      </c>
      <c r="BX831" s="14" t="s">
        <v>1369</v>
      </c>
    </row>
    <row r="832">
      <c r="A832" s="74"/>
      <c r="B832" s="75"/>
      <c r="C832" s="76" t="s">
        <v>173</v>
      </c>
      <c r="D832" s="77" t="s">
        <v>145</v>
      </c>
      <c r="E832" s="75"/>
      <c r="F832" s="78" t="n">
        <v>55.1496</v>
      </c>
      <c r="G832" s="75"/>
      <c r="H832" s="75"/>
      <c r="I832" s="75"/>
      <c r="J832" s="75"/>
      <c r="K832" s="79"/>
    </row>
    <row r="833">
      <c r="A833" s="74"/>
      <c r="B833" s="75"/>
      <c r="C833" s="76" t="s">
        <v>174</v>
      </c>
      <c r="D833" s="77" t="s">
        <v>155</v>
      </c>
      <c r="E833" s="75"/>
      <c r="F833" s="78" t="n">
        <v>111.61951</v>
      </c>
      <c r="G833" s="75"/>
      <c r="H833" s="75"/>
      <c r="I833" s="75"/>
      <c r="J833" s="75"/>
      <c r="K833" s="79"/>
    </row>
    <row r="834">
      <c r="A834" s="74"/>
      <c r="B834" s="75"/>
      <c r="C834" s="76" t="s">
        <v>175</v>
      </c>
      <c r="D834" s="77" t="s">
        <v>163</v>
      </c>
      <c r="E834" s="75"/>
      <c r="F834" s="78" t="n">
        <v>65.20954</v>
      </c>
      <c r="G834" s="75"/>
      <c r="H834" s="75"/>
      <c r="I834" s="75"/>
      <c r="J834" s="75"/>
      <c r="K834" s="79"/>
    </row>
    <row r="835">
      <c r="A835" s="74"/>
      <c r="B835" s="75"/>
      <c r="C835" s="76" t="s">
        <v>1371</v>
      </c>
      <c r="D835" s="77" t="s">
        <v>185</v>
      </c>
      <c r="E835" s="75"/>
      <c r="F835" s="78" t="n">
        <v>27.771</v>
      </c>
      <c r="G835" s="75"/>
      <c r="H835" s="75"/>
      <c r="I835" s="75"/>
      <c r="J835" s="75"/>
      <c r="K835" s="79"/>
    </row>
    <row r="836">
      <c r="A836" s="74"/>
      <c r="B836" s="75"/>
      <c r="C836" s="76" t="s">
        <v>1372</v>
      </c>
      <c r="D836" s="77" t="s">
        <v>194</v>
      </c>
      <c r="E836" s="75"/>
      <c r="F836" s="78" t="n">
        <v>102.5332</v>
      </c>
      <c r="G836" s="75"/>
      <c r="H836" s="75"/>
      <c r="I836" s="75"/>
      <c r="J836" s="75"/>
      <c r="K836" s="79"/>
    </row>
    <row r="837">
      <c r="A837" s="74"/>
      <c r="B837" s="75"/>
      <c r="C837" s="76" t="s">
        <v>1373</v>
      </c>
      <c r="D837" s="77" t="s">
        <v>520</v>
      </c>
      <c r="E837" s="75"/>
      <c r="F837" s="78" t="n">
        <v>54.7668</v>
      </c>
      <c r="G837" s="75"/>
      <c r="H837" s="75"/>
      <c r="I837" s="75"/>
      <c r="J837" s="75"/>
      <c r="K837" s="79"/>
    </row>
    <row r="838">
      <c r="A838" s="74"/>
      <c r="B838" s="75"/>
      <c r="C838" s="76" t="s">
        <v>239</v>
      </c>
      <c r="D838" s="77" t="s">
        <v>1374</v>
      </c>
      <c r="E838" s="75"/>
      <c r="F838" s="78" t="n">
        <v>29</v>
      </c>
      <c r="G838" s="75"/>
      <c r="H838" s="75"/>
      <c r="I838" s="75"/>
      <c r="J838" s="75"/>
      <c r="K838" s="79"/>
    </row>
    <row r="839">
      <c r="A839" s="74"/>
      <c r="B839" s="75"/>
      <c r="C839" s="76" t="s">
        <v>1375</v>
      </c>
      <c r="D839" s="77" t="s">
        <v>1376</v>
      </c>
      <c r="E839" s="75"/>
      <c r="F839" s="78" t="n">
        <v>77.06</v>
      </c>
      <c r="G839" s="75"/>
      <c r="H839" s="75"/>
      <c r="I839" s="75"/>
      <c r="J839" s="75"/>
      <c r="K839" s="79"/>
    </row>
    <row r="840" ht="24.75">
      <c r="A840" s="58"/>
      <c r="B840" s="80" t="s">
        <v>108</v>
      </c>
      <c r="C840" s="59" t="s">
        <v>1377</v>
      </c>
      <c r="D840" s="60"/>
      <c r="E840" s="60"/>
      <c r="F840" s="60"/>
      <c r="G840" s="60"/>
      <c r="H840" s="60"/>
      <c r="I840" s="60"/>
      <c r="J840" s="60"/>
      <c r="K840" s="61"/>
      <c r="BX840" s="81" t="s">
        <v>1377</v>
      </c>
    </row>
    <row r="841">
      <c r="A841" s="82" t="s">
        <v>1378</v>
      </c>
      <c r="B841" s="83" t="s">
        <v>1379</v>
      </c>
      <c r="C841" s="84" t="s">
        <v>1380</v>
      </c>
      <c r="D841" s="83"/>
      <c r="E841" s="83" t="s">
        <v>130</v>
      </c>
      <c r="F841" s="85" t="n">
        <v>523.10965</v>
      </c>
      <c r="G841" s="85" t="n">
        <v>0</v>
      </c>
      <c r="H841" s="85">
        <f>F841*AO841</f>
      </c>
      <c r="I841" s="85">
        <f>F841*AP841</f>
      </c>
      <c r="J841" s="85">
        <f>F841*G841</f>
      </c>
      <c r="K841" s="86" t="s">
        <v>100</v>
      </c>
      <c r="Z841" s="56">
        <f>IF(AQ841="5",BJ841,0)</f>
      </c>
      <c r="AB841" s="56">
        <f>IF(AQ841="1",BH841,0)</f>
      </c>
      <c r="AC841" s="56">
        <f>IF(AQ841="1",BI841,0)</f>
      </c>
      <c r="AD841" s="56">
        <f>IF(AQ841="7",BH841,0)</f>
      </c>
      <c r="AE841" s="56">
        <f>IF(AQ841="7",BI841,0)</f>
      </c>
      <c r="AF841" s="56">
        <f>IF(AQ841="2",BH841,0)</f>
      </c>
      <c r="AG841" s="56">
        <f>IF(AQ841="2",BI841,0)</f>
      </c>
      <c r="AH841" s="56">
        <f>IF(AQ841="0",BJ841,0)</f>
      </c>
      <c r="AI841" s="28" t="s">
        <v>57</v>
      </c>
      <c r="AJ841" s="56">
        <f>IF(AN841=0,J841,0)</f>
      </c>
      <c r="AK841" s="56">
        <f>IF(AN841=12,J841,0)</f>
      </c>
      <c r="AL841" s="56">
        <f>IF(AN841=21,J841,0)</f>
      </c>
      <c r="AN841" s="56" t="n">
        <v>21</v>
      </c>
      <c r="AO841" s="56">
        <f>G841*0.250331117</f>
      </c>
      <c r="AP841" s="56">
        <f>G841*(1-0.250331117)</f>
      </c>
      <c r="AQ841" s="57" t="s">
        <v>85</v>
      </c>
      <c r="AV841" s="56">
        <f>AW841+AX841</f>
      </c>
      <c r="AW841" s="56">
        <f>F841*AO841</f>
      </c>
      <c r="AX841" s="56">
        <f>F841*AP841</f>
      </c>
      <c r="AY841" s="57" t="s">
        <v>1370</v>
      </c>
      <c r="AZ841" s="57" t="s">
        <v>1267</v>
      </c>
      <c r="BA841" s="28" t="s">
        <v>64</v>
      </c>
      <c r="BC841" s="56">
        <f>AW841+AX841</f>
      </c>
      <c r="BD841" s="56">
        <f>G841/(100-BE841)*100</f>
      </c>
      <c r="BE841" s="56" t="n">
        <v>0</v>
      </c>
      <c r="BF841" s="56">
        <f>841</f>
      </c>
      <c r="BH841" s="56">
        <f>F841*AO841</f>
      </c>
      <c r="BI841" s="56">
        <f>F841*AP841</f>
      </c>
      <c r="BJ841" s="56">
        <f>F841*G841</f>
      </c>
      <c r="BK841" s="56"/>
      <c r="BL841" s="56" t="n">
        <v>784</v>
      </c>
      <c r="BW841" s="56" t="n">
        <v>21</v>
      </c>
      <c r="BX841" s="14" t="s">
        <v>1380</v>
      </c>
    </row>
    <row r="842">
      <c r="A842" s="74"/>
      <c r="B842" s="75"/>
      <c r="C842" s="76" t="s">
        <v>1381</v>
      </c>
      <c r="D842" s="77" t="s">
        <v>1382</v>
      </c>
      <c r="E842" s="75"/>
      <c r="F842" s="78" t="n">
        <v>523.10965</v>
      </c>
      <c r="G842" s="75"/>
      <c r="H842" s="75"/>
      <c r="I842" s="75"/>
      <c r="J842" s="75"/>
      <c r="K842" s="79"/>
    </row>
    <row r="843">
      <c r="A843" s="58"/>
      <c r="B843" s="80" t="s">
        <v>108</v>
      </c>
      <c r="C843" s="59" t="s">
        <v>1383</v>
      </c>
      <c r="D843" s="60"/>
      <c r="E843" s="60"/>
      <c r="F843" s="60"/>
      <c r="G843" s="60"/>
      <c r="H843" s="60"/>
      <c r="I843" s="60"/>
      <c r="J843" s="60"/>
      <c r="K843" s="61"/>
      <c r="BX843" s="81" t="s">
        <v>1383</v>
      </c>
    </row>
    <row r="844">
      <c r="A844" s="62" t="s">
        <v>53</v>
      </c>
      <c r="B844" s="63" t="s">
        <v>689</v>
      </c>
      <c r="C844" s="64" t="s">
        <v>1384</v>
      </c>
      <c r="D844" s="63"/>
      <c r="E844" s="65" t="s">
        <v>34</v>
      </c>
      <c r="F844" s="65" t="s">
        <v>34</v>
      </c>
      <c r="G844" s="65" t="s">
        <v>34</v>
      </c>
      <c r="H844" s="66">
        <f>SUM(H845:H849)</f>
      </c>
      <c r="I844" s="66">
        <f>SUM(I845:I849)</f>
      </c>
      <c r="J844" s="66">
        <f>SUM(J845:J849)</f>
      </c>
      <c r="K844" s="67" t="s">
        <v>53</v>
      </c>
      <c r="AI844" s="28" t="s">
        <v>57</v>
      </c>
      <c r="AS844" s="2">
        <f>SUM(AJ845:AJ849)</f>
      </c>
      <c r="AT844" s="2">
        <f>SUM(AK845:AK849)</f>
      </c>
      <c r="AU844" s="2">
        <f>SUM(AL845:AL849)</f>
      </c>
    </row>
    <row r="845">
      <c r="A845" s="51" t="s">
        <v>1385</v>
      </c>
      <c r="B845" s="52" t="s">
        <v>1386</v>
      </c>
      <c r="C845" s="53" t="s">
        <v>1387</v>
      </c>
      <c r="D845" s="52"/>
      <c r="E845" s="52" t="s">
        <v>130</v>
      </c>
      <c r="F845" s="54" t="n">
        <v>642.645</v>
      </c>
      <c r="G845" s="54" t="n">
        <v>0</v>
      </c>
      <c r="H845" s="54">
        <f>F845*AO845</f>
      </c>
      <c r="I845" s="54">
        <f>F845*AP845</f>
      </c>
      <c r="J845" s="54">
        <f>F845*G845</f>
      </c>
      <c r="K845" s="55" t="s">
        <v>100</v>
      </c>
      <c r="Z845" s="56">
        <f>IF(AQ845="5",BJ845,0)</f>
      </c>
      <c r="AB845" s="56">
        <f>IF(AQ845="1",BH845,0)</f>
      </c>
      <c r="AC845" s="56">
        <f>IF(AQ845="1",BI845,0)</f>
      </c>
      <c r="AD845" s="56">
        <f>IF(AQ845="7",BH845,0)</f>
      </c>
      <c r="AE845" s="56">
        <f>IF(AQ845="7",BI845,0)</f>
      </c>
      <c r="AF845" s="56">
        <f>IF(AQ845="2",BH845,0)</f>
      </c>
      <c r="AG845" s="56">
        <f>IF(AQ845="2",BI845,0)</f>
      </c>
      <c r="AH845" s="56">
        <f>IF(AQ845="0",BJ845,0)</f>
      </c>
      <c r="AI845" s="28" t="s">
        <v>57</v>
      </c>
      <c r="AJ845" s="56">
        <f>IF(AN845=0,J845,0)</f>
      </c>
      <c r="AK845" s="56">
        <f>IF(AN845=12,J845,0)</f>
      </c>
      <c r="AL845" s="56">
        <f>IF(AN845=21,J845,0)</f>
      </c>
      <c r="AN845" s="56" t="n">
        <v>21</v>
      </c>
      <c r="AO845" s="56">
        <f>G845*0.156294275</f>
      </c>
      <c r="AP845" s="56">
        <f>G845*(1-0.156294275)</f>
      </c>
      <c r="AQ845" s="57" t="s">
        <v>58</v>
      </c>
      <c r="AV845" s="56">
        <f>AW845+AX845</f>
      </c>
      <c r="AW845" s="56">
        <f>F845*AO845</f>
      </c>
      <c r="AX845" s="56">
        <f>F845*AP845</f>
      </c>
      <c r="AY845" s="57" t="s">
        <v>1388</v>
      </c>
      <c r="AZ845" s="57" t="s">
        <v>63</v>
      </c>
      <c r="BA845" s="28" t="s">
        <v>64</v>
      </c>
      <c r="BC845" s="56">
        <f>AW845+AX845</f>
      </c>
      <c r="BD845" s="56">
        <f>G845/(100-BE845)*100</f>
      </c>
      <c r="BE845" s="56" t="n">
        <v>0</v>
      </c>
      <c r="BF845" s="56">
        <f>845</f>
      </c>
      <c r="BH845" s="56">
        <f>F845*AO845</f>
      </c>
      <c r="BI845" s="56">
        <f>F845*AP845</f>
      </c>
      <c r="BJ845" s="56">
        <f>F845*G845</f>
      </c>
      <c r="BK845" s="56"/>
      <c r="BL845" s="56" t="n">
        <v>94</v>
      </c>
      <c r="BW845" s="56" t="n">
        <v>21</v>
      </c>
      <c r="BX845" s="14" t="s">
        <v>1387</v>
      </c>
    </row>
    <row r="846" customHeight="true" ht="13.5">
      <c r="A846" s="58"/>
      <c r="C846" s="59" t="s">
        <v>1389</v>
      </c>
      <c r="D846" s="60"/>
      <c r="E846" s="60"/>
      <c r="F846" s="60"/>
      <c r="G846" s="60"/>
      <c r="H846" s="60"/>
      <c r="I846" s="60"/>
      <c r="J846" s="60"/>
      <c r="K846" s="61"/>
    </row>
    <row r="847">
      <c r="A847" s="68"/>
      <c r="B847" s="69"/>
      <c r="C847" s="70" t="s">
        <v>1390</v>
      </c>
      <c r="D847" s="71" t="s">
        <v>1391</v>
      </c>
      <c r="E847" s="69"/>
      <c r="F847" s="72" t="n">
        <v>551.645</v>
      </c>
      <c r="G847" s="69"/>
      <c r="H847" s="69"/>
      <c r="I847" s="69"/>
      <c r="J847" s="69"/>
      <c r="K847" s="73"/>
    </row>
    <row r="848">
      <c r="A848" s="74"/>
      <c r="B848" s="75"/>
      <c r="C848" s="76" t="s">
        <v>1392</v>
      </c>
      <c r="D848" s="77" t="s">
        <v>1393</v>
      </c>
      <c r="E848" s="75"/>
      <c r="F848" s="78" t="n">
        <v>91</v>
      </c>
      <c r="G848" s="75"/>
      <c r="H848" s="75"/>
      <c r="I848" s="75"/>
      <c r="J848" s="75"/>
      <c r="K848" s="79"/>
    </row>
    <row r="849">
      <c r="A849" s="51" t="s">
        <v>1394</v>
      </c>
      <c r="B849" s="52" t="s">
        <v>1395</v>
      </c>
      <c r="C849" s="53" t="s">
        <v>1396</v>
      </c>
      <c r="D849" s="52"/>
      <c r="E849" s="52" t="s">
        <v>130</v>
      </c>
      <c r="F849" s="54" t="n">
        <v>75.5</v>
      </c>
      <c r="G849" s="54" t="n">
        <v>0</v>
      </c>
      <c r="H849" s="54">
        <f>F849*AO849</f>
      </c>
      <c r="I849" s="54">
        <f>F849*AP849</f>
      </c>
      <c r="J849" s="54">
        <f>F849*G849</f>
      </c>
      <c r="K849" s="55" t="s">
        <v>100</v>
      </c>
      <c r="Z849" s="56">
        <f>IF(AQ849="5",BJ849,0)</f>
      </c>
      <c r="AB849" s="56">
        <f>IF(AQ849="1",BH849,0)</f>
      </c>
      <c r="AC849" s="56">
        <f>IF(AQ849="1",BI849,0)</f>
      </c>
      <c r="AD849" s="56">
        <f>IF(AQ849="7",BH849,0)</f>
      </c>
      <c r="AE849" s="56">
        <f>IF(AQ849="7",BI849,0)</f>
      </c>
      <c r="AF849" s="56">
        <f>IF(AQ849="2",BH849,0)</f>
      </c>
      <c r="AG849" s="56">
        <f>IF(AQ849="2",BI849,0)</f>
      </c>
      <c r="AH849" s="56">
        <f>IF(AQ849="0",BJ849,0)</f>
      </c>
      <c r="AI849" s="28" t="s">
        <v>57</v>
      </c>
      <c r="AJ849" s="56">
        <f>IF(AN849=0,J849,0)</f>
      </c>
      <c r="AK849" s="56">
        <f>IF(AN849=12,J849,0)</f>
      </c>
      <c r="AL849" s="56">
        <f>IF(AN849=21,J849,0)</f>
      </c>
      <c r="AN849" s="56" t="n">
        <v>21</v>
      </c>
      <c r="AO849" s="56">
        <f>G849*0.348242872</f>
      </c>
      <c r="AP849" s="56">
        <f>G849*(1-0.348242872)</f>
      </c>
      <c r="AQ849" s="57" t="s">
        <v>58</v>
      </c>
      <c r="AV849" s="56">
        <f>AW849+AX849</f>
      </c>
      <c r="AW849" s="56">
        <f>F849*AO849</f>
      </c>
      <c r="AX849" s="56">
        <f>F849*AP849</f>
      </c>
      <c r="AY849" s="57" t="s">
        <v>1388</v>
      </c>
      <c r="AZ849" s="57" t="s">
        <v>63</v>
      </c>
      <c r="BA849" s="28" t="s">
        <v>64</v>
      </c>
      <c r="BC849" s="56">
        <f>AW849+AX849</f>
      </c>
      <c r="BD849" s="56">
        <f>G849/(100-BE849)*100</f>
      </c>
      <c r="BE849" s="56" t="n">
        <v>0</v>
      </c>
      <c r="BF849" s="56">
        <f>849</f>
      </c>
      <c r="BH849" s="56">
        <f>F849*AO849</f>
      </c>
      <c r="BI849" s="56">
        <f>F849*AP849</f>
      </c>
      <c r="BJ849" s="56">
        <f>F849*G849</f>
      </c>
      <c r="BK849" s="56"/>
      <c r="BL849" s="56" t="n">
        <v>94</v>
      </c>
      <c r="BW849" s="56" t="n">
        <v>21</v>
      </c>
      <c r="BX849" s="14" t="s">
        <v>1396</v>
      </c>
    </row>
    <row r="850" customHeight="true" ht="13.5">
      <c r="A850" s="58"/>
      <c r="C850" s="59" t="s">
        <v>1397</v>
      </c>
      <c r="D850" s="60"/>
      <c r="E850" s="60"/>
      <c r="F850" s="60"/>
      <c r="G850" s="60"/>
      <c r="H850" s="60"/>
      <c r="I850" s="60"/>
      <c r="J850" s="60"/>
      <c r="K850" s="61"/>
    </row>
    <row r="851">
      <c r="A851" s="68"/>
      <c r="B851" s="69"/>
      <c r="C851" s="70" t="s">
        <v>1398</v>
      </c>
      <c r="D851" s="71" t="s">
        <v>53</v>
      </c>
      <c r="E851" s="69"/>
      <c r="F851" s="72" t="n">
        <v>75.5</v>
      </c>
      <c r="G851" s="69"/>
      <c r="H851" s="69"/>
      <c r="I851" s="69"/>
      <c r="J851" s="69"/>
      <c r="K851" s="73"/>
    </row>
    <row r="852">
      <c r="A852" s="45" t="s">
        <v>53</v>
      </c>
      <c r="B852" s="46" t="s">
        <v>701</v>
      </c>
      <c r="C852" s="47" t="s">
        <v>1399</v>
      </c>
      <c r="D852" s="46"/>
      <c r="E852" s="48" t="s">
        <v>34</v>
      </c>
      <c r="F852" s="48" t="s">
        <v>34</v>
      </c>
      <c r="G852" s="48" t="s">
        <v>34</v>
      </c>
      <c r="H852" s="49">
        <f>SUM(H853:H870)</f>
      </c>
      <c r="I852" s="49">
        <f>SUM(I853:I870)</f>
      </c>
      <c r="J852" s="49">
        <f>SUM(J853:J870)</f>
      </c>
      <c r="K852" s="50" t="s">
        <v>53</v>
      </c>
      <c r="AI852" s="28" t="s">
        <v>57</v>
      </c>
      <c r="AS852" s="2">
        <f>SUM(AJ853:AJ870)</f>
      </c>
      <c r="AT852" s="2">
        <f>SUM(AK853:AK870)</f>
      </c>
      <c r="AU852" s="2">
        <f>SUM(AL853:AL870)</f>
      </c>
    </row>
    <row r="853">
      <c r="A853" s="51" t="s">
        <v>1400</v>
      </c>
      <c r="B853" s="52" t="s">
        <v>1401</v>
      </c>
      <c r="C853" s="53" t="s">
        <v>1402</v>
      </c>
      <c r="D853" s="52"/>
      <c r="E853" s="52" t="s">
        <v>99</v>
      </c>
      <c r="F853" s="54" t="n">
        <v>2.2</v>
      </c>
      <c r="G853" s="54" t="n">
        <v>0</v>
      </c>
      <c r="H853" s="54">
        <f>F853*AO853</f>
      </c>
      <c r="I853" s="54">
        <f>F853*AP853</f>
      </c>
      <c r="J853" s="54">
        <f>F853*G853</f>
      </c>
      <c r="K853" s="55" t="s">
        <v>100</v>
      </c>
      <c r="Z853" s="56">
        <f>IF(AQ853="5",BJ853,0)</f>
      </c>
      <c r="AB853" s="56">
        <f>IF(AQ853="1",BH853,0)</f>
      </c>
      <c r="AC853" s="56">
        <f>IF(AQ853="1",BI853,0)</f>
      </c>
      <c r="AD853" s="56">
        <f>IF(AQ853="7",BH853,0)</f>
      </c>
      <c r="AE853" s="56">
        <f>IF(AQ853="7",BI853,0)</f>
      </c>
      <c r="AF853" s="56">
        <f>IF(AQ853="2",BH853,0)</f>
      </c>
      <c r="AG853" s="56">
        <f>IF(AQ853="2",BI853,0)</f>
      </c>
      <c r="AH853" s="56">
        <f>IF(AQ853="0",BJ853,0)</f>
      </c>
      <c r="AI853" s="28" t="s">
        <v>57</v>
      </c>
      <c r="AJ853" s="56">
        <f>IF(AN853=0,J853,0)</f>
      </c>
      <c r="AK853" s="56">
        <f>IF(AN853=12,J853,0)</f>
      </c>
      <c r="AL853" s="56">
        <f>IF(AN853=21,J853,0)</f>
      </c>
      <c r="AN853" s="56" t="n">
        <v>21</v>
      </c>
      <c r="AO853" s="56">
        <f>G853*0</f>
      </c>
      <c r="AP853" s="56">
        <f>G853*(1-0)</f>
      </c>
      <c r="AQ853" s="57" t="s">
        <v>58</v>
      </c>
      <c r="AV853" s="56">
        <f>AW853+AX853</f>
      </c>
      <c r="AW853" s="56">
        <f>F853*AO853</f>
      </c>
      <c r="AX853" s="56">
        <f>F853*AP853</f>
      </c>
      <c r="AY853" s="57" t="s">
        <v>1403</v>
      </c>
      <c r="AZ853" s="57" t="s">
        <v>63</v>
      </c>
      <c r="BA853" s="28" t="s">
        <v>64</v>
      </c>
      <c r="BC853" s="56">
        <f>AW853+AX853</f>
      </c>
      <c r="BD853" s="56">
        <f>G853/(100-BE853)*100</f>
      </c>
      <c r="BE853" s="56" t="n">
        <v>0</v>
      </c>
      <c r="BF853" s="56">
        <f>853</f>
      </c>
      <c r="BH853" s="56">
        <f>F853*AO853</f>
      </c>
      <c r="BI853" s="56">
        <f>F853*AP853</f>
      </c>
      <c r="BJ853" s="56">
        <f>F853*G853</f>
      </c>
      <c r="BK853" s="56"/>
      <c r="BL853" s="56" t="n">
        <v>96</v>
      </c>
      <c r="BW853" s="56" t="n">
        <v>21</v>
      </c>
      <c r="BX853" s="14" t="s">
        <v>1402</v>
      </c>
    </row>
    <row r="854">
      <c r="A854" s="74"/>
      <c r="B854" s="75"/>
      <c r="C854" s="76" t="s">
        <v>1404</v>
      </c>
      <c r="D854" s="77" t="s">
        <v>1405</v>
      </c>
      <c r="E854" s="75"/>
      <c r="F854" s="78" t="n">
        <v>2.2</v>
      </c>
      <c r="G854" s="75"/>
      <c r="H854" s="75"/>
      <c r="I854" s="75"/>
      <c r="J854" s="75"/>
      <c r="K854" s="79"/>
    </row>
    <row r="855">
      <c r="A855" s="58"/>
      <c r="B855" s="80" t="s">
        <v>108</v>
      </c>
      <c r="C855" s="59" t="s">
        <v>1406</v>
      </c>
      <c r="D855" s="60"/>
      <c r="E855" s="60"/>
      <c r="F855" s="60"/>
      <c r="G855" s="60"/>
      <c r="H855" s="60"/>
      <c r="I855" s="60"/>
      <c r="J855" s="60"/>
      <c r="K855" s="61"/>
      <c r="BX855" s="81" t="s">
        <v>1406</v>
      </c>
    </row>
    <row r="856">
      <c r="A856" s="82" t="s">
        <v>1407</v>
      </c>
      <c r="B856" s="83" t="s">
        <v>1408</v>
      </c>
      <c r="C856" s="84" t="s">
        <v>1409</v>
      </c>
      <c r="D856" s="83"/>
      <c r="E856" s="83" t="s">
        <v>130</v>
      </c>
      <c r="F856" s="85" t="n">
        <v>1.576</v>
      </c>
      <c r="G856" s="85" t="n">
        <v>0</v>
      </c>
      <c r="H856" s="85">
        <f>F856*AO856</f>
      </c>
      <c r="I856" s="85">
        <f>F856*AP856</f>
      </c>
      <c r="J856" s="85">
        <f>F856*G856</f>
      </c>
      <c r="K856" s="86" t="s">
        <v>100</v>
      </c>
      <c r="Z856" s="56">
        <f>IF(AQ856="5",BJ856,0)</f>
      </c>
      <c r="AB856" s="56">
        <f>IF(AQ856="1",BH856,0)</f>
      </c>
      <c r="AC856" s="56">
        <f>IF(AQ856="1",BI856,0)</f>
      </c>
      <c r="AD856" s="56">
        <f>IF(AQ856="7",BH856,0)</f>
      </c>
      <c r="AE856" s="56">
        <f>IF(AQ856="7",BI856,0)</f>
      </c>
      <c r="AF856" s="56">
        <f>IF(AQ856="2",BH856,0)</f>
      </c>
      <c r="AG856" s="56">
        <f>IF(AQ856="2",BI856,0)</f>
      </c>
      <c r="AH856" s="56">
        <f>IF(AQ856="0",BJ856,0)</f>
      </c>
      <c r="AI856" s="28" t="s">
        <v>57</v>
      </c>
      <c r="AJ856" s="56">
        <f>IF(AN856=0,J856,0)</f>
      </c>
      <c r="AK856" s="56">
        <f>IF(AN856=12,J856,0)</f>
      </c>
      <c r="AL856" s="56">
        <f>IF(AN856=21,J856,0)</f>
      </c>
      <c r="AN856" s="56" t="n">
        <v>21</v>
      </c>
      <c r="AO856" s="56">
        <f>G856*0.075736672</f>
      </c>
      <c r="AP856" s="56">
        <f>G856*(1-0.075736672)</f>
      </c>
      <c r="AQ856" s="57" t="s">
        <v>58</v>
      </c>
      <c r="AV856" s="56">
        <f>AW856+AX856</f>
      </c>
      <c r="AW856" s="56">
        <f>F856*AO856</f>
      </c>
      <c r="AX856" s="56">
        <f>F856*AP856</f>
      </c>
      <c r="AY856" s="57" t="s">
        <v>1403</v>
      </c>
      <c r="AZ856" s="57" t="s">
        <v>63</v>
      </c>
      <c r="BA856" s="28" t="s">
        <v>64</v>
      </c>
      <c r="BC856" s="56">
        <f>AW856+AX856</f>
      </c>
      <c r="BD856" s="56">
        <f>G856/(100-BE856)*100</f>
      </c>
      <c r="BE856" s="56" t="n">
        <v>0</v>
      </c>
      <c r="BF856" s="56">
        <f>856</f>
      </c>
      <c r="BH856" s="56">
        <f>F856*AO856</f>
      </c>
      <c r="BI856" s="56">
        <f>F856*AP856</f>
      </c>
      <c r="BJ856" s="56">
        <f>F856*G856</f>
      </c>
      <c r="BK856" s="56"/>
      <c r="BL856" s="56" t="n">
        <v>96</v>
      </c>
      <c r="BW856" s="56" t="n">
        <v>21</v>
      </c>
      <c r="BX856" s="14" t="s">
        <v>1409</v>
      </c>
    </row>
    <row r="857">
      <c r="A857" s="74"/>
      <c r="B857" s="75"/>
      <c r="C857" s="76" t="s">
        <v>1410</v>
      </c>
      <c r="D857" s="77" t="s">
        <v>1411</v>
      </c>
      <c r="E857" s="75"/>
      <c r="F857" s="78" t="n">
        <v>1.576</v>
      </c>
      <c r="G857" s="75"/>
      <c r="H857" s="75"/>
      <c r="I857" s="75"/>
      <c r="J857" s="75"/>
      <c r="K857" s="79"/>
    </row>
    <row r="858" ht="24.75">
      <c r="A858" s="58"/>
      <c r="B858" s="80" t="s">
        <v>108</v>
      </c>
      <c r="C858" s="59" t="s">
        <v>1412</v>
      </c>
      <c r="D858" s="60"/>
      <c r="E858" s="60"/>
      <c r="F858" s="60"/>
      <c r="G858" s="60"/>
      <c r="H858" s="60"/>
      <c r="I858" s="60"/>
      <c r="J858" s="60"/>
      <c r="K858" s="61"/>
      <c r="BX858" s="81" t="s">
        <v>1412</v>
      </c>
    </row>
    <row r="859">
      <c r="A859" s="82" t="s">
        <v>1413</v>
      </c>
      <c r="B859" s="83" t="s">
        <v>1414</v>
      </c>
      <c r="C859" s="84" t="s">
        <v>1415</v>
      </c>
      <c r="D859" s="83"/>
      <c r="E859" s="83" t="s">
        <v>180</v>
      </c>
      <c r="F859" s="85" t="n">
        <v>1.576</v>
      </c>
      <c r="G859" s="85" t="n">
        <v>0</v>
      </c>
      <c r="H859" s="85">
        <f>F859*AO859</f>
      </c>
      <c r="I859" s="85">
        <f>F859*AP859</f>
      </c>
      <c r="J859" s="85">
        <f>F859*G859</f>
      </c>
      <c r="K859" s="86" t="s">
        <v>100</v>
      </c>
      <c r="Z859" s="56">
        <f>IF(AQ859="5",BJ859,0)</f>
      </c>
      <c r="AB859" s="56">
        <f>IF(AQ859="1",BH859,0)</f>
      </c>
      <c r="AC859" s="56">
        <f>IF(AQ859="1",BI859,0)</f>
      </c>
      <c r="AD859" s="56">
        <f>IF(AQ859="7",BH859,0)</f>
      </c>
      <c r="AE859" s="56">
        <f>IF(AQ859="7",BI859,0)</f>
      </c>
      <c r="AF859" s="56">
        <f>IF(AQ859="2",BH859,0)</f>
      </c>
      <c r="AG859" s="56">
        <f>IF(AQ859="2",BI859,0)</f>
      </c>
      <c r="AH859" s="56">
        <f>IF(AQ859="0",BJ859,0)</f>
      </c>
      <c r="AI859" s="28" t="s">
        <v>57</v>
      </c>
      <c r="AJ859" s="56">
        <f>IF(AN859=0,J859,0)</f>
      </c>
      <c r="AK859" s="56">
        <f>IF(AN859=12,J859,0)</f>
      </c>
      <c r="AL859" s="56">
        <f>IF(AN859=21,J859,0)</f>
      </c>
      <c r="AN859" s="56" t="n">
        <v>21</v>
      </c>
      <c r="AO859" s="56">
        <f>G859*0</f>
      </c>
      <c r="AP859" s="56">
        <f>G859*(1-0)</f>
      </c>
      <c r="AQ859" s="57" t="s">
        <v>58</v>
      </c>
      <c r="AV859" s="56">
        <f>AW859+AX859</f>
      </c>
      <c r="AW859" s="56">
        <f>F859*AO859</f>
      </c>
      <c r="AX859" s="56">
        <f>F859*AP859</f>
      </c>
      <c r="AY859" s="57" t="s">
        <v>1403</v>
      </c>
      <c r="AZ859" s="57" t="s">
        <v>63</v>
      </c>
      <c r="BA859" s="28" t="s">
        <v>64</v>
      </c>
      <c r="BC859" s="56">
        <f>AW859+AX859</f>
      </c>
      <c r="BD859" s="56">
        <f>G859/(100-BE859)*100</f>
      </c>
      <c r="BE859" s="56" t="n">
        <v>0</v>
      </c>
      <c r="BF859" s="56">
        <f>859</f>
      </c>
      <c r="BH859" s="56">
        <f>F859*AO859</f>
      </c>
      <c r="BI859" s="56">
        <f>F859*AP859</f>
      </c>
      <c r="BJ859" s="56">
        <f>F859*G859</f>
      </c>
      <c r="BK859" s="56"/>
      <c r="BL859" s="56" t="n">
        <v>96</v>
      </c>
      <c r="BW859" s="56" t="n">
        <v>21</v>
      </c>
      <c r="BX859" s="14" t="s">
        <v>1415</v>
      </c>
    </row>
    <row r="860">
      <c r="A860" s="74"/>
      <c r="B860" s="75"/>
      <c r="C860" s="76" t="s">
        <v>1410</v>
      </c>
      <c r="D860" s="77" t="s">
        <v>1411</v>
      </c>
      <c r="E860" s="75"/>
      <c r="F860" s="78" t="n">
        <v>1.576</v>
      </c>
      <c r="G860" s="75"/>
      <c r="H860" s="75"/>
      <c r="I860" s="75"/>
      <c r="J860" s="75"/>
      <c r="K860" s="79"/>
    </row>
    <row r="861">
      <c r="A861" s="58"/>
      <c r="B861" s="80" t="s">
        <v>108</v>
      </c>
      <c r="C861" s="59" t="s">
        <v>1416</v>
      </c>
      <c r="D861" s="60"/>
      <c r="E861" s="60"/>
      <c r="F861" s="60"/>
      <c r="G861" s="60"/>
      <c r="H861" s="60"/>
      <c r="I861" s="60"/>
      <c r="J861" s="60"/>
      <c r="K861" s="61"/>
      <c r="BX861" s="81" t="s">
        <v>1416</v>
      </c>
    </row>
    <row r="862">
      <c r="A862" s="82" t="s">
        <v>1417</v>
      </c>
      <c r="B862" s="83" t="s">
        <v>1418</v>
      </c>
      <c r="C862" s="84" t="s">
        <v>1419</v>
      </c>
      <c r="D862" s="83"/>
      <c r="E862" s="83" t="s">
        <v>130</v>
      </c>
      <c r="F862" s="85" t="n">
        <v>7.98</v>
      </c>
      <c r="G862" s="85" t="n">
        <v>0</v>
      </c>
      <c r="H862" s="85">
        <f>F862*AO862</f>
      </c>
      <c r="I862" s="85">
        <f>F862*AP862</f>
      </c>
      <c r="J862" s="85">
        <f>F862*G862</f>
      </c>
      <c r="K862" s="86" t="s">
        <v>100</v>
      </c>
      <c r="Z862" s="56">
        <f>IF(AQ862="5",BJ862,0)</f>
      </c>
      <c r="AB862" s="56">
        <f>IF(AQ862="1",BH862,0)</f>
      </c>
      <c r="AC862" s="56">
        <f>IF(AQ862="1",BI862,0)</f>
      </c>
      <c r="AD862" s="56">
        <f>IF(AQ862="7",BH862,0)</f>
      </c>
      <c r="AE862" s="56">
        <f>IF(AQ862="7",BI862,0)</f>
      </c>
      <c r="AF862" s="56">
        <f>IF(AQ862="2",BH862,0)</f>
      </c>
      <c r="AG862" s="56">
        <f>IF(AQ862="2",BI862,0)</f>
      </c>
      <c r="AH862" s="56">
        <f>IF(AQ862="0",BJ862,0)</f>
      </c>
      <c r="AI862" s="28" t="s">
        <v>57</v>
      </c>
      <c r="AJ862" s="56">
        <f>IF(AN862=0,J862,0)</f>
      </c>
      <c r="AK862" s="56">
        <f>IF(AN862=12,J862,0)</f>
      </c>
      <c r="AL862" s="56">
        <f>IF(AN862=21,J862,0)</f>
      </c>
      <c r="AN862" s="56" t="n">
        <v>21</v>
      </c>
      <c r="AO862" s="56">
        <f>G862*0.043984487</f>
      </c>
      <c r="AP862" s="56">
        <f>G862*(1-0.043984487)</f>
      </c>
      <c r="AQ862" s="57" t="s">
        <v>58</v>
      </c>
      <c r="AV862" s="56">
        <f>AW862+AX862</f>
      </c>
      <c r="AW862" s="56">
        <f>F862*AO862</f>
      </c>
      <c r="AX862" s="56">
        <f>F862*AP862</f>
      </c>
      <c r="AY862" s="57" t="s">
        <v>1403</v>
      </c>
      <c r="AZ862" s="57" t="s">
        <v>63</v>
      </c>
      <c r="BA862" s="28" t="s">
        <v>64</v>
      </c>
      <c r="BC862" s="56">
        <f>AW862+AX862</f>
      </c>
      <c r="BD862" s="56">
        <f>G862/(100-BE862)*100</f>
      </c>
      <c r="BE862" s="56" t="n">
        <v>0</v>
      </c>
      <c r="BF862" s="56">
        <f>862</f>
      </c>
      <c r="BH862" s="56">
        <f>F862*AO862</f>
      </c>
      <c r="BI862" s="56">
        <f>F862*AP862</f>
      </c>
      <c r="BJ862" s="56">
        <f>F862*G862</f>
      </c>
      <c r="BK862" s="56"/>
      <c r="BL862" s="56" t="n">
        <v>96</v>
      </c>
      <c r="BW862" s="56" t="n">
        <v>21</v>
      </c>
      <c r="BX862" s="14" t="s">
        <v>1419</v>
      </c>
    </row>
    <row r="863" customHeight="true" ht="13.5">
      <c r="A863" s="58"/>
      <c r="C863" s="59" t="s">
        <v>1420</v>
      </c>
      <c r="D863" s="60"/>
      <c r="E863" s="60"/>
      <c r="F863" s="60"/>
      <c r="G863" s="60"/>
      <c r="H863" s="60"/>
      <c r="I863" s="60"/>
      <c r="J863" s="60"/>
      <c r="K863" s="61"/>
    </row>
    <row r="864">
      <c r="A864" s="68"/>
      <c r="B864" s="69"/>
      <c r="C864" s="70" t="s">
        <v>1421</v>
      </c>
      <c r="D864" s="71" t="s">
        <v>1422</v>
      </c>
      <c r="E864" s="69"/>
      <c r="F864" s="72" t="n">
        <v>7.98</v>
      </c>
      <c r="G864" s="69"/>
      <c r="H864" s="69"/>
      <c r="I864" s="69"/>
      <c r="J864" s="69"/>
      <c r="K864" s="73"/>
    </row>
    <row r="865">
      <c r="A865" s="58"/>
      <c r="B865" s="80" t="s">
        <v>108</v>
      </c>
      <c r="C865" s="59" t="s">
        <v>1423</v>
      </c>
      <c r="D865" s="60"/>
      <c r="E865" s="60"/>
      <c r="F865" s="60"/>
      <c r="G865" s="60"/>
      <c r="H865" s="60"/>
      <c r="I865" s="60"/>
      <c r="J865" s="60"/>
      <c r="K865" s="61"/>
      <c r="BX865" s="81" t="s">
        <v>1423</v>
      </c>
    </row>
    <row r="866">
      <c r="A866" s="82" t="s">
        <v>1424</v>
      </c>
      <c r="B866" s="83" t="s">
        <v>1425</v>
      </c>
      <c r="C866" s="84" t="s">
        <v>1426</v>
      </c>
      <c r="D866" s="83"/>
      <c r="E866" s="83" t="s">
        <v>130</v>
      </c>
      <c r="F866" s="85" t="n">
        <v>0.99</v>
      </c>
      <c r="G866" s="85" t="n">
        <v>0</v>
      </c>
      <c r="H866" s="85">
        <f>F866*AO866</f>
      </c>
      <c r="I866" s="85">
        <f>F866*AP866</f>
      </c>
      <c r="J866" s="85">
        <f>F866*G866</f>
      </c>
      <c r="K866" s="86" t="s">
        <v>100</v>
      </c>
      <c r="Z866" s="56">
        <f>IF(AQ866="5",BJ866,0)</f>
      </c>
      <c r="AB866" s="56">
        <f>IF(AQ866="1",BH866,0)</f>
      </c>
      <c r="AC866" s="56">
        <f>IF(AQ866="1",BI866,0)</f>
      </c>
      <c r="AD866" s="56">
        <f>IF(AQ866="7",BH866,0)</f>
      </c>
      <c r="AE866" s="56">
        <f>IF(AQ866="7",BI866,0)</f>
      </c>
      <c r="AF866" s="56">
        <f>IF(AQ866="2",BH866,0)</f>
      </c>
      <c r="AG866" s="56">
        <f>IF(AQ866="2",BI866,0)</f>
      </c>
      <c r="AH866" s="56">
        <f>IF(AQ866="0",BJ866,0)</f>
      </c>
      <c r="AI866" s="28" t="s">
        <v>57</v>
      </c>
      <c r="AJ866" s="56">
        <f>IF(AN866=0,J866,0)</f>
      </c>
      <c r="AK866" s="56">
        <f>IF(AN866=12,J866,0)</f>
      </c>
      <c r="AL866" s="56">
        <f>IF(AN866=21,J866,0)</f>
      </c>
      <c r="AN866" s="56" t="n">
        <v>21</v>
      </c>
      <c r="AO866" s="56">
        <f>G866*0</f>
      </c>
      <c r="AP866" s="56">
        <f>G866*(1-0)</f>
      </c>
      <c r="AQ866" s="57" t="s">
        <v>58</v>
      </c>
      <c r="AV866" s="56">
        <f>AW866+AX866</f>
      </c>
      <c r="AW866" s="56">
        <f>F866*AO866</f>
      </c>
      <c r="AX866" s="56">
        <f>F866*AP866</f>
      </c>
      <c r="AY866" s="57" t="s">
        <v>1403</v>
      </c>
      <c r="AZ866" s="57" t="s">
        <v>63</v>
      </c>
      <c r="BA866" s="28" t="s">
        <v>64</v>
      </c>
      <c r="BC866" s="56">
        <f>AW866+AX866</f>
      </c>
      <c r="BD866" s="56">
        <f>G866/(100-BE866)*100</f>
      </c>
      <c r="BE866" s="56" t="n">
        <v>0</v>
      </c>
      <c r="BF866" s="56">
        <f>866</f>
      </c>
      <c r="BH866" s="56">
        <f>F866*AO866</f>
      </c>
      <c r="BI866" s="56">
        <f>F866*AP866</f>
      </c>
      <c r="BJ866" s="56">
        <f>F866*G866</f>
      </c>
      <c r="BK866" s="56"/>
      <c r="BL866" s="56" t="n">
        <v>96</v>
      </c>
      <c r="BW866" s="56" t="n">
        <v>21</v>
      </c>
      <c r="BX866" s="14" t="s">
        <v>1426</v>
      </c>
    </row>
    <row r="867" customHeight="true" ht="13.5">
      <c r="A867" s="58"/>
      <c r="C867" s="59" t="s">
        <v>1427</v>
      </c>
      <c r="D867" s="60"/>
      <c r="E867" s="60"/>
      <c r="F867" s="60"/>
      <c r="G867" s="60"/>
      <c r="H867" s="60"/>
      <c r="I867" s="60"/>
      <c r="J867" s="60"/>
      <c r="K867" s="61"/>
    </row>
    <row r="868">
      <c r="A868" s="68"/>
      <c r="B868" s="69"/>
      <c r="C868" s="70" t="s">
        <v>1428</v>
      </c>
      <c r="D868" s="71" t="s">
        <v>1429</v>
      </c>
      <c r="E868" s="69"/>
      <c r="F868" s="72" t="n">
        <v>0.99</v>
      </c>
      <c r="G868" s="69"/>
      <c r="H868" s="69"/>
      <c r="I868" s="69"/>
      <c r="J868" s="69"/>
      <c r="K868" s="73"/>
    </row>
    <row r="869">
      <c r="A869" s="58"/>
      <c r="B869" s="80" t="s">
        <v>108</v>
      </c>
      <c r="C869" s="59" t="s">
        <v>1430</v>
      </c>
      <c r="D869" s="60"/>
      <c r="E869" s="60"/>
      <c r="F869" s="60"/>
      <c r="G869" s="60"/>
      <c r="H869" s="60"/>
      <c r="I869" s="60"/>
      <c r="J869" s="60"/>
      <c r="K869" s="61"/>
      <c r="BX869" s="81" t="s">
        <v>1430</v>
      </c>
    </row>
    <row r="870">
      <c r="A870" s="82" t="s">
        <v>1431</v>
      </c>
      <c r="B870" s="83" t="s">
        <v>1432</v>
      </c>
      <c r="C870" s="84" t="s">
        <v>1433</v>
      </c>
      <c r="D870" s="83"/>
      <c r="E870" s="83" t="s">
        <v>99</v>
      </c>
      <c r="F870" s="85" t="n">
        <v>3.49987</v>
      </c>
      <c r="G870" s="85" t="n">
        <v>0</v>
      </c>
      <c r="H870" s="85">
        <f>F870*AO870</f>
      </c>
      <c r="I870" s="85">
        <f>F870*AP870</f>
      </c>
      <c r="J870" s="85">
        <f>F870*G870</f>
      </c>
      <c r="K870" s="86" t="s">
        <v>100</v>
      </c>
      <c r="Z870" s="56">
        <f>IF(AQ870="5",BJ870,0)</f>
      </c>
      <c r="AB870" s="56">
        <f>IF(AQ870="1",BH870,0)</f>
      </c>
      <c r="AC870" s="56">
        <f>IF(AQ870="1",BI870,0)</f>
      </c>
      <c r="AD870" s="56">
        <f>IF(AQ870="7",BH870,0)</f>
      </c>
      <c r="AE870" s="56">
        <f>IF(AQ870="7",BI870,0)</f>
      </c>
      <c r="AF870" s="56">
        <f>IF(AQ870="2",BH870,0)</f>
      </c>
      <c r="AG870" s="56">
        <f>IF(AQ870="2",BI870,0)</f>
      </c>
      <c r="AH870" s="56">
        <f>IF(AQ870="0",BJ870,0)</f>
      </c>
      <c r="AI870" s="28" t="s">
        <v>57</v>
      </c>
      <c r="AJ870" s="56">
        <f>IF(AN870=0,J870,0)</f>
      </c>
      <c r="AK870" s="56">
        <f>IF(AN870=12,J870,0)</f>
      </c>
      <c r="AL870" s="56">
        <f>IF(AN870=21,J870,0)</f>
      </c>
      <c r="AN870" s="56" t="n">
        <v>21</v>
      </c>
      <c r="AO870" s="56">
        <f>G870*0.035438365</f>
      </c>
      <c r="AP870" s="56">
        <f>G870*(1-0.035438365)</f>
      </c>
      <c r="AQ870" s="57" t="s">
        <v>58</v>
      </c>
      <c r="AV870" s="56">
        <f>AW870+AX870</f>
      </c>
      <c r="AW870" s="56">
        <f>F870*AO870</f>
      </c>
      <c r="AX870" s="56">
        <f>F870*AP870</f>
      </c>
      <c r="AY870" s="57" t="s">
        <v>1403</v>
      </c>
      <c r="AZ870" s="57" t="s">
        <v>63</v>
      </c>
      <c r="BA870" s="28" t="s">
        <v>64</v>
      </c>
      <c r="BC870" s="56">
        <f>AW870+AX870</f>
      </c>
      <c r="BD870" s="56">
        <f>G870/(100-BE870)*100</f>
      </c>
      <c r="BE870" s="56" t="n">
        <v>0</v>
      </c>
      <c r="BF870" s="56">
        <f>870</f>
      </c>
      <c r="BH870" s="56">
        <f>F870*AO870</f>
      </c>
      <c r="BI870" s="56">
        <f>F870*AP870</f>
      </c>
      <c r="BJ870" s="56">
        <f>F870*G870</f>
      </c>
      <c r="BK870" s="56"/>
      <c r="BL870" s="56" t="n">
        <v>96</v>
      </c>
      <c r="BW870" s="56" t="n">
        <v>21</v>
      </c>
      <c r="BX870" s="14" t="s">
        <v>1433</v>
      </c>
    </row>
    <row r="871" customHeight="true" ht="13.5">
      <c r="A871" s="58"/>
      <c r="C871" s="59" t="s">
        <v>1434</v>
      </c>
      <c r="D871" s="60"/>
      <c r="E871" s="60"/>
      <c r="F871" s="60"/>
      <c r="G871" s="60"/>
      <c r="H871" s="60"/>
      <c r="I871" s="60"/>
      <c r="J871" s="60"/>
      <c r="K871" s="61"/>
    </row>
    <row r="872">
      <c r="A872" s="68"/>
      <c r="B872" s="69"/>
      <c r="C872" s="70" t="s">
        <v>1435</v>
      </c>
      <c r="D872" s="71" t="s">
        <v>1436</v>
      </c>
      <c r="E872" s="69"/>
      <c r="F872" s="72" t="n">
        <v>3.49987</v>
      </c>
      <c r="G872" s="69"/>
      <c r="H872" s="69"/>
      <c r="I872" s="69"/>
      <c r="J872" s="69"/>
      <c r="K872" s="73"/>
    </row>
    <row r="873">
      <c r="A873" s="58"/>
      <c r="B873" s="80" t="s">
        <v>108</v>
      </c>
      <c r="C873" s="59" t="s">
        <v>1406</v>
      </c>
      <c r="D873" s="60"/>
      <c r="E873" s="60"/>
      <c r="F873" s="60"/>
      <c r="G873" s="60"/>
      <c r="H873" s="60"/>
      <c r="I873" s="60"/>
      <c r="J873" s="60"/>
      <c r="K873" s="61"/>
      <c r="BX873" s="81" t="s">
        <v>1406</v>
      </c>
    </row>
    <row r="874">
      <c r="A874" s="62" t="s">
        <v>53</v>
      </c>
      <c r="B874" s="63" t="s">
        <v>706</v>
      </c>
      <c r="C874" s="64" t="s">
        <v>1437</v>
      </c>
      <c r="D874" s="63"/>
      <c r="E874" s="65" t="s">
        <v>34</v>
      </c>
      <c r="F874" s="65" t="s">
        <v>34</v>
      </c>
      <c r="G874" s="65" t="s">
        <v>34</v>
      </c>
      <c r="H874" s="66">
        <f>SUM(H875:H881)</f>
      </c>
      <c r="I874" s="66">
        <f>SUM(I875:I881)</f>
      </c>
      <c r="J874" s="66">
        <f>SUM(J875:J881)</f>
      </c>
      <c r="K874" s="67" t="s">
        <v>53</v>
      </c>
      <c r="AI874" s="28" t="s">
        <v>57</v>
      </c>
      <c r="AS874" s="2">
        <f>SUM(AJ875:AJ881)</f>
      </c>
      <c r="AT874" s="2">
        <f>SUM(AK875:AK881)</f>
      </c>
      <c r="AU874" s="2">
        <f>SUM(AL875:AL881)</f>
      </c>
    </row>
    <row r="875">
      <c r="A875" s="51" t="s">
        <v>1438</v>
      </c>
      <c r="B875" s="52" t="s">
        <v>1439</v>
      </c>
      <c r="C875" s="53" t="s">
        <v>1440</v>
      </c>
      <c r="D875" s="52"/>
      <c r="E875" s="52" t="s">
        <v>130</v>
      </c>
      <c r="F875" s="54" t="n">
        <v>42.835</v>
      </c>
      <c r="G875" s="54" t="n">
        <v>0</v>
      </c>
      <c r="H875" s="54">
        <f>F875*AO875</f>
      </c>
      <c r="I875" s="54">
        <f>F875*AP875</f>
      </c>
      <c r="J875" s="54">
        <f>F875*G875</f>
      </c>
      <c r="K875" s="55" t="s">
        <v>100</v>
      </c>
      <c r="Z875" s="56">
        <f>IF(AQ875="5",BJ875,0)</f>
      </c>
      <c r="AB875" s="56">
        <f>IF(AQ875="1",BH875,0)</f>
      </c>
      <c r="AC875" s="56">
        <f>IF(AQ875="1",BI875,0)</f>
      </c>
      <c r="AD875" s="56">
        <f>IF(AQ875="7",BH875,0)</f>
      </c>
      <c r="AE875" s="56">
        <f>IF(AQ875="7",BI875,0)</f>
      </c>
      <c r="AF875" s="56">
        <f>IF(AQ875="2",BH875,0)</f>
      </c>
      <c r="AG875" s="56">
        <f>IF(AQ875="2",BI875,0)</f>
      </c>
      <c r="AH875" s="56">
        <f>IF(AQ875="0",BJ875,0)</f>
      </c>
      <c r="AI875" s="28" t="s">
        <v>57</v>
      </c>
      <c r="AJ875" s="56">
        <f>IF(AN875=0,J875,0)</f>
      </c>
      <c r="AK875" s="56">
        <f>IF(AN875=12,J875,0)</f>
      </c>
      <c r="AL875" s="56">
        <f>IF(AN875=21,J875,0)</f>
      </c>
      <c r="AN875" s="56" t="n">
        <v>21</v>
      </c>
      <c r="AO875" s="56">
        <f>G875*0</f>
      </c>
      <c r="AP875" s="56">
        <f>G875*(1-0)</f>
      </c>
      <c r="AQ875" s="57" t="s">
        <v>58</v>
      </c>
      <c r="AV875" s="56">
        <f>AW875+AX875</f>
      </c>
      <c r="AW875" s="56">
        <f>F875*AO875</f>
      </c>
      <c r="AX875" s="56">
        <f>F875*AP875</f>
      </c>
      <c r="AY875" s="57" t="s">
        <v>1441</v>
      </c>
      <c r="AZ875" s="57" t="s">
        <v>63</v>
      </c>
      <c r="BA875" s="28" t="s">
        <v>64</v>
      </c>
      <c r="BC875" s="56">
        <f>AW875+AX875</f>
      </c>
      <c r="BD875" s="56">
        <f>G875/(100-BE875)*100</f>
      </c>
      <c r="BE875" s="56" t="n">
        <v>0</v>
      </c>
      <c r="BF875" s="56">
        <f>875</f>
      </c>
      <c r="BH875" s="56">
        <f>F875*AO875</f>
      </c>
      <c r="BI875" s="56">
        <f>F875*AP875</f>
      </c>
      <c r="BJ875" s="56">
        <f>F875*G875</f>
      </c>
      <c r="BK875" s="56"/>
      <c r="BL875" s="56" t="n">
        <v>97</v>
      </c>
      <c r="BW875" s="56" t="n">
        <v>21</v>
      </c>
      <c r="BX875" s="14" t="s">
        <v>1440</v>
      </c>
    </row>
    <row r="876">
      <c r="A876" s="74"/>
      <c r="B876" s="75"/>
      <c r="C876" s="76" t="s">
        <v>1442</v>
      </c>
      <c r="D876" s="77" t="s">
        <v>1443</v>
      </c>
      <c r="E876" s="75"/>
      <c r="F876" s="78" t="n">
        <v>42.835</v>
      </c>
      <c r="G876" s="75"/>
      <c r="H876" s="75"/>
      <c r="I876" s="75"/>
      <c r="J876" s="75"/>
      <c r="K876" s="79"/>
    </row>
    <row r="877" ht="36.75">
      <c r="A877" s="58"/>
      <c r="B877" s="80" t="s">
        <v>108</v>
      </c>
      <c r="C877" s="59" t="s">
        <v>1444</v>
      </c>
      <c r="D877" s="60"/>
      <c r="E877" s="60"/>
      <c r="F877" s="60"/>
      <c r="G877" s="60"/>
      <c r="H877" s="60"/>
      <c r="I877" s="60"/>
      <c r="J877" s="60"/>
      <c r="K877" s="61"/>
      <c r="BX877" s="81" t="s">
        <v>1444</v>
      </c>
    </row>
    <row r="878">
      <c r="A878" s="82" t="s">
        <v>1445</v>
      </c>
      <c r="B878" s="83" t="s">
        <v>1446</v>
      </c>
      <c r="C878" s="84" t="s">
        <v>1447</v>
      </c>
      <c r="D878" s="83"/>
      <c r="E878" s="83" t="s">
        <v>393</v>
      </c>
      <c r="F878" s="85" t="n">
        <v>13.64</v>
      </c>
      <c r="G878" s="85" t="n">
        <v>0</v>
      </c>
      <c r="H878" s="85">
        <f>F878*AO878</f>
      </c>
      <c r="I878" s="85">
        <f>F878*AP878</f>
      </c>
      <c r="J878" s="85">
        <f>F878*G878</f>
      </c>
      <c r="K878" s="86" t="s">
        <v>100</v>
      </c>
      <c r="Z878" s="56">
        <f>IF(AQ878="5",BJ878,0)</f>
      </c>
      <c r="AB878" s="56">
        <f>IF(AQ878="1",BH878,0)</f>
      </c>
      <c r="AC878" s="56">
        <f>IF(AQ878="1",BI878,0)</f>
      </c>
      <c r="AD878" s="56">
        <f>IF(AQ878="7",BH878,0)</f>
      </c>
      <c r="AE878" s="56">
        <f>IF(AQ878="7",BI878,0)</f>
      </c>
      <c r="AF878" s="56">
        <f>IF(AQ878="2",BH878,0)</f>
      </c>
      <c r="AG878" s="56">
        <f>IF(AQ878="2",BI878,0)</f>
      </c>
      <c r="AH878" s="56">
        <f>IF(AQ878="0",BJ878,0)</f>
      </c>
      <c r="AI878" s="28" t="s">
        <v>57</v>
      </c>
      <c r="AJ878" s="56">
        <f>IF(AN878=0,J878,0)</f>
      </c>
      <c r="AK878" s="56">
        <f>IF(AN878=12,J878,0)</f>
      </c>
      <c r="AL878" s="56">
        <f>IF(AN878=21,J878,0)</f>
      </c>
      <c r="AN878" s="56" t="n">
        <v>21</v>
      </c>
      <c r="AO878" s="56">
        <f>G878*0.022912281</f>
      </c>
      <c r="AP878" s="56">
        <f>G878*(1-0.022912281)</f>
      </c>
      <c r="AQ878" s="57" t="s">
        <v>58</v>
      </c>
      <c r="AV878" s="56">
        <f>AW878+AX878</f>
      </c>
      <c r="AW878" s="56">
        <f>F878*AO878</f>
      </c>
      <c r="AX878" s="56">
        <f>F878*AP878</f>
      </c>
      <c r="AY878" s="57" t="s">
        <v>1441</v>
      </c>
      <c r="AZ878" s="57" t="s">
        <v>63</v>
      </c>
      <c r="BA878" s="28" t="s">
        <v>64</v>
      </c>
      <c r="BC878" s="56">
        <f>AW878+AX878</f>
      </c>
      <c r="BD878" s="56">
        <f>G878/(100-BE878)*100</f>
      </c>
      <c r="BE878" s="56" t="n">
        <v>0</v>
      </c>
      <c r="BF878" s="56">
        <f>878</f>
      </c>
      <c r="BH878" s="56">
        <f>F878*AO878</f>
      </c>
      <c r="BI878" s="56">
        <f>F878*AP878</f>
      </c>
      <c r="BJ878" s="56">
        <f>F878*G878</f>
      </c>
      <c r="BK878" s="56"/>
      <c r="BL878" s="56" t="n">
        <v>97</v>
      </c>
      <c r="BW878" s="56" t="n">
        <v>21</v>
      </c>
      <c r="BX878" s="14" t="s">
        <v>1447</v>
      </c>
    </row>
    <row r="879">
      <c r="A879" s="74"/>
      <c r="B879" s="75"/>
      <c r="C879" s="76" t="s">
        <v>1448</v>
      </c>
      <c r="D879" s="77" t="s">
        <v>1449</v>
      </c>
      <c r="E879" s="75"/>
      <c r="F879" s="78" t="n">
        <v>13.64</v>
      </c>
      <c r="G879" s="75"/>
      <c r="H879" s="75"/>
      <c r="I879" s="75"/>
      <c r="J879" s="75"/>
      <c r="K879" s="79"/>
    </row>
    <row r="880">
      <c r="A880" s="101"/>
      <c r="B880" s="102" t="s">
        <v>108</v>
      </c>
      <c r="C880" s="103" t="s">
        <v>1450</v>
      </c>
      <c r="D880" s="104"/>
      <c r="E880" s="104"/>
      <c r="F880" s="104"/>
      <c r="G880" s="104"/>
      <c r="H880" s="104"/>
      <c r="I880" s="104"/>
      <c r="J880" s="104"/>
      <c r="K880" s="105"/>
      <c r="BX880" s="81" t="s">
        <v>1450</v>
      </c>
    </row>
    <row r="881">
      <c r="A881" s="9" t="s">
        <v>1451</v>
      </c>
      <c r="B881" s="10" t="s">
        <v>1452</v>
      </c>
      <c r="C881" s="14" t="s">
        <v>1453</v>
      </c>
      <c r="D881" s="10"/>
      <c r="E881" s="10" t="s">
        <v>1454</v>
      </c>
      <c r="F881" s="56" t="n">
        <v>30</v>
      </c>
      <c r="G881" s="56" t="n">
        <v>0</v>
      </c>
      <c r="H881" s="56">
        <f>F881*AO881</f>
      </c>
      <c r="I881" s="56">
        <f>F881*AP881</f>
      </c>
      <c r="J881" s="56">
        <f>F881*G881</f>
      </c>
      <c r="K881" s="111" t="s">
        <v>71</v>
      </c>
      <c r="Z881" s="56">
        <f>IF(AQ881="5",BJ881,0)</f>
      </c>
      <c r="AB881" s="56">
        <f>IF(AQ881="1",BH881,0)</f>
      </c>
      <c r="AC881" s="56">
        <f>IF(AQ881="1",BI881,0)</f>
      </c>
      <c r="AD881" s="56">
        <f>IF(AQ881="7",BH881,0)</f>
      </c>
      <c r="AE881" s="56">
        <f>IF(AQ881="7",BI881,0)</f>
      </c>
      <c r="AF881" s="56">
        <f>IF(AQ881="2",BH881,0)</f>
      </c>
      <c r="AG881" s="56">
        <f>IF(AQ881="2",BI881,0)</f>
      </c>
      <c r="AH881" s="56">
        <f>IF(AQ881="0",BJ881,0)</f>
      </c>
      <c r="AI881" s="28" t="s">
        <v>57</v>
      </c>
      <c r="AJ881" s="56">
        <f>IF(AN881=0,J881,0)</f>
      </c>
      <c r="AK881" s="56">
        <f>IF(AN881=12,J881,0)</f>
      </c>
      <c r="AL881" s="56">
        <f>IF(AN881=21,J881,0)</f>
      </c>
      <c r="AN881" s="56" t="n">
        <v>21</v>
      </c>
      <c r="AO881" s="56">
        <f>G881*0</f>
      </c>
      <c r="AP881" s="56">
        <f>G881*(1-0)</f>
      </c>
      <c r="AQ881" s="57" t="s">
        <v>58</v>
      </c>
      <c r="AV881" s="56">
        <f>AW881+AX881</f>
      </c>
      <c r="AW881" s="56">
        <f>F881*AO881</f>
      </c>
      <c r="AX881" s="56">
        <f>F881*AP881</f>
      </c>
      <c r="AY881" s="57" t="s">
        <v>1441</v>
      </c>
      <c r="AZ881" s="57" t="s">
        <v>63</v>
      </c>
      <c r="BA881" s="28" t="s">
        <v>64</v>
      </c>
      <c r="BC881" s="56">
        <f>AW881+AX881</f>
      </c>
      <c r="BD881" s="56">
        <f>G881/(100-BE881)*100</f>
      </c>
      <c r="BE881" s="56" t="n">
        <v>0</v>
      </c>
      <c r="BF881" s="56">
        <f>881</f>
      </c>
      <c r="BH881" s="56">
        <f>F881*AO881</f>
      </c>
      <c r="BI881" s="56">
        <f>F881*AP881</f>
      </c>
      <c r="BJ881" s="56">
        <f>F881*G881</f>
      </c>
      <c r="BK881" s="56"/>
      <c r="BL881" s="56" t="n">
        <v>97</v>
      </c>
      <c r="BW881" s="56" t="n">
        <v>21</v>
      </c>
      <c r="BX881" s="14" t="s">
        <v>1453</v>
      </c>
    </row>
    <row r="882" customHeight="true" ht="27">
      <c r="A882" s="112"/>
      <c r="C882" s="81" t="s">
        <v>1455</v>
      </c>
      <c r="D882" s="113"/>
      <c r="E882" s="113"/>
      <c r="F882" s="113"/>
      <c r="G882" s="113"/>
      <c r="H882" s="113"/>
      <c r="I882" s="113"/>
      <c r="J882" s="113"/>
      <c r="K882" s="114"/>
    </row>
    <row r="883">
      <c r="A883" s="106"/>
      <c r="C883" s="115" t="s">
        <v>252</v>
      </c>
      <c r="D883" s="109" t="s">
        <v>53</v>
      </c>
      <c r="F883" s="116" t="n">
        <v>30</v>
      </c>
      <c r="K883" s="117"/>
    </row>
    <row r="884">
      <c r="A884" s="62" t="s">
        <v>53</v>
      </c>
      <c r="B884" s="63" t="s">
        <v>1456</v>
      </c>
      <c r="C884" s="64" t="s">
        <v>1457</v>
      </c>
      <c r="D884" s="63"/>
      <c r="E884" s="65" t="s">
        <v>34</v>
      </c>
      <c r="F884" s="65" t="s">
        <v>34</v>
      </c>
      <c r="G884" s="65" t="s">
        <v>34</v>
      </c>
      <c r="H884" s="66">
        <f>SUM(H885:H895)</f>
      </c>
      <c r="I884" s="66">
        <f>SUM(I885:I895)</f>
      </c>
      <c r="J884" s="66">
        <f>SUM(J885:J895)</f>
      </c>
      <c r="K884" s="67" t="s">
        <v>53</v>
      </c>
      <c r="AI884" s="28" t="s">
        <v>57</v>
      </c>
      <c r="AS884" s="2">
        <f>SUM(AJ885:AJ895)</f>
      </c>
      <c r="AT884" s="2">
        <f>SUM(AK885:AK895)</f>
      </c>
      <c r="AU884" s="2">
        <f>SUM(AL885:AL895)</f>
      </c>
    </row>
    <row r="885">
      <c r="A885" s="51" t="s">
        <v>1458</v>
      </c>
      <c r="B885" s="52" t="s">
        <v>1459</v>
      </c>
      <c r="C885" s="53" t="s">
        <v>1460</v>
      </c>
      <c r="D885" s="52"/>
      <c r="E885" s="52" t="s">
        <v>242</v>
      </c>
      <c r="F885" s="54" t="n">
        <v>40.11023</v>
      </c>
      <c r="G885" s="54" t="n">
        <v>0</v>
      </c>
      <c r="H885" s="54">
        <f>F885*AO885</f>
      </c>
      <c r="I885" s="54">
        <f>F885*AP885</f>
      </c>
      <c r="J885" s="54">
        <f>F885*G885</f>
      </c>
      <c r="K885" s="55" t="s">
        <v>100</v>
      </c>
      <c r="Z885" s="56">
        <f>IF(AQ885="5",BJ885,0)</f>
      </c>
      <c r="AB885" s="56">
        <f>IF(AQ885="1",BH885,0)</f>
      </c>
      <c r="AC885" s="56">
        <f>IF(AQ885="1",BI885,0)</f>
      </c>
      <c r="AD885" s="56">
        <f>IF(AQ885="7",BH885,0)</f>
      </c>
      <c r="AE885" s="56">
        <f>IF(AQ885="7",BI885,0)</f>
      </c>
      <c r="AF885" s="56">
        <f>IF(AQ885="2",BH885,0)</f>
      </c>
      <c r="AG885" s="56">
        <f>IF(AQ885="2",BI885,0)</f>
      </c>
      <c r="AH885" s="56">
        <f>IF(AQ885="0",BJ885,0)</f>
      </c>
      <c r="AI885" s="28" t="s">
        <v>57</v>
      </c>
      <c r="AJ885" s="56">
        <f>IF(AN885=0,J885,0)</f>
      </c>
      <c r="AK885" s="56">
        <f>IF(AN885=12,J885,0)</f>
      </c>
      <c r="AL885" s="56">
        <f>IF(AN885=21,J885,0)</f>
      </c>
      <c r="AN885" s="56" t="n">
        <v>21</v>
      </c>
      <c r="AO885" s="56">
        <f>G885*0</f>
      </c>
      <c r="AP885" s="56">
        <f>G885*(1-0)</f>
      </c>
      <c r="AQ885" s="57" t="s">
        <v>79</v>
      </c>
      <c r="AV885" s="56">
        <f>AW885+AX885</f>
      </c>
      <c r="AW885" s="56">
        <f>F885*AO885</f>
      </c>
      <c r="AX885" s="56">
        <f>F885*AP885</f>
      </c>
      <c r="AY885" s="57" t="s">
        <v>1461</v>
      </c>
      <c r="AZ885" s="57" t="s">
        <v>63</v>
      </c>
      <c r="BA885" s="28" t="s">
        <v>64</v>
      </c>
      <c r="BC885" s="56">
        <f>AW885+AX885</f>
      </c>
      <c r="BD885" s="56">
        <f>G885/(100-BE885)*100</f>
      </c>
      <c r="BE885" s="56" t="n">
        <v>0</v>
      </c>
      <c r="BF885" s="56">
        <f>885</f>
      </c>
      <c r="BH885" s="56">
        <f>F885*AO885</f>
      </c>
      <c r="BI885" s="56">
        <f>F885*AP885</f>
      </c>
      <c r="BJ885" s="56">
        <f>F885*G885</f>
      </c>
      <c r="BK885" s="56"/>
      <c r="BL885" s="56"/>
      <c r="BW885" s="56" t="n">
        <v>21</v>
      </c>
      <c r="BX885" s="14" t="s">
        <v>1460</v>
      </c>
    </row>
    <row r="886" customHeight="true" ht="13.5">
      <c r="A886" s="58"/>
      <c r="C886" s="59" t="s">
        <v>1462</v>
      </c>
      <c r="D886" s="60"/>
      <c r="E886" s="60"/>
      <c r="F886" s="60"/>
      <c r="G886" s="60"/>
      <c r="H886" s="60"/>
      <c r="I886" s="60"/>
      <c r="J886" s="60"/>
      <c r="K886" s="61"/>
    </row>
    <row r="887">
      <c r="A887" s="68"/>
      <c r="B887" s="69"/>
      <c r="C887" s="70" t="s">
        <v>1463</v>
      </c>
      <c r="D887" s="71" t="s">
        <v>53</v>
      </c>
      <c r="E887" s="69"/>
      <c r="F887" s="72" t="n">
        <v>40.11023</v>
      </c>
      <c r="G887" s="69"/>
      <c r="H887" s="69"/>
      <c r="I887" s="69"/>
      <c r="J887" s="69"/>
      <c r="K887" s="73"/>
    </row>
    <row r="888">
      <c r="A888" s="58"/>
      <c r="B888" s="80" t="s">
        <v>108</v>
      </c>
      <c r="C888" s="59" t="s">
        <v>1464</v>
      </c>
      <c r="D888" s="60"/>
      <c r="E888" s="60"/>
      <c r="F888" s="60"/>
      <c r="G888" s="60"/>
      <c r="H888" s="60"/>
      <c r="I888" s="60"/>
      <c r="J888" s="60"/>
      <c r="K888" s="61"/>
      <c r="BX888" s="81" t="s">
        <v>1464</v>
      </c>
    </row>
    <row r="889">
      <c r="A889" s="82" t="s">
        <v>1465</v>
      </c>
      <c r="B889" s="83" t="s">
        <v>1466</v>
      </c>
      <c r="C889" s="84" t="s">
        <v>1467</v>
      </c>
      <c r="D889" s="83"/>
      <c r="E889" s="83" t="s">
        <v>242</v>
      </c>
      <c r="F889" s="85" t="n">
        <v>40.11023</v>
      </c>
      <c r="G889" s="85" t="n">
        <v>0</v>
      </c>
      <c r="H889" s="85">
        <f>F889*AO889</f>
      </c>
      <c r="I889" s="85">
        <f>F889*AP889</f>
      </c>
      <c r="J889" s="85">
        <f>F889*G889</f>
      </c>
      <c r="K889" s="86" t="s">
        <v>1468</v>
      </c>
      <c r="Z889" s="56">
        <f>IF(AQ889="5",BJ889,0)</f>
      </c>
      <c r="AB889" s="56">
        <f>IF(AQ889="1",BH889,0)</f>
      </c>
      <c r="AC889" s="56">
        <f>IF(AQ889="1",BI889,0)</f>
      </c>
      <c r="AD889" s="56">
        <f>IF(AQ889="7",BH889,0)</f>
      </c>
      <c r="AE889" s="56">
        <f>IF(AQ889="7",BI889,0)</f>
      </c>
      <c r="AF889" s="56">
        <f>IF(AQ889="2",BH889,0)</f>
      </c>
      <c r="AG889" s="56">
        <f>IF(AQ889="2",BI889,0)</f>
      </c>
      <c r="AH889" s="56">
        <f>IF(AQ889="0",BJ889,0)</f>
      </c>
      <c r="AI889" s="28" t="s">
        <v>57</v>
      </c>
      <c r="AJ889" s="56">
        <f>IF(AN889=0,J889,0)</f>
      </c>
      <c r="AK889" s="56">
        <f>IF(AN889=12,J889,0)</f>
      </c>
      <c r="AL889" s="56">
        <f>IF(AN889=21,J889,0)</f>
      </c>
      <c r="AN889" s="56" t="n">
        <v>21</v>
      </c>
      <c r="AO889" s="56">
        <f>G889*0</f>
      </c>
      <c r="AP889" s="56">
        <f>G889*(1-0)</f>
      </c>
      <c r="AQ889" s="57" t="s">
        <v>79</v>
      </c>
      <c r="AV889" s="56">
        <f>AW889+AX889</f>
      </c>
      <c r="AW889" s="56">
        <f>F889*AO889</f>
      </c>
      <c r="AX889" s="56">
        <f>F889*AP889</f>
      </c>
      <c r="AY889" s="57" t="s">
        <v>1461</v>
      </c>
      <c r="AZ889" s="57" t="s">
        <v>63</v>
      </c>
      <c r="BA889" s="28" t="s">
        <v>64</v>
      </c>
      <c r="BC889" s="56">
        <f>AW889+AX889</f>
      </c>
      <c r="BD889" s="56">
        <f>G889/(100-BE889)*100</f>
      </c>
      <c r="BE889" s="56" t="n">
        <v>0</v>
      </c>
      <c r="BF889" s="56">
        <f>889</f>
      </c>
      <c r="BH889" s="56">
        <f>F889*AO889</f>
      </c>
      <c r="BI889" s="56">
        <f>F889*AP889</f>
      </c>
      <c r="BJ889" s="56">
        <f>F889*G889</f>
      </c>
      <c r="BK889" s="56"/>
      <c r="BL889" s="56"/>
      <c r="BW889" s="56" t="n">
        <v>21</v>
      </c>
      <c r="BX889" s="14" t="s">
        <v>1467</v>
      </c>
    </row>
    <row r="890" customHeight="true" ht="13.5">
      <c r="A890" s="58"/>
      <c r="C890" s="59" t="s">
        <v>1469</v>
      </c>
      <c r="D890" s="60"/>
      <c r="E890" s="60"/>
      <c r="F890" s="60"/>
      <c r="G890" s="60"/>
      <c r="H890" s="60"/>
      <c r="I890" s="60"/>
      <c r="J890" s="60"/>
      <c r="K890" s="61"/>
    </row>
    <row r="891">
      <c r="A891" s="68"/>
      <c r="B891" s="69"/>
      <c r="C891" s="70" t="s">
        <v>1463</v>
      </c>
      <c r="D891" s="71" t="s">
        <v>53</v>
      </c>
      <c r="E891" s="69"/>
      <c r="F891" s="72" t="n">
        <v>40.11023</v>
      </c>
      <c r="G891" s="69"/>
      <c r="H891" s="69"/>
      <c r="I891" s="69"/>
      <c r="J891" s="69"/>
      <c r="K891" s="73"/>
    </row>
    <row r="892">
      <c r="A892" s="51" t="s">
        <v>1470</v>
      </c>
      <c r="B892" s="52" t="s">
        <v>1471</v>
      </c>
      <c r="C892" s="53" t="s">
        <v>1472</v>
      </c>
      <c r="D892" s="52"/>
      <c r="E892" s="52" t="s">
        <v>242</v>
      </c>
      <c r="F892" s="54" t="n">
        <v>481.32276</v>
      </c>
      <c r="G892" s="54" t="n">
        <v>0</v>
      </c>
      <c r="H892" s="54">
        <f>F892*AO892</f>
      </c>
      <c r="I892" s="54">
        <f>F892*AP892</f>
      </c>
      <c r="J892" s="54">
        <f>F892*G892</f>
      </c>
      <c r="K892" s="55" t="s">
        <v>1468</v>
      </c>
      <c r="Z892" s="56">
        <f>IF(AQ892="5",BJ892,0)</f>
      </c>
      <c r="AB892" s="56">
        <f>IF(AQ892="1",BH892,0)</f>
      </c>
      <c r="AC892" s="56">
        <f>IF(AQ892="1",BI892,0)</f>
      </c>
      <c r="AD892" s="56">
        <f>IF(AQ892="7",BH892,0)</f>
      </c>
      <c r="AE892" s="56">
        <f>IF(AQ892="7",BI892,0)</f>
      </c>
      <c r="AF892" s="56">
        <f>IF(AQ892="2",BH892,0)</f>
      </c>
      <c r="AG892" s="56">
        <f>IF(AQ892="2",BI892,0)</f>
      </c>
      <c r="AH892" s="56">
        <f>IF(AQ892="0",BJ892,0)</f>
      </c>
      <c r="AI892" s="28" t="s">
        <v>57</v>
      </c>
      <c r="AJ892" s="56">
        <f>IF(AN892=0,J892,0)</f>
      </c>
      <c r="AK892" s="56">
        <f>IF(AN892=12,J892,0)</f>
      </c>
      <c r="AL892" s="56">
        <f>IF(AN892=21,J892,0)</f>
      </c>
      <c r="AN892" s="56" t="n">
        <v>21</v>
      </c>
      <c r="AO892" s="56">
        <f>G892*0</f>
      </c>
      <c r="AP892" s="56">
        <f>G892*(1-0)</f>
      </c>
      <c r="AQ892" s="57" t="s">
        <v>79</v>
      </c>
      <c r="AV892" s="56">
        <f>AW892+AX892</f>
      </c>
      <c r="AW892" s="56">
        <f>F892*AO892</f>
      </c>
      <c r="AX892" s="56">
        <f>F892*AP892</f>
      </c>
      <c r="AY892" s="57" t="s">
        <v>1461</v>
      </c>
      <c r="AZ892" s="57" t="s">
        <v>63</v>
      </c>
      <c r="BA892" s="28" t="s">
        <v>64</v>
      </c>
      <c r="BC892" s="56">
        <f>AW892+AX892</f>
      </c>
      <c r="BD892" s="56">
        <f>G892/(100-BE892)*100</f>
      </c>
      <c r="BE892" s="56" t="n">
        <v>0</v>
      </c>
      <c r="BF892" s="56">
        <f>892</f>
      </c>
      <c r="BH892" s="56">
        <f>F892*AO892</f>
      </c>
      <c r="BI892" s="56">
        <f>F892*AP892</f>
      </c>
      <c r="BJ892" s="56">
        <f>F892*G892</f>
      </c>
      <c r="BK892" s="56"/>
      <c r="BL892" s="56"/>
      <c r="BW892" s="56" t="n">
        <v>21</v>
      </c>
      <c r="BX892" s="14" t="s">
        <v>1472</v>
      </c>
    </row>
    <row r="893" customHeight="true" ht="27">
      <c r="A893" s="58"/>
      <c r="C893" s="59" t="s">
        <v>1473</v>
      </c>
      <c r="D893" s="60"/>
      <c r="E893" s="60"/>
      <c r="F893" s="60"/>
      <c r="G893" s="60"/>
      <c r="H893" s="60"/>
      <c r="I893" s="60"/>
      <c r="J893" s="60"/>
      <c r="K893" s="61"/>
    </row>
    <row r="894">
      <c r="A894" s="68"/>
      <c r="B894" s="69"/>
      <c r="C894" s="70" t="s">
        <v>1474</v>
      </c>
      <c r="D894" s="71" t="s">
        <v>53</v>
      </c>
      <c r="E894" s="69"/>
      <c r="F894" s="72" t="n">
        <v>481.32276</v>
      </c>
      <c r="G894" s="69"/>
      <c r="H894" s="69"/>
      <c r="I894" s="69"/>
      <c r="J894" s="69"/>
      <c r="K894" s="73"/>
    </row>
    <row r="895">
      <c r="A895" s="51" t="s">
        <v>1475</v>
      </c>
      <c r="B895" s="52" t="s">
        <v>1476</v>
      </c>
      <c r="C895" s="53" t="s">
        <v>1477</v>
      </c>
      <c r="D895" s="52"/>
      <c r="E895" s="52" t="s">
        <v>242</v>
      </c>
      <c r="F895" s="54" t="n">
        <v>40.11023</v>
      </c>
      <c r="G895" s="54" t="n">
        <v>0</v>
      </c>
      <c r="H895" s="54">
        <f>F895*AO895</f>
      </c>
      <c r="I895" s="54">
        <f>F895*AP895</f>
      </c>
      <c r="J895" s="54">
        <f>F895*G895</f>
      </c>
      <c r="K895" s="55" t="s">
        <v>100</v>
      </c>
      <c r="Z895" s="56">
        <f>IF(AQ895="5",BJ895,0)</f>
      </c>
      <c r="AB895" s="56">
        <f>IF(AQ895="1",BH895,0)</f>
      </c>
      <c r="AC895" s="56">
        <f>IF(AQ895="1",BI895,0)</f>
      </c>
      <c r="AD895" s="56">
        <f>IF(AQ895="7",BH895,0)</f>
      </c>
      <c r="AE895" s="56">
        <f>IF(AQ895="7",BI895,0)</f>
      </c>
      <c r="AF895" s="56">
        <f>IF(AQ895="2",BH895,0)</f>
      </c>
      <c r="AG895" s="56">
        <f>IF(AQ895="2",BI895,0)</f>
      </c>
      <c r="AH895" s="56">
        <f>IF(AQ895="0",BJ895,0)</f>
      </c>
      <c r="AI895" s="28" t="s">
        <v>57</v>
      </c>
      <c r="AJ895" s="56">
        <f>IF(AN895=0,J895,0)</f>
      </c>
      <c r="AK895" s="56">
        <f>IF(AN895=12,J895,0)</f>
      </c>
      <c r="AL895" s="56">
        <f>IF(AN895=21,J895,0)</f>
      </c>
      <c r="AN895" s="56" t="n">
        <v>21</v>
      </c>
      <c r="AO895" s="56">
        <f>G895*0</f>
      </c>
      <c r="AP895" s="56">
        <f>G895*(1-0)</f>
      </c>
      <c r="AQ895" s="57" t="s">
        <v>79</v>
      </c>
      <c r="AV895" s="56">
        <f>AW895+AX895</f>
      </c>
      <c r="AW895" s="56">
        <f>F895*AO895</f>
      </c>
      <c r="AX895" s="56">
        <f>F895*AP895</f>
      </c>
      <c r="AY895" s="57" t="s">
        <v>1461</v>
      </c>
      <c r="AZ895" s="57" t="s">
        <v>63</v>
      </c>
      <c r="BA895" s="28" t="s">
        <v>64</v>
      </c>
      <c r="BC895" s="56">
        <f>AW895+AX895</f>
      </c>
      <c r="BD895" s="56">
        <f>G895/(100-BE895)*100</f>
      </c>
      <c r="BE895" s="56" t="n">
        <v>0</v>
      </c>
      <c r="BF895" s="56">
        <f>895</f>
      </c>
      <c r="BH895" s="56">
        <f>F895*AO895</f>
      </c>
      <c r="BI895" s="56">
        <f>F895*AP895</f>
      </c>
      <c r="BJ895" s="56">
        <f>F895*G895</f>
      </c>
      <c r="BK895" s="56"/>
      <c r="BL895" s="56"/>
      <c r="BW895" s="56" t="n">
        <v>21</v>
      </c>
      <c r="BX895" s="14" t="s">
        <v>1477</v>
      </c>
    </row>
    <row r="896">
      <c r="A896" s="74"/>
      <c r="B896" s="75"/>
      <c r="C896" s="76" t="s">
        <v>1463</v>
      </c>
      <c r="D896" s="77" t="s">
        <v>53</v>
      </c>
      <c r="E896" s="75"/>
      <c r="F896" s="78" t="n">
        <v>40.11023</v>
      </c>
      <c r="G896" s="75"/>
      <c r="H896" s="75"/>
      <c r="I896" s="75"/>
      <c r="J896" s="75"/>
      <c r="K896" s="79"/>
    </row>
    <row r="897">
      <c r="A897" s="118" t="s">
        <v>53</v>
      </c>
      <c r="B897" s="119" t="s">
        <v>53</v>
      </c>
      <c r="C897" s="120" t="s">
        <v>1478</v>
      </c>
      <c r="D897" s="119"/>
      <c r="E897" s="121" t="s">
        <v>34</v>
      </c>
      <c r="F897" s="121" t="s">
        <v>34</v>
      </c>
      <c r="G897" s="121" t="s">
        <v>34</v>
      </c>
      <c r="H897" s="122">
        <f>H898+H903+H911+H924+H939+H952+H956+H963+H967+H969+H971+H973+H975</f>
      </c>
      <c r="I897" s="122">
        <f>I898+I903+I911+I924+I939+I952+I956+I963+I967+I969+I971+I973+I975</f>
      </c>
      <c r="J897" s="122">
        <f>J898+J903+J911+J924+J939+J952+J956+J963+J967+J969+J971+J973+J975</f>
      </c>
      <c r="K897" s="123" t="s">
        <v>53</v>
      </c>
    </row>
    <row r="898">
      <c r="A898" s="62" t="s">
        <v>53</v>
      </c>
      <c r="B898" s="63" t="s">
        <v>308</v>
      </c>
      <c r="C898" s="64" t="s">
        <v>309</v>
      </c>
      <c r="D898" s="63"/>
      <c r="E898" s="65" t="s">
        <v>34</v>
      </c>
      <c r="F898" s="65" t="s">
        <v>34</v>
      </c>
      <c r="G898" s="65" t="s">
        <v>34</v>
      </c>
      <c r="H898" s="66">
        <f>SUM(H899:H899)</f>
      </c>
      <c r="I898" s="66">
        <f>SUM(I899:I899)</f>
      </c>
      <c r="J898" s="66">
        <f>SUM(J899:J899)</f>
      </c>
      <c r="K898" s="67" t="s">
        <v>53</v>
      </c>
      <c r="AI898" s="28" t="s">
        <v>1479</v>
      </c>
      <c r="AS898" s="2">
        <f>SUM(AJ899:AJ899)</f>
      </c>
      <c r="AT898" s="2">
        <f>SUM(AK899:AK899)</f>
      </c>
      <c r="AU898" s="2">
        <f>SUM(AL899:AL899)</f>
      </c>
    </row>
    <row r="899">
      <c r="A899" s="51" t="s">
        <v>1480</v>
      </c>
      <c r="B899" s="52" t="s">
        <v>1481</v>
      </c>
      <c r="C899" s="53" t="s">
        <v>1482</v>
      </c>
      <c r="D899" s="52"/>
      <c r="E899" s="52" t="s">
        <v>180</v>
      </c>
      <c r="F899" s="54" t="n">
        <v>1</v>
      </c>
      <c r="G899" s="54" t="n">
        <v>0</v>
      </c>
      <c r="H899" s="54">
        <f>F899*AO899</f>
      </c>
      <c r="I899" s="54">
        <f>F899*AP899</f>
      </c>
      <c r="J899" s="54">
        <f>F899*G899</f>
      </c>
      <c r="K899" s="55" t="s">
        <v>100</v>
      </c>
      <c r="Z899" s="56">
        <f>IF(AQ899="5",BJ899,0)</f>
      </c>
      <c r="AB899" s="56">
        <f>IF(AQ899="1",BH899,0)</f>
      </c>
      <c r="AC899" s="56">
        <f>IF(AQ899="1",BI899,0)</f>
      </c>
      <c r="AD899" s="56">
        <f>IF(AQ899="7",BH899,0)</f>
      </c>
      <c r="AE899" s="56">
        <f>IF(AQ899="7",BI899,0)</f>
      </c>
      <c r="AF899" s="56">
        <f>IF(AQ899="2",BH899,0)</f>
      </c>
      <c r="AG899" s="56">
        <f>IF(AQ899="2",BI899,0)</f>
      </c>
      <c r="AH899" s="56">
        <f>IF(AQ899="0",BJ899,0)</f>
      </c>
      <c r="AI899" s="28" t="s">
        <v>1479</v>
      </c>
      <c r="AJ899" s="56">
        <f>IF(AN899=0,J899,0)</f>
      </c>
      <c r="AK899" s="56">
        <f>IF(AN899=12,J899,0)</f>
      </c>
      <c r="AL899" s="56">
        <f>IF(AN899=21,J899,0)</f>
      </c>
      <c r="AN899" s="56" t="n">
        <v>21</v>
      </c>
      <c r="AO899" s="56">
        <f>G899*0.228348214</f>
      </c>
      <c r="AP899" s="56">
        <f>G899*(1-0.228348214)</f>
      </c>
      <c r="AQ899" s="57" t="s">
        <v>58</v>
      </c>
      <c r="AV899" s="56">
        <f>AW899+AX899</f>
      </c>
      <c r="AW899" s="56">
        <f>F899*AO899</f>
      </c>
      <c r="AX899" s="56">
        <f>F899*AP899</f>
      </c>
      <c r="AY899" s="57" t="s">
        <v>313</v>
      </c>
      <c r="AZ899" s="57" t="s">
        <v>1483</v>
      </c>
      <c r="BA899" s="28" t="s">
        <v>1484</v>
      </c>
      <c r="BC899" s="56">
        <f>AW899+AX899</f>
      </c>
      <c r="BD899" s="56">
        <f>G899/(100-BE899)*100</f>
      </c>
      <c r="BE899" s="56" t="n">
        <v>0</v>
      </c>
      <c r="BF899" s="56">
        <f>899</f>
      </c>
      <c r="BH899" s="56">
        <f>F899*AO899</f>
      </c>
      <c r="BI899" s="56">
        <f>F899*AP899</f>
      </c>
      <c r="BJ899" s="56">
        <f>F899*G899</f>
      </c>
      <c r="BK899" s="56"/>
      <c r="BL899" s="56" t="n">
        <v>61</v>
      </c>
      <c r="BW899" s="56" t="n">
        <v>21</v>
      </c>
      <c r="BX899" s="14" t="s">
        <v>1482</v>
      </c>
    </row>
    <row r="900" customHeight="true" ht="13.5">
      <c r="A900" s="58"/>
      <c r="C900" s="59" t="s">
        <v>1485</v>
      </c>
      <c r="D900" s="60"/>
      <c r="E900" s="60"/>
      <c r="F900" s="60"/>
      <c r="G900" s="60"/>
      <c r="H900" s="60"/>
      <c r="I900" s="60"/>
      <c r="J900" s="60"/>
      <c r="K900" s="61"/>
    </row>
    <row r="901">
      <c r="A901" s="68"/>
      <c r="B901" s="69"/>
      <c r="C901" s="70" t="s">
        <v>58</v>
      </c>
      <c r="D901" s="71" t="s">
        <v>1486</v>
      </c>
      <c r="E901" s="69"/>
      <c r="F901" s="72" t="n">
        <v>1</v>
      </c>
      <c r="G901" s="69"/>
      <c r="H901" s="69"/>
      <c r="I901" s="69"/>
      <c r="J901" s="69"/>
      <c r="K901" s="73"/>
    </row>
    <row r="902">
      <c r="A902" s="58"/>
      <c r="B902" s="80" t="s">
        <v>108</v>
      </c>
      <c r="C902" s="59" t="s">
        <v>1487</v>
      </c>
      <c r="D902" s="60"/>
      <c r="E902" s="60"/>
      <c r="F902" s="60"/>
      <c r="G902" s="60"/>
      <c r="H902" s="60"/>
      <c r="I902" s="60"/>
      <c r="J902" s="60"/>
      <c r="K902" s="61"/>
      <c r="BX902" s="81" t="s">
        <v>1487</v>
      </c>
    </row>
    <row r="903">
      <c r="A903" s="62" t="s">
        <v>53</v>
      </c>
      <c r="B903" s="63" t="s">
        <v>381</v>
      </c>
      <c r="C903" s="64" t="s">
        <v>382</v>
      </c>
      <c r="D903" s="63"/>
      <c r="E903" s="65" t="s">
        <v>34</v>
      </c>
      <c r="F903" s="65" t="s">
        <v>34</v>
      </c>
      <c r="G903" s="65" t="s">
        <v>34</v>
      </c>
      <c r="H903" s="66">
        <f>SUM(H904:H908)</f>
      </c>
      <c r="I903" s="66">
        <f>SUM(I904:I908)</f>
      </c>
      <c r="J903" s="66">
        <f>SUM(J904:J908)</f>
      </c>
      <c r="K903" s="67" t="s">
        <v>53</v>
      </c>
      <c r="AI903" s="28" t="s">
        <v>1479</v>
      </c>
      <c r="AS903" s="2">
        <f>SUM(AJ904:AJ908)</f>
      </c>
      <c r="AT903" s="2">
        <f>SUM(AK904:AK908)</f>
      </c>
      <c r="AU903" s="2">
        <f>SUM(AL904:AL908)</f>
      </c>
    </row>
    <row r="904">
      <c r="A904" s="51" t="s">
        <v>1488</v>
      </c>
      <c r="B904" s="52" t="s">
        <v>1489</v>
      </c>
      <c r="C904" s="53" t="s">
        <v>1490</v>
      </c>
      <c r="D904" s="52"/>
      <c r="E904" s="52" t="s">
        <v>180</v>
      </c>
      <c r="F904" s="54" t="n">
        <v>2</v>
      </c>
      <c r="G904" s="54" t="n">
        <v>0</v>
      </c>
      <c r="H904" s="54">
        <f>F904*AO904</f>
      </c>
      <c r="I904" s="54">
        <f>F904*AP904</f>
      </c>
      <c r="J904" s="54">
        <f>F904*G904</f>
      </c>
      <c r="K904" s="55" t="s">
        <v>100</v>
      </c>
      <c r="Z904" s="56">
        <f>IF(AQ904="5",BJ904,0)</f>
      </c>
      <c r="AB904" s="56">
        <f>IF(AQ904="1",BH904,0)</f>
      </c>
      <c r="AC904" s="56">
        <f>IF(AQ904="1",BI904,0)</f>
      </c>
      <c r="AD904" s="56">
        <f>IF(AQ904="7",BH904,0)</f>
      </c>
      <c r="AE904" s="56">
        <f>IF(AQ904="7",BI904,0)</f>
      </c>
      <c r="AF904" s="56">
        <f>IF(AQ904="2",BH904,0)</f>
      </c>
      <c r="AG904" s="56">
        <f>IF(AQ904="2",BI904,0)</f>
      </c>
      <c r="AH904" s="56">
        <f>IF(AQ904="0",BJ904,0)</f>
      </c>
      <c r="AI904" s="28" t="s">
        <v>1479</v>
      </c>
      <c r="AJ904" s="56">
        <f>IF(AN904=0,J904,0)</f>
      </c>
      <c r="AK904" s="56">
        <f>IF(AN904=12,J904,0)</f>
      </c>
      <c r="AL904" s="56">
        <f>IF(AN904=21,J904,0)</f>
      </c>
      <c r="AN904" s="56" t="n">
        <v>21</v>
      </c>
      <c r="AO904" s="56">
        <f>G904*0.814783811</f>
      </c>
      <c r="AP904" s="56">
        <f>G904*(1-0.814783811)</f>
      </c>
      <c r="AQ904" s="57" t="s">
        <v>85</v>
      </c>
      <c r="AV904" s="56">
        <f>AW904+AX904</f>
      </c>
      <c r="AW904" s="56">
        <f>F904*AO904</f>
      </c>
      <c r="AX904" s="56">
        <f>F904*AP904</f>
      </c>
      <c r="AY904" s="57" t="s">
        <v>386</v>
      </c>
      <c r="AZ904" s="57" t="s">
        <v>1491</v>
      </c>
      <c r="BA904" s="28" t="s">
        <v>1484</v>
      </c>
      <c r="BC904" s="56">
        <f>AW904+AX904</f>
      </c>
      <c r="BD904" s="56">
        <f>G904/(100-BE904)*100</f>
      </c>
      <c r="BE904" s="56" t="n">
        <v>0</v>
      </c>
      <c r="BF904" s="56">
        <f>904</f>
      </c>
      <c r="BH904" s="56">
        <f>F904*AO904</f>
      </c>
      <c r="BI904" s="56">
        <f>F904*AP904</f>
      </c>
      <c r="BJ904" s="56">
        <f>F904*G904</f>
      </c>
      <c r="BK904" s="56"/>
      <c r="BL904" s="56" t="n">
        <v>713</v>
      </c>
      <c r="BW904" s="56" t="n">
        <v>21</v>
      </c>
      <c r="BX904" s="14" t="s">
        <v>1490</v>
      </c>
    </row>
    <row r="905" customHeight="true" ht="94.5">
      <c r="A905" s="58"/>
      <c r="C905" s="59" t="s">
        <v>1492</v>
      </c>
      <c r="D905" s="60"/>
      <c r="E905" s="60"/>
      <c r="F905" s="60"/>
      <c r="G905" s="60"/>
      <c r="H905" s="60"/>
      <c r="I905" s="60"/>
      <c r="J905" s="60"/>
      <c r="K905" s="61"/>
    </row>
    <row r="906">
      <c r="A906" s="68"/>
      <c r="B906" s="69"/>
      <c r="C906" s="70" t="s">
        <v>61</v>
      </c>
      <c r="D906" s="71" t="s">
        <v>1493</v>
      </c>
      <c r="E906" s="69"/>
      <c r="F906" s="72" t="n">
        <v>2</v>
      </c>
      <c r="G906" s="69"/>
      <c r="H906" s="69"/>
      <c r="I906" s="69"/>
      <c r="J906" s="69"/>
      <c r="K906" s="73"/>
    </row>
    <row r="907" ht="24.75">
      <c r="A907" s="58"/>
      <c r="B907" s="80" t="s">
        <v>108</v>
      </c>
      <c r="C907" s="59" t="s">
        <v>1494</v>
      </c>
      <c r="D907" s="60"/>
      <c r="E907" s="60"/>
      <c r="F907" s="60"/>
      <c r="G907" s="60"/>
      <c r="H907" s="60"/>
      <c r="I907" s="60"/>
      <c r="J907" s="60"/>
      <c r="K907" s="61"/>
      <c r="BX907" s="81" t="s">
        <v>1494</v>
      </c>
    </row>
    <row r="908">
      <c r="A908" s="82" t="s">
        <v>1495</v>
      </c>
      <c r="B908" s="83" t="s">
        <v>1496</v>
      </c>
      <c r="C908" s="84" t="s">
        <v>1497</v>
      </c>
      <c r="D908" s="83"/>
      <c r="E908" s="83" t="s">
        <v>180</v>
      </c>
      <c r="F908" s="85" t="n">
        <v>1</v>
      </c>
      <c r="G908" s="85" t="n">
        <v>0</v>
      </c>
      <c r="H908" s="85">
        <f>F908*AO908</f>
      </c>
      <c r="I908" s="85">
        <f>F908*AP908</f>
      </c>
      <c r="J908" s="85">
        <f>F908*G908</f>
      </c>
      <c r="K908" s="86" t="s">
        <v>100</v>
      </c>
      <c r="Z908" s="56">
        <f>IF(AQ908="5",BJ908,0)</f>
      </c>
      <c r="AB908" s="56">
        <f>IF(AQ908="1",BH908,0)</f>
      </c>
      <c r="AC908" s="56">
        <f>IF(AQ908="1",BI908,0)</f>
      </c>
      <c r="AD908" s="56">
        <f>IF(AQ908="7",BH908,0)</f>
      </c>
      <c r="AE908" s="56">
        <f>IF(AQ908="7",BI908,0)</f>
      </c>
      <c r="AF908" s="56">
        <f>IF(AQ908="2",BH908,0)</f>
      </c>
      <c r="AG908" s="56">
        <f>IF(AQ908="2",BI908,0)</f>
      </c>
      <c r="AH908" s="56">
        <f>IF(AQ908="0",BJ908,0)</f>
      </c>
      <c r="AI908" s="28" t="s">
        <v>1479</v>
      </c>
      <c r="AJ908" s="56">
        <f>IF(AN908=0,J908,0)</f>
      </c>
      <c r="AK908" s="56">
        <f>IF(AN908=12,J908,0)</f>
      </c>
      <c r="AL908" s="56">
        <f>IF(AN908=21,J908,0)</f>
      </c>
      <c r="AN908" s="56" t="n">
        <v>21</v>
      </c>
      <c r="AO908" s="56">
        <f>G908*0.739236181</f>
      </c>
      <c r="AP908" s="56">
        <f>G908*(1-0.739236181)</f>
      </c>
      <c r="AQ908" s="57" t="s">
        <v>85</v>
      </c>
      <c r="AV908" s="56">
        <f>AW908+AX908</f>
      </c>
      <c r="AW908" s="56">
        <f>F908*AO908</f>
      </c>
      <c r="AX908" s="56">
        <f>F908*AP908</f>
      </c>
      <c r="AY908" s="57" t="s">
        <v>386</v>
      </c>
      <c r="AZ908" s="57" t="s">
        <v>1491</v>
      </c>
      <c r="BA908" s="28" t="s">
        <v>1484</v>
      </c>
      <c r="BC908" s="56">
        <f>AW908+AX908</f>
      </c>
      <c r="BD908" s="56">
        <f>G908/(100-BE908)*100</f>
      </c>
      <c r="BE908" s="56" t="n">
        <v>0</v>
      </c>
      <c r="BF908" s="56">
        <f>908</f>
      </c>
      <c r="BH908" s="56">
        <f>F908*AO908</f>
      </c>
      <c r="BI908" s="56">
        <f>F908*AP908</f>
      </c>
      <c r="BJ908" s="56">
        <f>F908*G908</f>
      </c>
      <c r="BK908" s="56"/>
      <c r="BL908" s="56" t="n">
        <v>713</v>
      </c>
      <c r="BW908" s="56" t="n">
        <v>21</v>
      </c>
      <c r="BX908" s="14" t="s">
        <v>1497</v>
      </c>
    </row>
    <row r="909">
      <c r="A909" s="74"/>
      <c r="B909" s="75"/>
      <c r="C909" s="76" t="s">
        <v>58</v>
      </c>
      <c r="D909" s="77" t="s">
        <v>1498</v>
      </c>
      <c r="E909" s="75"/>
      <c r="F909" s="78" t="n">
        <v>1</v>
      </c>
      <c r="G909" s="75"/>
      <c r="H909" s="75"/>
      <c r="I909" s="75"/>
      <c r="J909" s="75"/>
      <c r="K909" s="79"/>
    </row>
    <row r="910" ht="24.75">
      <c r="A910" s="101"/>
      <c r="B910" s="102" t="s">
        <v>108</v>
      </c>
      <c r="C910" s="103" t="s">
        <v>1499</v>
      </c>
      <c r="D910" s="104"/>
      <c r="E910" s="104"/>
      <c r="F910" s="104"/>
      <c r="G910" s="104"/>
      <c r="H910" s="104"/>
      <c r="I910" s="104"/>
      <c r="J910" s="104"/>
      <c r="K910" s="105"/>
      <c r="BX910" s="81" t="s">
        <v>1499</v>
      </c>
    </row>
    <row r="911">
      <c r="A911" s="124" t="s">
        <v>53</v>
      </c>
      <c r="B911" s="125" t="s">
        <v>1500</v>
      </c>
      <c r="C911" s="126" t="s">
        <v>1501</v>
      </c>
      <c r="D911" s="125"/>
      <c r="E911" s="127" t="s">
        <v>34</v>
      </c>
      <c r="F911" s="127" t="s">
        <v>34</v>
      </c>
      <c r="G911" s="127" t="s">
        <v>34</v>
      </c>
      <c r="H911" s="2">
        <f>SUM(H912:H923)</f>
      </c>
      <c r="I911" s="2">
        <f>SUM(I912:I923)</f>
      </c>
      <c r="J911" s="2">
        <f>SUM(J912:J923)</f>
      </c>
      <c r="K911" s="128" t="s">
        <v>53</v>
      </c>
      <c r="AI911" s="28" t="s">
        <v>1479</v>
      </c>
      <c r="AS911" s="2">
        <f>SUM(AJ912:AJ923)</f>
      </c>
      <c r="AT911" s="2">
        <f>SUM(AK912:AK923)</f>
      </c>
      <c r="AU911" s="2">
        <f>SUM(AL912:AL923)</f>
      </c>
    </row>
    <row r="912">
      <c r="A912" s="9" t="s">
        <v>1502</v>
      </c>
      <c r="B912" s="10" t="s">
        <v>1503</v>
      </c>
      <c r="C912" s="14" t="s">
        <v>1504</v>
      </c>
      <c r="D912" s="10"/>
      <c r="E912" s="10" t="s">
        <v>180</v>
      </c>
      <c r="F912" s="56" t="n">
        <v>1</v>
      </c>
      <c r="G912" s="56" t="n">
        <v>0</v>
      </c>
      <c r="H912" s="56">
        <f>F912*AO912</f>
      </c>
      <c r="I912" s="56">
        <f>F912*AP912</f>
      </c>
      <c r="J912" s="56">
        <f>F912*G912</f>
      </c>
      <c r="K912" s="111" t="s">
        <v>100</v>
      </c>
      <c r="Z912" s="56">
        <f>IF(AQ912="5",BJ912,0)</f>
      </c>
      <c r="AB912" s="56">
        <f>IF(AQ912="1",BH912,0)</f>
      </c>
      <c r="AC912" s="56">
        <f>IF(AQ912="1",BI912,0)</f>
      </c>
      <c r="AD912" s="56">
        <f>IF(AQ912="7",BH912,0)</f>
      </c>
      <c r="AE912" s="56">
        <f>IF(AQ912="7",BI912,0)</f>
      </c>
      <c r="AF912" s="56">
        <f>IF(AQ912="2",BH912,0)</f>
      </c>
      <c r="AG912" s="56">
        <f>IF(AQ912="2",BI912,0)</f>
      </c>
      <c r="AH912" s="56">
        <f>IF(AQ912="0",BJ912,0)</f>
      </c>
      <c r="AI912" s="28" t="s">
        <v>1479</v>
      </c>
      <c r="AJ912" s="56">
        <f>IF(AN912=0,J912,0)</f>
      </c>
      <c r="AK912" s="56">
        <f>IF(AN912=12,J912,0)</f>
      </c>
      <c r="AL912" s="56">
        <f>IF(AN912=21,J912,0)</f>
      </c>
      <c r="AN912" s="56" t="n">
        <v>21</v>
      </c>
      <c r="AO912" s="56">
        <f>G912*0</f>
      </c>
      <c r="AP912" s="56">
        <f>G912*(1-0)</f>
      </c>
      <c r="AQ912" s="57" t="s">
        <v>85</v>
      </c>
      <c r="AV912" s="56">
        <f>AW912+AX912</f>
      </c>
      <c r="AW912" s="56">
        <f>F912*AO912</f>
      </c>
      <c r="AX912" s="56">
        <f>F912*AP912</f>
      </c>
      <c r="AY912" s="57" t="s">
        <v>1505</v>
      </c>
      <c r="AZ912" s="57" t="s">
        <v>1506</v>
      </c>
      <c r="BA912" s="28" t="s">
        <v>1484</v>
      </c>
      <c r="BC912" s="56">
        <f>AW912+AX912</f>
      </c>
      <c r="BD912" s="56">
        <f>G912/(100-BE912)*100</f>
      </c>
      <c r="BE912" s="56" t="n">
        <v>0</v>
      </c>
      <c r="BF912" s="56">
        <f>912</f>
      </c>
      <c r="BH912" s="56">
        <f>F912*AO912</f>
      </c>
      <c r="BI912" s="56">
        <f>F912*AP912</f>
      </c>
      <c r="BJ912" s="56">
        <f>F912*G912</f>
      </c>
      <c r="BK912" s="56"/>
      <c r="BL912" s="56" t="n">
        <v>721</v>
      </c>
      <c r="BW912" s="56" t="n">
        <v>21</v>
      </c>
      <c r="BX912" s="14" t="s">
        <v>1504</v>
      </c>
    </row>
    <row r="913">
      <c r="A913" s="9" t="s">
        <v>1507</v>
      </c>
      <c r="B913" s="10" t="s">
        <v>1508</v>
      </c>
      <c r="C913" s="14" t="s">
        <v>1509</v>
      </c>
      <c r="D913" s="10"/>
      <c r="E913" s="10" t="s">
        <v>180</v>
      </c>
      <c r="F913" s="56" t="n">
        <v>1</v>
      </c>
      <c r="G913" s="56" t="n">
        <v>0</v>
      </c>
      <c r="H913" s="56">
        <f>F913*AO913</f>
      </c>
      <c r="I913" s="56">
        <f>F913*AP913</f>
      </c>
      <c r="J913" s="56">
        <f>F913*G913</f>
      </c>
      <c r="K913" s="111" t="s">
        <v>100</v>
      </c>
      <c r="Z913" s="56">
        <f>IF(AQ913="5",BJ913,0)</f>
      </c>
      <c r="AB913" s="56">
        <f>IF(AQ913="1",BH913,0)</f>
      </c>
      <c r="AC913" s="56">
        <f>IF(AQ913="1",BI913,0)</f>
      </c>
      <c r="AD913" s="56">
        <f>IF(AQ913="7",BH913,0)</f>
      </c>
      <c r="AE913" s="56">
        <f>IF(AQ913="7",BI913,0)</f>
      </c>
      <c r="AF913" s="56">
        <f>IF(AQ913="2",BH913,0)</f>
      </c>
      <c r="AG913" s="56">
        <f>IF(AQ913="2",BI913,0)</f>
      </c>
      <c r="AH913" s="56">
        <f>IF(AQ913="0",BJ913,0)</f>
      </c>
      <c r="AI913" s="28" t="s">
        <v>1479</v>
      </c>
      <c r="AJ913" s="56">
        <f>IF(AN913=0,J913,0)</f>
      </c>
      <c r="AK913" s="56">
        <f>IF(AN913=12,J913,0)</f>
      </c>
      <c r="AL913" s="56">
        <f>IF(AN913=21,J913,0)</f>
      </c>
      <c r="AN913" s="56" t="n">
        <v>21</v>
      </c>
      <c r="AO913" s="56">
        <f>G913*0</f>
      </c>
      <c r="AP913" s="56">
        <f>G913*(1-0)</f>
      </c>
      <c r="AQ913" s="57" t="s">
        <v>85</v>
      </c>
      <c r="AV913" s="56">
        <f>AW913+AX913</f>
      </c>
      <c r="AW913" s="56">
        <f>F913*AO913</f>
      </c>
      <c r="AX913" s="56">
        <f>F913*AP913</f>
      </c>
      <c r="AY913" s="57" t="s">
        <v>1505</v>
      </c>
      <c r="AZ913" s="57" t="s">
        <v>1506</v>
      </c>
      <c r="BA913" s="28" t="s">
        <v>1484</v>
      </c>
      <c r="BC913" s="56">
        <f>AW913+AX913</f>
      </c>
      <c r="BD913" s="56">
        <f>G913/(100-BE913)*100</f>
      </c>
      <c r="BE913" s="56" t="n">
        <v>0</v>
      </c>
      <c r="BF913" s="56">
        <f>913</f>
      </c>
      <c r="BH913" s="56">
        <f>F913*AO913</f>
      </c>
      <c r="BI913" s="56">
        <f>F913*AP913</f>
      </c>
      <c r="BJ913" s="56">
        <f>F913*G913</f>
      </c>
      <c r="BK913" s="56"/>
      <c r="BL913" s="56" t="n">
        <v>721</v>
      </c>
      <c r="BW913" s="56" t="n">
        <v>21</v>
      </c>
      <c r="BX913" s="14" t="s">
        <v>1509</v>
      </c>
    </row>
    <row r="914">
      <c r="A914" s="9" t="s">
        <v>1510</v>
      </c>
      <c r="B914" s="10" t="s">
        <v>1511</v>
      </c>
      <c r="C914" s="14" t="s">
        <v>1512</v>
      </c>
      <c r="D914" s="10"/>
      <c r="E914" s="10" t="s">
        <v>180</v>
      </c>
      <c r="F914" s="56" t="n">
        <v>1</v>
      </c>
      <c r="G914" s="56" t="n">
        <v>0</v>
      </c>
      <c r="H914" s="56">
        <f>F914*AO914</f>
      </c>
      <c r="I914" s="56">
        <f>F914*AP914</f>
      </c>
      <c r="J914" s="56">
        <f>F914*G914</f>
      </c>
      <c r="K914" s="111" t="s">
        <v>100</v>
      </c>
      <c r="Z914" s="56">
        <f>IF(AQ914="5",BJ914,0)</f>
      </c>
      <c r="AB914" s="56">
        <f>IF(AQ914="1",BH914,0)</f>
      </c>
      <c r="AC914" s="56">
        <f>IF(AQ914="1",BI914,0)</f>
      </c>
      <c r="AD914" s="56">
        <f>IF(AQ914="7",BH914,0)</f>
      </c>
      <c r="AE914" s="56">
        <f>IF(AQ914="7",BI914,0)</f>
      </c>
      <c r="AF914" s="56">
        <f>IF(AQ914="2",BH914,0)</f>
      </c>
      <c r="AG914" s="56">
        <f>IF(AQ914="2",BI914,0)</f>
      </c>
      <c r="AH914" s="56">
        <f>IF(AQ914="0",BJ914,0)</f>
      </c>
      <c r="AI914" s="28" t="s">
        <v>1479</v>
      </c>
      <c r="AJ914" s="56">
        <f>IF(AN914=0,J914,0)</f>
      </c>
      <c r="AK914" s="56">
        <f>IF(AN914=12,J914,0)</f>
      </c>
      <c r="AL914" s="56">
        <f>IF(AN914=21,J914,0)</f>
      </c>
      <c r="AN914" s="56" t="n">
        <v>21</v>
      </c>
      <c r="AO914" s="56">
        <f>G914*0</f>
      </c>
      <c r="AP914" s="56">
        <f>G914*(1-0)</f>
      </c>
      <c r="AQ914" s="57" t="s">
        <v>85</v>
      </c>
      <c r="AV914" s="56">
        <f>AW914+AX914</f>
      </c>
      <c r="AW914" s="56">
        <f>F914*AO914</f>
      </c>
      <c r="AX914" s="56">
        <f>F914*AP914</f>
      </c>
      <c r="AY914" s="57" t="s">
        <v>1505</v>
      </c>
      <c r="AZ914" s="57" t="s">
        <v>1506</v>
      </c>
      <c r="BA914" s="28" t="s">
        <v>1484</v>
      </c>
      <c r="BC914" s="56">
        <f>AW914+AX914</f>
      </c>
      <c r="BD914" s="56">
        <f>G914/(100-BE914)*100</f>
      </c>
      <c r="BE914" s="56" t="n">
        <v>0</v>
      </c>
      <c r="BF914" s="56">
        <f>914</f>
      </c>
      <c r="BH914" s="56">
        <f>F914*AO914</f>
      </c>
      <c r="BI914" s="56">
        <f>F914*AP914</f>
      </c>
      <c r="BJ914" s="56">
        <f>F914*G914</f>
      </c>
      <c r="BK914" s="56"/>
      <c r="BL914" s="56" t="n">
        <v>721</v>
      </c>
      <c r="BW914" s="56" t="n">
        <v>21</v>
      </c>
      <c r="BX914" s="14" t="s">
        <v>1512</v>
      </c>
    </row>
    <row r="915">
      <c r="A915" s="9" t="s">
        <v>1513</v>
      </c>
      <c r="B915" s="10" t="s">
        <v>1514</v>
      </c>
      <c r="C915" s="14" t="s">
        <v>1515</v>
      </c>
      <c r="D915" s="10"/>
      <c r="E915" s="10" t="s">
        <v>180</v>
      </c>
      <c r="F915" s="56" t="n">
        <v>1</v>
      </c>
      <c r="G915" s="56" t="n">
        <v>0</v>
      </c>
      <c r="H915" s="56">
        <f>F915*AO915</f>
      </c>
      <c r="I915" s="56">
        <f>F915*AP915</f>
      </c>
      <c r="J915" s="56">
        <f>F915*G915</f>
      </c>
      <c r="K915" s="111" t="s">
        <v>100</v>
      </c>
      <c r="Z915" s="56">
        <f>IF(AQ915="5",BJ915,0)</f>
      </c>
      <c r="AB915" s="56">
        <f>IF(AQ915="1",BH915,0)</f>
      </c>
      <c r="AC915" s="56">
        <f>IF(AQ915="1",BI915,0)</f>
      </c>
      <c r="AD915" s="56">
        <f>IF(AQ915="7",BH915,0)</f>
      </c>
      <c r="AE915" s="56">
        <f>IF(AQ915="7",BI915,0)</f>
      </c>
      <c r="AF915" s="56">
        <f>IF(AQ915="2",BH915,0)</f>
      </c>
      <c r="AG915" s="56">
        <f>IF(AQ915="2",BI915,0)</f>
      </c>
      <c r="AH915" s="56">
        <f>IF(AQ915="0",BJ915,0)</f>
      </c>
      <c r="AI915" s="28" t="s">
        <v>1479</v>
      </c>
      <c r="AJ915" s="56">
        <f>IF(AN915=0,J915,0)</f>
      </c>
      <c r="AK915" s="56">
        <f>IF(AN915=12,J915,0)</f>
      </c>
      <c r="AL915" s="56">
        <f>IF(AN915=21,J915,0)</f>
      </c>
      <c r="AN915" s="56" t="n">
        <v>21</v>
      </c>
      <c r="AO915" s="56">
        <f>G915*0</f>
      </c>
      <c r="AP915" s="56">
        <f>G915*(1-0)</f>
      </c>
      <c r="AQ915" s="57" t="s">
        <v>85</v>
      </c>
      <c r="AV915" s="56">
        <f>AW915+AX915</f>
      </c>
      <c r="AW915" s="56">
        <f>F915*AO915</f>
      </c>
      <c r="AX915" s="56">
        <f>F915*AP915</f>
      </c>
      <c r="AY915" s="57" t="s">
        <v>1505</v>
      </c>
      <c r="AZ915" s="57" t="s">
        <v>1506</v>
      </c>
      <c r="BA915" s="28" t="s">
        <v>1484</v>
      </c>
      <c r="BC915" s="56">
        <f>AW915+AX915</f>
      </c>
      <c r="BD915" s="56">
        <f>G915/(100-BE915)*100</f>
      </c>
      <c r="BE915" s="56" t="n">
        <v>0</v>
      </c>
      <c r="BF915" s="56">
        <f>915</f>
      </c>
      <c r="BH915" s="56">
        <f>F915*AO915</f>
      </c>
      <c r="BI915" s="56">
        <f>F915*AP915</f>
      </c>
      <c r="BJ915" s="56">
        <f>F915*G915</f>
      </c>
      <c r="BK915" s="56"/>
      <c r="BL915" s="56" t="n">
        <v>721</v>
      </c>
      <c r="BW915" s="56" t="n">
        <v>21</v>
      </c>
      <c r="BX915" s="14" t="s">
        <v>1515</v>
      </c>
    </row>
    <row r="916">
      <c r="A916" s="9" t="s">
        <v>1516</v>
      </c>
      <c r="B916" s="10" t="s">
        <v>1517</v>
      </c>
      <c r="C916" s="14" t="s">
        <v>1518</v>
      </c>
      <c r="D916" s="10"/>
      <c r="E916" s="10" t="s">
        <v>393</v>
      </c>
      <c r="F916" s="56" t="n">
        <v>1</v>
      </c>
      <c r="G916" s="56" t="n">
        <v>0</v>
      </c>
      <c r="H916" s="56">
        <f>F916*AO916</f>
      </c>
      <c r="I916" s="56">
        <f>F916*AP916</f>
      </c>
      <c r="J916" s="56">
        <f>F916*G916</f>
      </c>
      <c r="K916" s="111" t="s">
        <v>100</v>
      </c>
      <c r="Z916" s="56">
        <f>IF(AQ916="5",BJ916,0)</f>
      </c>
      <c r="AB916" s="56">
        <f>IF(AQ916="1",BH916,0)</f>
      </c>
      <c r="AC916" s="56">
        <f>IF(AQ916="1",BI916,0)</f>
      </c>
      <c r="AD916" s="56">
        <f>IF(AQ916="7",BH916,0)</f>
      </c>
      <c r="AE916" s="56">
        <f>IF(AQ916="7",BI916,0)</f>
      </c>
      <c r="AF916" s="56">
        <f>IF(AQ916="2",BH916,0)</f>
      </c>
      <c r="AG916" s="56">
        <f>IF(AQ916="2",BI916,0)</f>
      </c>
      <c r="AH916" s="56">
        <f>IF(AQ916="0",BJ916,0)</f>
      </c>
      <c r="AI916" s="28" t="s">
        <v>1479</v>
      </c>
      <c r="AJ916" s="56">
        <f>IF(AN916=0,J916,0)</f>
      </c>
      <c r="AK916" s="56">
        <f>IF(AN916=12,J916,0)</f>
      </c>
      <c r="AL916" s="56">
        <f>IF(AN916=21,J916,0)</f>
      </c>
      <c r="AN916" s="56" t="n">
        <v>21</v>
      </c>
      <c r="AO916" s="56">
        <f>G916*0</f>
      </c>
      <c r="AP916" s="56">
        <f>G916*(1-0)</f>
      </c>
      <c r="AQ916" s="57" t="s">
        <v>85</v>
      </c>
      <c r="AV916" s="56">
        <f>AW916+AX916</f>
      </c>
      <c r="AW916" s="56">
        <f>F916*AO916</f>
      </c>
      <c r="AX916" s="56">
        <f>F916*AP916</f>
      </c>
      <c r="AY916" s="57" t="s">
        <v>1505</v>
      </c>
      <c r="AZ916" s="57" t="s">
        <v>1506</v>
      </c>
      <c r="BA916" s="28" t="s">
        <v>1484</v>
      </c>
      <c r="BC916" s="56">
        <f>AW916+AX916</f>
      </c>
      <c r="BD916" s="56">
        <f>G916/(100-BE916)*100</f>
      </c>
      <c r="BE916" s="56" t="n">
        <v>0</v>
      </c>
      <c r="BF916" s="56">
        <f>916</f>
      </c>
      <c r="BH916" s="56">
        <f>F916*AO916</f>
      </c>
      <c r="BI916" s="56">
        <f>F916*AP916</f>
      </c>
      <c r="BJ916" s="56">
        <f>F916*G916</f>
      </c>
      <c r="BK916" s="56"/>
      <c r="BL916" s="56" t="n">
        <v>721</v>
      </c>
      <c r="BW916" s="56" t="n">
        <v>21</v>
      </c>
      <c r="BX916" s="14" t="s">
        <v>1518</v>
      </c>
    </row>
    <row r="917">
      <c r="A917" s="9" t="s">
        <v>1519</v>
      </c>
      <c r="B917" s="10" t="s">
        <v>1520</v>
      </c>
      <c r="C917" s="14" t="s">
        <v>1521</v>
      </c>
      <c r="D917" s="10"/>
      <c r="E917" s="10" t="s">
        <v>393</v>
      </c>
      <c r="F917" s="56" t="n">
        <v>3</v>
      </c>
      <c r="G917" s="56" t="n">
        <v>0</v>
      </c>
      <c r="H917" s="56">
        <f>F917*AO917</f>
      </c>
      <c r="I917" s="56">
        <f>F917*AP917</f>
      </c>
      <c r="J917" s="56">
        <f>F917*G917</f>
      </c>
      <c r="K917" s="111" t="s">
        <v>100</v>
      </c>
      <c r="Z917" s="56">
        <f>IF(AQ917="5",BJ917,0)</f>
      </c>
      <c r="AB917" s="56">
        <f>IF(AQ917="1",BH917,0)</f>
      </c>
      <c r="AC917" s="56">
        <f>IF(AQ917="1",BI917,0)</f>
      </c>
      <c r="AD917" s="56">
        <f>IF(AQ917="7",BH917,0)</f>
      </c>
      <c r="AE917" s="56">
        <f>IF(AQ917="7",BI917,0)</f>
      </c>
      <c r="AF917" s="56">
        <f>IF(AQ917="2",BH917,0)</f>
      </c>
      <c r="AG917" s="56">
        <f>IF(AQ917="2",BI917,0)</f>
      </c>
      <c r="AH917" s="56">
        <f>IF(AQ917="0",BJ917,0)</f>
      </c>
      <c r="AI917" s="28" t="s">
        <v>1479</v>
      </c>
      <c r="AJ917" s="56">
        <f>IF(AN917=0,J917,0)</f>
      </c>
      <c r="AK917" s="56">
        <f>IF(AN917=12,J917,0)</f>
      </c>
      <c r="AL917" s="56">
        <f>IF(AN917=21,J917,0)</f>
      </c>
      <c r="AN917" s="56" t="n">
        <v>21</v>
      </c>
      <c r="AO917" s="56">
        <f>G917*0</f>
      </c>
      <c r="AP917" s="56">
        <f>G917*(1-0)</f>
      </c>
      <c r="AQ917" s="57" t="s">
        <v>85</v>
      </c>
      <c r="AV917" s="56">
        <f>AW917+AX917</f>
      </c>
      <c r="AW917" s="56">
        <f>F917*AO917</f>
      </c>
      <c r="AX917" s="56">
        <f>F917*AP917</f>
      </c>
      <c r="AY917" s="57" t="s">
        <v>1505</v>
      </c>
      <c r="AZ917" s="57" t="s">
        <v>1506</v>
      </c>
      <c r="BA917" s="28" t="s">
        <v>1484</v>
      </c>
      <c r="BC917" s="56">
        <f>AW917+AX917</f>
      </c>
      <c r="BD917" s="56">
        <f>G917/(100-BE917)*100</f>
      </c>
      <c r="BE917" s="56" t="n">
        <v>0</v>
      </c>
      <c r="BF917" s="56">
        <f>917</f>
      </c>
      <c r="BH917" s="56">
        <f>F917*AO917</f>
      </c>
      <c r="BI917" s="56">
        <f>F917*AP917</f>
      </c>
      <c r="BJ917" s="56">
        <f>F917*G917</f>
      </c>
      <c r="BK917" s="56"/>
      <c r="BL917" s="56" t="n">
        <v>721</v>
      </c>
      <c r="BW917" s="56" t="n">
        <v>21</v>
      </c>
      <c r="BX917" s="14" t="s">
        <v>1521</v>
      </c>
    </row>
    <row r="918">
      <c r="A918" s="9" t="s">
        <v>1522</v>
      </c>
      <c r="B918" s="10" t="s">
        <v>1523</v>
      </c>
      <c r="C918" s="14" t="s">
        <v>1524</v>
      </c>
      <c r="D918" s="10"/>
      <c r="E918" s="10" t="s">
        <v>393</v>
      </c>
      <c r="F918" s="56" t="n">
        <v>1</v>
      </c>
      <c r="G918" s="56" t="n">
        <v>0</v>
      </c>
      <c r="H918" s="56">
        <f>F918*AO918</f>
      </c>
      <c r="I918" s="56">
        <f>F918*AP918</f>
      </c>
      <c r="J918" s="56">
        <f>F918*G918</f>
      </c>
      <c r="K918" s="111" t="s">
        <v>100</v>
      </c>
      <c r="Z918" s="56">
        <f>IF(AQ918="5",BJ918,0)</f>
      </c>
      <c r="AB918" s="56">
        <f>IF(AQ918="1",BH918,0)</f>
      </c>
      <c r="AC918" s="56">
        <f>IF(AQ918="1",BI918,0)</f>
      </c>
      <c r="AD918" s="56">
        <f>IF(AQ918="7",BH918,0)</f>
      </c>
      <c r="AE918" s="56">
        <f>IF(AQ918="7",BI918,0)</f>
      </c>
      <c r="AF918" s="56">
        <f>IF(AQ918="2",BH918,0)</f>
      </c>
      <c r="AG918" s="56">
        <f>IF(AQ918="2",BI918,0)</f>
      </c>
      <c r="AH918" s="56">
        <f>IF(AQ918="0",BJ918,0)</f>
      </c>
      <c r="AI918" s="28" t="s">
        <v>1479</v>
      </c>
      <c r="AJ918" s="56">
        <f>IF(AN918=0,J918,0)</f>
      </c>
      <c r="AK918" s="56">
        <f>IF(AN918=12,J918,0)</f>
      </c>
      <c r="AL918" s="56">
        <f>IF(AN918=21,J918,0)</f>
      </c>
      <c r="AN918" s="56" t="n">
        <v>21</v>
      </c>
      <c r="AO918" s="56">
        <f>G918*0</f>
      </c>
      <c r="AP918" s="56">
        <f>G918*(1-0)</f>
      </c>
      <c r="AQ918" s="57" t="s">
        <v>85</v>
      </c>
      <c r="AV918" s="56">
        <f>AW918+AX918</f>
      </c>
      <c r="AW918" s="56">
        <f>F918*AO918</f>
      </c>
      <c r="AX918" s="56">
        <f>F918*AP918</f>
      </c>
      <c r="AY918" s="57" t="s">
        <v>1505</v>
      </c>
      <c r="AZ918" s="57" t="s">
        <v>1506</v>
      </c>
      <c r="BA918" s="28" t="s">
        <v>1484</v>
      </c>
      <c r="BC918" s="56">
        <f>AW918+AX918</f>
      </c>
      <c r="BD918" s="56">
        <f>G918/(100-BE918)*100</f>
      </c>
      <c r="BE918" s="56" t="n">
        <v>0</v>
      </c>
      <c r="BF918" s="56">
        <f>918</f>
      </c>
      <c r="BH918" s="56">
        <f>F918*AO918</f>
      </c>
      <c r="BI918" s="56">
        <f>F918*AP918</f>
      </c>
      <c r="BJ918" s="56">
        <f>F918*G918</f>
      </c>
      <c r="BK918" s="56"/>
      <c r="BL918" s="56" t="n">
        <v>721</v>
      </c>
      <c r="BW918" s="56" t="n">
        <v>21</v>
      </c>
      <c r="BX918" s="14" t="s">
        <v>1524</v>
      </c>
    </row>
    <row r="919">
      <c r="A919" s="9" t="s">
        <v>1525</v>
      </c>
      <c r="B919" s="10" t="s">
        <v>1526</v>
      </c>
      <c r="C919" s="14" t="s">
        <v>1527</v>
      </c>
      <c r="D919" s="10"/>
      <c r="E919" s="10" t="s">
        <v>393</v>
      </c>
      <c r="F919" s="56" t="n">
        <v>1</v>
      </c>
      <c r="G919" s="56" t="n">
        <v>0</v>
      </c>
      <c r="H919" s="56">
        <f>F919*AO919</f>
      </c>
      <c r="I919" s="56">
        <f>F919*AP919</f>
      </c>
      <c r="J919" s="56">
        <f>F919*G919</f>
      </c>
      <c r="K919" s="111" t="s">
        <v>100</v>
      </c>
      <c r="Z919" s="56">
        <f>IF(AQ919="5",BJ919,0)</f>
      </c>
      <c r="AB919" s="56">
        <f>IF(AQ919="1",BH919,0)</f>
      </c>
      <c r="AC919" s="56">
        <f>IF(AQ919="1",BI919,0)</f>
      </c>
      <c r="AD919" s="56">
        <f>IF(AQ919="7",BH919,0)</f>
      </c>
      <c r="AE919" s="56">
        <f>IF(AQ919="7",BI919,0)</f>
      </c>
      <c r="AF919" s="56">
        <f>IF(AQ919="2",BH919,0)</f>
      </c>
      <c r="AG919" s="56">
        <f>IF(AQ919="2",BI919,0)</f>
      </c>
      <c r="AH919" s="56">
        <f>IF(AQ919="0",BJ919,0)</f>
      </c>
      <c r="AI919" s="28" t="s">
        <v>1479</v>
      </c>
      <c r="AJ919" s="56">
        <f>IF(AN919=0,J919,0)</f>
      </c>
      <c r="AK919" s="56">
        <f>IF(AN919=12,J919,0)</f>
      </c>
      <c r="AL919" s="56">
        <f>IF(AN919=21,J919,0)</f>
      </c>
      <c r="AN919" s="56" t="n">
        <v>21</v>
      </c>
      <c r="AO919" s="56">
        <f>G919*0</f>
      </c>
      <c r="AP919" s="56">
        <f>G919*(1-0)</f>
      </c>
      <c r="AQ919" s="57" t="s">
        <v>85</v>
      </c>
      <c r="AV919" s="56">
        <f>AW919+AX919</f>
      </c>
      <c r="AW919" s="56">
        <f>F919*AO919</f>
      </c>
      <c r="AX919" s="56">
        <f>F919*AP919</f>
      </c>
      <c r="AY919" s="57" t="s">
        <v>1505</v>
      </c>
      <c r="AZ919" s="57" t="s">
        <v>1506</v>
      </c>
      <c r="BA919" s="28" t="s">
        <v>1484</v>
      </c>
      <c r="BC919" s="56">
        <f>AW919+AX919</f>
      </c>
      <c r="BD919" s="56">
        <f>G919/(100-BE919)*100</f>
      </c>
      <c r="BE919" s="56" t="n">
        <v>0</v>
      </c>
      <c r="BF919" s="56">
        <f>919</f>
      </c>
      <c r="BH919" s="56">
        <f>F919*AO919</f>
      </c>
      <c r="BI919" s="56">
        <f>F919*AP919</f>
      </c>
      <c r="BJ919" s="56">
        <f>F919*G919</f>
      </c>
      <c r="BK919" s="56"/>
      <c r="BL919" s="56" t="n">
        <v>721</v>
      </c>
      <c r="BW919" s="56" t="n">
        <v>21</v>
      </c>
      <c r="BX919" s="14" t="s">
        <v>1527</v>
      </c>
    </row>
    <row r="920">
      <c r="A920" s="9" t="s">
        <v>1528</v>
      </c>
      <c r="B920" s="10" t="s">
        <v>1529</v>
      </c>
      <c r="C920" s="14" t="s">
        <v>1530</v>
      </c>
      <c r="D920" s="10"/>
      <c r="E920" s="10" t="s">
        <v>180</v>
      </c>
      <c r="F920" s="56" t="n">
        <v>1</v>
      </c>
      <c r="G920" s="56" t="n">
        <v>0</v>
      </c>
      <c r="H920" s="56">
        <f>F920*AO920</f>
      </c>
      <c r="I920" s="56">
        <f>F920*AP920</f>
      </c>
      <c r="J920" s="56">
        <f>F920*G920</f>
      </c>
      <c r="K920" s="111" t="s">
        <v>100</v>
      </c>
      <c r="Z920" s="56">
        <f>IF(AQ920="5",BJ920,0)</f>
      </c>
      <c r="AB920" s="56">
        <f>IF(AQ920="1",BH920,0)</f>
      </c>
      <c r="AC920" s="56">
        <f>IF(AQ920="1",BI920,0)</f>
      </c>
      <c r="AD920" s="56">
        <f>IF(AQ920="7",BH920,0)</f>
      </c>
      <c r="AE920" s="56">
        <f>IF(AQ920="7",BI920,0)</f>
      </c>
      <c r="AF920" s="56">
        <f>IF(AQ920="2",BH920,0)</f>
      </c>
      <c r="AG920" s="56">
        <f>IF(AQ920="2",BI920,0)</f>
      </c>
      <c r="AH920" s="56">
        <f>IF(AQ920="0",BJ920,0)</f>
      </c>
      <c r="AI920" s="28" t="s">
        <v>1479</v>
      </c>
      <c r="AJ920" s="56">
        <f>IF(AN920=0,J920,0)</f>
      </c>
      <c r="AK920" s="56">
        <f>IF(AN920=12,J920,0)</f>
      </c>
      <c r="AL920" s="56">
        <f>IF(AN920=21,J920,0)</f>
      </c>
      <c r="AN920" s="56" t="n">
        <v>21</v>
      </c>
      <c r="AO920" s="56">
        <f>G920*0</f>
      </c>
      <c r="AP920" s="56">
        <f>G920*(1-0)</f>
      </c>
      <c r="AQ920" s="57" t="s">
        <v>85</v>
      </c>
      <c r="AV920" s="56">
        <f>AW920+AX920</f>
      </c>
      <c r="AW920" s="56">
        <f>F920*AO920</f>
      </c>
      <c r="AX920" s="56">
        <f>F920*AP920</f>
      </c>
      <c r="AY920" s="57" t="s">
        <v>1505</v>
      </c>
      <c r="AZ920" s="57" t="s">
        <v>1506</v>
      </c>
      <c r="BA920" s="28" t="s">
        <v>1484</v>
      </c>
      <c r="BC920" s="56">
        <f>AW920+AX920</f>
      </c>
      <c r="BD920" s="56">
        <f>G920/(100-BE920)*100</f>
      </c>
      <c r="BE920" s="56" t="n">
        <v>0</v>
      </c>
      <c r="BF920" s="56">
        <f>920</f>
      </c>
      <c r="BH920" s="56">
        <f>F920*AO920</f>
      </c>
      <c r="BI920" s="56">
        <f>F920*AP920</f>
      </c>
      <c r="BJ920" s="56">
        <f>F920*G920</f>
      </c>
      <c r="BK920" s="56"/>
      <c r="BL920" s="56" t="n">
        <v>721</v>
      </c>
      <c r="BW920" s="56" t="n">
        <v>21</v>
      </c>
      <c r="BX920" s="14" t="s">
        <v>1530</v>
      </c>
    </row>
    <row r="921">
      <c r="A921" s="9" t="s">
        <v>1531</v>
      </c>
      <c r="B921" s="10" t="s">
        <v>1532</v>
      </c>
      <c r="C921" s="14" t="s">
        <v>1533</v>
      </c>
      <c r="D921" s="10"/>
      <c r="E921" s="10" t="s">
        <v>180</v>
      </c>
      <c r="F921" s="56" t="n">
        <v>1</v>
      </c>
      <c r="G921" s="56" t="n">
        <v>0</v>
      </c>
      <c r="H921" s="56">
        <f>F921*AO921</f>
      </c>
      <c r="I921" s="56">
        <f>F921*AP921</f>
      </c>
      <c r="J921" s="56">
        <f>F921*G921</f>
      </c>
      <c r="K921" s="111" t="s">
        <v>100</v>
      </c>
      <c r="Z921" s="56">
        <f>IF(AQ921="5",BJ921,0)</f>
      </c>
      <c r="AB921" s="56">
        <f>IF(AQ921="1",BH921,0)</f>
      </c>
      <c r="AC921" s="56">
        <f>IF(AQ921="1",BI921,0)</f>
      </c>
      <c r="AD921" s="56">
        <f>IF(AQ921="7",BH921,0)</f>
      </c>
      <c r="AE921" s="56">
        <f>IF(AQ921="7",BI921,0)</f>
      </c>
      <c r="AF921" s="56">
        <f>IF(AQ921="2",BH921,0)</f>
      </c>
      <c r="AG921" s="56">
        <f>IF(AQ921="2",BI921,0)</f>
      </c>
      <c r="AH921" s="56">
        <f>IF(AQ921="0",BJ921,0)</f>
      </c>
      <c r="AI921" s="28" t="s">
        <v>1479</v>
      </c>
      <c r="AJ921" s="56">
        <f>IF(AN921=0,J921,0)</f>
      </c>
      <c r="AK921" s="56">
        <f>IF(AN921=12,J921,0)</f>
      </c>
      <c r="AL921" s="56">
        <f>IF(AN921=21,J921,0)</f>
      </c>
      <c r="AN921" s="56" t="n">
        <v>21</v>
      </c>
      <c r="AO921" s="56">
        <f>G921*0</f>
      </c>
      <c r="AP921" s="56">
        <f>G921*(1-0)</f>
      </c>
      <c r="AQ921" s="57" t="s">
        <v>85</v>
      </c>
      <c r="AV921" s="56">
        <f>AW921+AX921</f>
      </c>
      <c r="AW921" s="56">
        <f>F921*AO921</f>
      </c>
      <c r="AX921" s="56">
        <f>F921*AP921</f>
      </c>
      <c r="AY921" s="57" t="s">
        <v>1505</v>
      </c>
      <c r="AZ921" s="57" t="s">
        <v>1506</v>
      </c>
      <c r="BA921" s="28" t="s">
        <v>1484</v>
      </c>
      <c r="BC921" s="56">
        <f>AW921+AX921</f>
      </c>
      <c r="BD921" s="56">
        <f>G921/(100-BE921)*100</f>
      </c>
      <c r="BE921" s="56" t="n">
        <v>0</v>
      </c>
      <c r="BF921" s="56">
        <f>921</f>
      </c>
      <c r="BH921" s="56">
        <f>F921*AO921</f>
      </c>
      <c r="BI921" s="56">
        <f>F921*AP921</f>
      </c>
      <c r="BJ921" s="56">
        <f>F921*G921</f>
      </c>
      <c r="BK921" s="56"/>
      <c r="BL921" s="56" t="n">
        <v>721</v>
      </c>
      <c r="BW921" s="56" t="n">
        <v>21</v>
      </c>
      <c r="BX921" s="14" t="s">
        <v>1533</v>
      </c>
    </row>
    <row r="922">
      <c r="A922" s="9" t="s">
        <v>1534</v>
      </c>
      <c r="B922" s="10" t="s">
        <v>1535</v>
      </c>
      <c r="C922" s="14" t="s">
        <v>1536</v>
      </c>
      <c r="D922" s="10"/>
      <c r="E922" s="10" t="s">
        <v>180</v>
      </c>
      <c r="F922" s="56" t="n">
        <v>1</v>
      </c>
      <c r="G922" s="56" t="n">
        <v>0</v>
      </c>
      <c r="H922" s="56">
        <f>F922*AO922</f>
      </c>
      <c r="I922" s="56">
        <f>F922*AP922</f>
      </c>
      <c r="J922" s="56">
        <f>F922*G922</f>
      </c>
      <c r="K922" s="111" t="s">
        <v>100</v>
      </c>
      <c r="Z922" s="56">
        <f>IF(AQ922="5",BJ922,0)</f>
      </c>
      <c r="AB922" s="56">
        <f>IF(AQ922="1",BH922,0)</f>
      </c>
      <c r="AC922" s="56">
        <f>IF(AQ922="1",BI922,0)</f>
      </c>
      <c r="AD922" s="56">
        <f>IF(AQ922="7",BH922,0)</f>
      </c>
      <c r="AE922" s="56">
        <f>IF(AQ922="7",BI922,0)</f>
      </c>
      <c r="AF922" s="56">
        <f>IF(AQ922="2",BH922,0)</f>
      </c>
      <c r="AG922" s="56">
        <f>IF(AQ922="2",BI922,0)</f>
      </c>
      <c r="AH922" s="56">
        <f>IF(AQ922="0",BJ922,0)</f>
      </c>
      <c r="AI922" s="28" t="s">
        <v>1479</v>
      </c>
      <c r="AJ922" s="56">
        <f>IF(AN922=0,J922,0)</f>
      </c>
      <c r="AK922" s="56">
        <f>IF(AN922=12,J922,0)</f>
      </c>
      <c r="AL922" s="56">
        <f>IF(AN922=21,J922,0)</f>
      </c>
      <c r="AN922" s="56" t="n">
        <v>21</v>
      </c>
      <c r="AO922" s="56">
        <f>G922*0</f>
      </c>
      <c r="AP922" s="56">
        <f>G922*(1-0)</f>
      </c>
      <c r="AQ922" s="57" t="s">
        <v>85</v>
      </c>
      <c r="AV922" s="56">
        <f>AW922+AX922</f>
      </c>
      <c r="AW922" s="56">
        <f>F922*AO922</f>
      </c>
      <c r="AX922" s="56">
        <f>F922*AP922</f>
      </c>
      <c r="AY922" s="57" t="s">
        <v>1505</v>
      </c>
      <c r="AZ922" s="57" t="s">
        <v>1506</v>
      </c>
      <c r="BA922" s="28" t="s">
        <v>1484</v>
      </c>
      <c r="BC922" s="56">
        <f>AW922+AX922</f>
      </c>
      <c r="BD922" s="56">
        <f>G922/(100-BE922)*100</f>
      </c>
      <c r="BE922" s="56" t="n">
        <v>0</v>
      </c>
      <c r="BF922" s="56">
        <f>922</f>
      </c>
      <c r="BH922" s="56">
        <f>F922*AO922</f>
      </c>
      <c r="BI922" s="56">
        <f>F922*AP922</f>
      </c>
      <c r="BJ922" s="56">
        <f>F922*G922</f>
      </c>
      <c r="BK922" s="56"/>
      <c r="BL922" s="56" t="n">
        <v>721</v>
      </c>
      <c r="BW922" s="56" t="n">
        <v>21</v>
      </c>
      <c r="BX922" s="14" t="s">
        <v>1536</v>
      </c>
    </row>
    <row r="923">
      <c r="A923" s="9" t="s">
        <v>1537</v>
      </c>
      <c r="B923" s="10" t="s">
        <v>1538</v>
      </c>
      <c r="C923" s="14" t="s">
        <v>1539</v>
      </c>
      <c r="D923" s="10"/>
      <c r="E923" s="10" t="s">
        <v>393</v>
      </c>
      <c r="F923" s="56" t="n">
        <v>6</v>
      </c>
      <c r="G923" s="56" t="n">
        <v>0</v>
      </c>
      <c r="H923" s="56">
        <f>F923*AO923</f>
      </c>
      <c r="I923" s="56">
        <f>F923*AP923</f>
      </c>
      <c r="J923" s="56">
        <f>F923*G923</f>
      </c>
      <c r="K923" s="111" t="s">
        <v>100</v>
      </c>
      <c r="Z923" s="56">
        <f>IF(AQ923="5",BJ923,0)</f>
      </c>
      <c r="AB923" s="56">
        <f>IF(AQ923="1",BH923,0)</f>
      </c>
      <c r="AC923" s="56">
        <f>IF(AQ923="1",BI923,0)</f>
      </c>
      <c r="AD923" s="56">
        <f>IF(AQ923="7",BH923,0)</f>
      </c>
      <c r="AE923" s="56">
        <f>IF(AQ923="7",BI923,0)</f>
      </c>
      <c r="AF923" s="56">
        <f>IF(AQ923="2",BH923,0)</f>
      </c>
      <c r="AG923" s="56">
        <f>IF(AQ923="2",BI923,0)</f>
      </c>
      <c r="AH923" s="56">
        <f>IF(AQ923="0",BJ923,0)</f>
      </c>
      <c r="AI923" s="28" t="s">
        <v>1479</v>
      </c>
      <c r="AJ923" s="56">
        <f>IF(AN923=0,J923,0)</f>
      </c>
      <c r="AK923" s="56">
        <f>IF(AN923=12,J923,0)</f>
      </c>
      <c r="AL923" s="56">
        <f>IF(AN923=21,J923,0)</f>
      </c>
      <c r="AN923" s="56" t="n">
        <v>21</v>
      </c>
      <c r="AO923" s="56">
        <f>G923*0</f>
      </c>
      <c r="AP923" s="56">
        <f>G923*(1-0)</f>
      </c>
      <c r="AQ923" s="57" t="s">
        <v>85</v>
      </c>
      <c r="AV923" s="56">
        <f>AW923+AX923</f>
      </c>
      <c r="AW923" s="56">
        <f>F923*AO923</f>
      </c>
      <c r="AX923" s="56">
        <f>F923*AP923</f>
      </c>
      <c r="AY923" s="57" t="s">
        <v>1505</v>
      </c>
      <c r="AZ923" s="57" t="s">
        <v>1506</v>
      </c>
      <c r="BA923" s="28" t="s">
        <v>1484</v>
      </c>
      <c r="BC923" s="56">
        <f>AW923+AX923</f>
      </c>
      <c r="BD923" s="56">
        <f>G923/(100-BE923)*100</f>
      </c>
      <c r="BE923" s="56" t="n">
        <v>0</v>
      </c>
      <c r="BF923" s="56">
        <f>923</f>
      </c>
      <c r="BH923" s="56">
        <f>F923*AO923</f>
      </c>
      <c r="BI923" s="56">
        <f>F923*AP923</f>
      </c>
      <c r="BJ923" s="56">
        <f>F923*G923</f>
      </c>
      <c r="BK923" s="56"/>
      <c r="BL923" s="56" t="n">
        <v>721</v>
      </c>
      <c r="BW923" s="56" t="n">
        <v>21</v>
      </c>
      <c r="BX923" s="14" t="s">
        <v>1539</v>
      </c>
    </row>
    <row r="924">
      <c r="A924" s="124" t="s">
        <v>53</v>
      </c>
      <c r="B924" s="125" t="s">
        <v>1540</v>
      </c>
      <c r="C924" s="126" t="s">
        <v>1541</v>
      </c>
      <c r="D924" s="125"/>
      <c r="E924" s="127" t="s">
        <v>34</v>
      </c>
      <c r="F924" s="127" t="s">
        <v>34</v>
      </c>
      <c r="G924" s="127" t="s">
        <v>34</v>
      </c>
      <c r="H924" s="2">
        <f>SUM(H925:H938)</f>
      </c>
      <c r="I924" s="2">
        <f>SUM(I925:I938)</f>
      </c>
      <c r="J924" s="2">
        <f>SUM(J925:J938)</f>
      </c>
      <c r="K924" s="128" t="s">
        <v>53</v>
      </c>
      <c r="AI924" s="28" t="s">
        <v>1479</v>
      </c>
      <c r="AS924" s="2">
        <f>SUM(AJ925:AJ938)</f>
      </c>
      <c r="AT924" s="2">
        <f>SUM(AK925:AK938)</f>
      </c>
      <c r="AU924" s="2">
        <f>SUM(AL925:AL938)</f>
      </c>
    </row>
    <row r="925">
      <c r="A925" s="9" t="s">
        <v>1542</v>
      </c>
      <c r="B925" s="10" t="s">
        <v>1543</v>
      </c>
      <c r="C925" s="14" t="s">
        <v>1544</v>
      </c>
      <c r="D925" s="10"/>
      <c r="E925" s="10" t="s">
        <v>393</v>
      </c>
      <c r="F925" s="56" t="n">
        <v>6</v>
      </c>
      <c r="G925" s="56" t="n">
        <v>0</v>
      </c>
      <c r="H925" s="56">
        <f>F925*AO925</f>
      </c>
      <c r="I925" s="56">
        <f>F925*AP925</f>
      </c>
      <c r="J925" s="56">
        <f>F925*G925</f>
      </c>
      <c r="K925" s="111" t="s">
        <v>100</v>
      </c>
      <c r="Z925" s="56">
        <f>IF(AQ925="5",BJ925,0)</f>
      </c>
      <c r="AB925" s="56">
        <f>IF(AQ925="1",BH925,0)</f>
      </c>
      <c r="AC925" s="56">
        <f>IF(AQ925="1",BI925,0)</f>
      </c>
      <c r="AD925" s="56">
        <f>IF(AQ925="7",BH925,0)</f>
      </c>
      <c r="AE925" s="56">
        <f>IF(AQ925="7",BI925,0)</f>
      </c>
      <c r="AF925" s="56">
        <f>IF(AQ925="2",BH925,0)</f>
      </c>
      <c r="AG925" s="56">
        <f>IF(AQ925="2",BI925,0)</f>
      </c>
      <c r="AH925" s="56">
        <f>IF(AQ925="0",BJ925,0)</f>
      </c>
      <c r="AI925" s="28" t="s">
        <v>1479</v>
      </c>
      <c r="AJ925" s="56">
        <f>IF(AN925=0,J925,0)</f>
      </c>
      <c r="AK925" s="56">
        <f>IF(AN925=12,J925,0)</f>
      </c>
      <c r="AL925" s="56">
        <f>IF(AN925=21,J925,0)</f>
      </c>
      <c r="AN925" s="56" t="n">
        <v>21</v>
      </c>
      <c r="AO925" s="56">
        <f>G925*0</f>
      </c>
      <c r="AP925" s="56">
        <f>G925*(1-0)</f>
      </c>
      <c r="AQ925" s="57" t="s">
        <v>85</v>
      </c>
      <c r="AV925" s="56">
        <f>AW925+AX925</f>
      </c>
      <c r="AW925" s="56">
        <f>F925*AO925</f>
      </c>
      <c r="AX925" s="56">
        <f>F925*AP925</f>
      </c>
      <c r="AY925" s="57" t="s">
        <v>1545</v>
      </c>
      <c r="AZ925" s="57" t="s">
        <v>1506</v>
      </c>
      <c r="BA925" s="28" t="s">
        <v>1484</v>
      </c>
      <c r="BC925" s="56">
        <f>AW925+AX925</f>
      </c>
      <c r="BD925" s="56">
        <f>G925/(100-BE925)*100</f>
      </c>
      <c r="BE925" s="56" t="n">
        <v>0</v>
      </c>
      <c r="BF925" s="56">
        <f>925</f>
      </c>
      <c r="BH925" s="56">
        <f>F925*AO925</f>
      </c>
      <c r="BI925" s="56">
        <f>F925*AP925</f>
      </c>
      <c r="BJ925" s="56">
        <f>F925*G925</f>
      </c>
      <c r="BK925" s="56"/>
      <c r="BL925" s="56" t="n">
        <v>722</v>
      </c>
      <c r="BW925" s="56" t="n">
        <v>21</v>
      </c>
      <c r="BX925" s="14" t="s">
        <v>1544</v>
      </c>
    </row>
    <row r="926">
      <c r="A926" s="9" t="s">
        <v>1546</v>
      </c>
      <c r="B926" s="10" t="s">
        <v>1547</v>
      </c>
      <c r="C926" s="14" t="s">
        <v>1548</v>
      </c>
      <c r="D926" s="10"/>
      <c r="E926" s="10" t="s">
        <v>1549</v>
      </c>
      <c r="F926" s="56" t="n">
        <v>1</v>
      </c>
      <c r="G926" s="56" t="n">
        <v>0</v>
      </c>
      <c r="H926" s="56">
        <f>F926*AO926</f>
      </c>
      <c r="I926" s="56">
        <f>F926*AP926</f>
      </c>
      <c r="J926" s="56">
        <f>F926*G926</f>
      </c>
      <c r="K926" s="111" t="s">
        <v>100</v>
      </c>
      <c r="Z926" s="56">
        <f>IF(AQ926="5",BJ926,0)</f>
      </c>
      <c r="AB926" s="56">
        <f>IF(AQ926="1",BH926,0)</f>
      </c>
      <c r="AC926" s="56">
        <f>IF(AQ926="1",BI926,0)</f>
      </c>
      <c r="AD926" s="56">
        <f>IF(AQ926="7",BH926,0)</f>
      </c>
      <c r="AE926" s="56">
        <f>IF(AQ926="7",BI926,0)</f>
      </c>
      <c r="AF926" s="56">
        <f>IF(AQ926="2",BH926,0)</f>
      </c>
      <c r="AG926" s="56">
        <f>IF(AQ926="2",BI926,0)</f>
      </c>
      <c r="AH926" s="56">
        <f>IF(AQ926="0",BJ926,0)</f>
      </c>
      <c r="AI926" s="28" t="s">
        <v>1479</v>
      </c>
      <c r="AJ926" s="56">
        <f>IF(AN926=0,J926,0)</f>
      </c>
      <c r="AK926" s="56">
        <f>IF(AN926=12,J926,0)</f>
      </c>
      <c r="AL926" s="56">
        <f>IF(AN926=21,J926,0)</f>
      </c>
      <c r="AN926" s="56" t="n">
        <v>21</v>
      </c>
      <c r="AO926" s="56">
        <f>G926*0</f>
      </c>
      <c r="AP926" s="56">
        <f>G926*(1-0)</f>
      </c>
      <c r="AQ926" s="57" t="s">
        <v>85</v>
      </c>
      <c r="AV926" s="56">
        <f>AW926+AX926</f>
      </c>
      <c r="AW926" s="56">
        <f>F926*AO926</f>
      </c>
      <c r="AX926" s="56">
        <f>F926*AP926</f>
      </c>
      <c r="AY926" s="57" t="s">
        <v>1545</v>
      </c>
      <c r="AZ926" s="57" t="s">
        <v>1506</v>
      </c>
      <c r="BA926" s="28" t="s">
        <v>1484</v>
      </c>
      <c r="BC926" s="56">
        <f>AW926+AX926</f>
      </c>
      <c r="BD926" s="56">
        <f>G926/(100-BE926)*100</f>
      </c>
      <c r="BE926" s="56" t="n">
        <v>0</v>
      </c>
      <c r="BF926" s="56">
        <f>926</f>
      </c>
      <c r="BH926" s="56">
        <f>F926*AO926</f>
      </c>
      <c r="BI926" s="56">
        <f>F926*AP926</f>
      </c>
      <c r="BJ926" s="56">
        <f>F926*G926</f>
      </c>
      <c r="BK926" s="56"/>
      <c r="BL926" s="56" t="n">
        <v>722</v>
      </c>
      <c r="BW926" s="56" t="n">
        <v>21</v>
      </c>
      <c r="BX926" s="14" t="s">
        <v>1548</v>
      </c>
    </row>
    <row r="927">
      <c r="A927" s="9" t="s">
        <v>1550</v>
      </c>
      <c r="B927" s="10" t="s">
        <v>1551</v>
      </c>
      <c r="C927" s="14" t="s">
        <v>1552</v>
      </c>
      <c r="D927" s="10"/>
      <c r="E927" s="10" t="s">
        <v>1549</v>
      </c>
      <c r="F927" s="56" t="n">
        <v>1</v>
      </c>
      <c r="G927" s="56" t="n">
        <v>0</v>
      </c>
      <c r="H927" s="56">
        <f>F927*AO927</f>
      </c>
      <c r="I927" s="56">
        <f>F927*AP927</f>
      </c>
      <c r="J927" s="56">
        <f>F927*G927</f>
      </c>
      <c r="K927" s="111" t="s">
        <v>100</v>
      </c>
      <c r="Z927" s="56">
        <f>IF(AQ927="5",BJ927,0)</f>
      </c>
      <c r="AB927" s="56">
        <f>IF(AQ927="1",BH927,0)</f>
      </c>
      <c r="AC927" s="56">
        <f>IF(AQ927="1",BI927,0)</f>
      </c>
      <c r="AD927" s="56">
        <f>IF(AQ927="7",BH927,0)</f>
      </c>
      <c r="AE927" s="56">
        <f>IF(AQ927="7",BI927,0)</f>
      </c>
      <c r="AF927" s="56">
        <f>IF(AQ927="2",BH927,0)</f>
      </c>
      <c r="AG927" s="56">
        <f>IF(AQ927="2",BI927,0)</f>
      </c>
      <c r="AH927" s="56">
        <f>IF(AQ927="0",BJ927,0)</f>
      </c>
      <c r="AI927" s="28" t="s">
        <v>1479</v>
      </c>
      <c r="AJ927" s="56">
        <f>IF(AN927=0,J927,0)</f>
      </c>
      <c r="AK927" s="56">
        <f>IF(AN927=12,J927,0)</f>
      </c>
      <c r="AL927" s="56">
        <f>IF(AN927=21,J927,0)</f>
      </c>
      <c r="AN927" s="56" t="n">
        <v>21</v>
      </c>
      <c r="AO927" s="56">
        <f>G927*0</f>
      </c>
      <c r="AP927" s="56">
        <f>G927*(1-0)</f>
      </c>
      <c r="AQ927" s="57" t="s">
        <v>85</v>
      </c>
      <c r="AV927" s="56">
        <f>AW927+AX927</f>
      </c>
      <c r="AW927" s="56">
        <f>F927*AO927</f>
      </c>
      <c r="AX927" s="56">
        <f>F927*AP927</f>
      </c>
      <c r="AY927" s="57" t="s">
        <v>1545</v>
      </c>
      <c r="AZ927" s="57" t="s">
        <v>1506</v>
      </c>
      <c r="BA927" s="28" t="s">
        <v>1484</v>
      </c>
      <c r="BC927" s="56">
        <f>AW927+AX927</f>
      </c>
      <c r="BD927" s="56">
        <f>G927/(100-BE927)*100</f>
      </c>
      <c r="BE927" s="56" t="n">
        <v>0</v>
      </c>
      <c r="BF927" s="56">
        <f>927</f>
      </c>
      <c r="BH927" s="56">
        <f>F927*AO927</f>
      </c>
      <c r="BI927" s="56">
        <f>F927*AP927</f>
      </c>
      <c r="BJ927" s="56">
        <f>F927*G927</f>
      </c>
      <c r="BK927" s="56"/>
      <c r="BL927" s="56" t="n">
        <v>722</v>
      </c>
      <c r="BW927" s="56" t="n">
        <v>21</v>
      </c>
      <c r="BX927" s="14" t="s">
        <v>1552</v>
      </c>
    </row>
    <row r="928">
      <c r="A928" s="9" t="s">
        <v>1553</v>
      </c>
      <c r="B928" s="10" t="s">
        <v>1554</v>
      </c>
      <c r="C928" s="14" t="s">
        <v>1555</v>
      </c>
      <c r="D928" s="10"/>
      <c r="E928" s="10" t="s">
        <v>393</v>
      </c>
      <c r="F928" s="56" t="n">
        <v>6</v>
      </c>
      <c r="G928" s="56" t="n">
        <v>0</v>
      </c>
      <c r="H928" s="56">
        <f>F928*AO928</f>
      </c>
      <c r="I928" s="56">
        <f>F928*AP928</f>
      </c>
      <c r="J928" s="56">
        <f>F928*G928</f>
      </c>
      <c r="K928" s="111" t="s">
        <v>100</v>
      </c>
      <c r="Z928" s="56">
        <f>IF(AQ928="5",BJ928,0)</f>
      </c>
      <c r="AB928" s="56">
        <f>IF(AQ928="1",BH928,0)</f>
      </c>
      <c r="AC928" s="56">
        <f>IF(AQ928="1",BI928,0)</f>
      </c>
      <c r="AD928" s="56">
        <f>IF(AQ928="7",BH928,0)</f>
      </c>
      <c r="AE928" s="56">
        <f>IF(AQ928="7",BI928,0)</f>
      </c>
      <c r="AF928" s="56">
        <f>IF(AQ928="2",BH928,0)</f>
      </c>
      <c r="AG928" s="56">
        <f>IF(AQ928="2",BI928,0)</f>
      </c>
      <c r="AH928" s="56">
        <f>IF(AQ928="0",BJ928,0)</f>
      </c>
      <c r="AI928" s="28" t="s">
        <v>1479</v>
      </c>
      <c r="AJ928" s="56">
        <f>IF(AN928=0,J928,0)</f>
      </c>
      <c r="AK928" s="56">
        <f>IF(AN928=12,J928,0)</f>
      </c>
      <c r="AL928" s="56">
        <f>IF(AN928=21,J928,0)</f>
      </c>
      <c r="AN928" s="56" t="n">
        <v>21</v>
      </c>
      <c r="AO928" s="56">
        <f>G928*0</f>
      </c>
      <c r="AP928" s="56">
        <f>G928*(1-0)</f>
      </c>
      <c r="AQ928" s="57" t="s">
        <v>85</v>
      </c>
      <c r="AV928" s="56">
        <f>AW928+AX928</f>
      </c>
      <c r="AW928" s="56">
        <f>F928*AO928</f>
      </c>
      <c r="AX928" s="56">
        <f>F928*AP928</f>
      </c>
      <c r="AY928" s="57" t="s">
        <v>1545</v>
      </c>
      <c r="AZ928" s="57" t="s">
        <v>1506</v>
      </c>
      <c r="BA928" s="28" t="s">
        <v>1484</v>
      </c>
      <c r="BC928" s="56">
        <f>AW928+AX928</f>
      </c>
      <c r="BD928" s="56">
        <f>G928/(100-BE928)*100</f>
      </c>
      <c r="BE928" s="56" t="n">
        <v>0</v>
      </c>
      <c r="BF928" s="56">
        <f>928</f>
      </c>
      <c r="BH928" s="56">
        <f>F928*AO928</f>
      </c>
      <c r="BI928" s="56">
        <f>F928*AP928</f>
      </c>
      <c r="BJ928" s="56">
        <f>F928*G928</f>
      </c>
      <c r="BK928" s="56"/>
      <c r="BL928" s="56" t="n">
        <v>722</v>
      </c>
      <c r="BW928" s="56" t="n">
        <v>21</v>
      </c>
      <c r="BX928" s="14" t="s">
        <v>1555</v>
      </c>
    </row>
    <row r="929">
      <c r="A929" s="9" t="s">
        <v>1556</v>
      </c>
      <c r="B929" s="10" t="s">
        <v>1557</v>
      </c>
      <c r="C929" s="14" t="s">
        <v>1558</v>
      </c>
      <c r="D929" s="10"/>
      <c r="E929" s="10" t="s">
        <v>393</v>
      </c>
      <c r="F929" s="56" t="n">
        <v>6</v>
      </c>
      <c r="G929" s="56" t="n">
        <v>0</v>
      </c>
      <c r="H929" s="56">
        <f>F929*AO929</f>
      </c>
      <c r="I929" s="56">
        <f>F929*AP929</f>
      </c>
      <c r="J929" s="56">
        <f>F929*G929</f>
      </c>
      <c r="K929" s="111" t="s">
        <v>100</v>
      </c>
      <c r="Z929" s="56">
        <f>IF(AQ929="5",BJ929,0)</f>
      </c>
      <c r="AB929" s="56">
        <f>IF(AQ929="1",BH929,0)</f>
      </c>
      <c r="AC929" s="56">
        <f>IF(AQ929="1",BI929,0)</f>
      </c>
      <c r="AD929" s="56">
        <f>IF(AQ929="7",BH929,0)</f>
      </c>
      <c r="AE929" s="56">
        <f>IF(AQ929="7",BI929,0)</f>
      </c>
      <c r="AF929" s="56">
        <f>IF(AQ929="2",BH929,0)</f>
      </c>
      <c r="AG929" s="56">
        <f>IF(AQ929="2",BI929,0)</f>
      </c>
      <c r="AH929" s="56">
        <f>IF(AQ929="0",BJ929,0)</f>
      </c>
      <c r="AI929" s="28" t="s">
        <v>1479</v>
      </c>
      <c r="AJ929" s="56">
        <f>IF(AN929=0,J929,0)</f>
      </c>
      <c r="AK929" s="56">
        <f>IF(AN929=12,J929,0)</f>
      </c>
      <c r="AL929" s="56">
        <f>IF(AN929=21,J929,0)</f>
      </c>
      <c r="AN929" s="56" t="n">
        <v>21</v>
      </c>
      <c r="AO929" s="56">
        <f>G929*0</f>
      </c>
      <c r="AP929" s="56">
        <f>G929*(1-0)</f>
      </c>
      <c r="AQ929" s="57" t="s">
        <v>85</v>
      </c>
      <c r="AV929" s="56">
        <f>AW929+AX929</f>
      </c>
      <c r="AW929" s="56">
        <f>F929*AO929</f>
      </c>
      <c r="AX929" s="56">
        <f>F929*AP929</f>
      </c>
      <c r="AY929" s="57" t="s">
        <v>1545</v>
      </c>
      <c r="AZ929" s="57" t="s">
        <v>1506</v>
      </c>
      <c r="BA929" s="28" t="s">
        <v>1484</v>
      </c>
      <c r="BC929" s="56">
        <f>AW929+AX929</f>
      </c>
      <c r="BD929" s="56">
        <f>G929/(100-BE929)*100</f>
      </c>
      <c r="BE929" s="56" t="n">
        <v>0</v>
      </c>
      <c r="BF929" s="56">
        <f>929</f>
      </c>
      <c r="BH929" s="56">
        <f>F929*AO929</f>
      </c>
      <c r="BI929" s="56">
        <f>F929*AP929</f>
      </c>
      <c r="BJ929" s="56">
        <f>F929*G929</f>
      </c>
      <c r="BK929" s="56"/>
      <c r="BL929" s="56" t="n">
        <v>722</v>
      </c>
      <c r="BW929" s="56" t="n">
        <v>21</v>
      </c>
      <c r="BX929" s="14" t="s">
        <v>1558</v>
      </c>
    </row>
    <row r="930">
      <c r="A930" s="9" t="s">
        <v>1559</v>
      </c>
      <c r="B930" s="10" t="s">
        <v>1560</v>
      </c>
      <c r="C930" s="14" t="s">
        <v>1561</v>
      </c>
      <c r="D930" s="10"/>
      <c r="E930" s="10" t="s">
        <v>180</v>
      </c>
      <c r="F930" s="56" t="n">
        <v>2</v>
      </c>
      <c r="G930" s="56" t="n">
        <v>0</v>
      </c>
      <c r="H930" s="56">
        <f>F930*AO930</f>
      </c>
      <c r="I930" s="56">
        <f>F930*AP930</f>
      </c>
      <c r="J930" s="56">
        <f>F930*G930</f>
      </c>
      <c r="K930" s="111" t="s">
        <v>100</v>
      </c>
      <c r="Z930" s="56">
        <f>IF(AQ930="5",BJ930,0)</f>
      </c>
      <c r="AB930" s="56">
        <f>IF(AQ930="1",BH930,0)</f>
      </c>
      <c r="AC930" s="56">
        <f>IF(AQ930="1",BI930,0)</f>
      </c>
      <c r="AD930" s="56">
        <f>IF(AQ930="7",BH930,0)</f>
      </c>
      <c r="AE930" s="56">
        <f>IF(AQ930="7",BI930,0)</f>
      </c>
      <c r="AF930" s="56">
        <f>IF(AQ930="2",BH930,0)</f>
      </c>
      <c r="AG930" s="56">
        <f>IF(AQ930="2",BI930,0)</f>
      </c>
      <c r="AH930" s="56">
        <f>IF(AQ930="0",BJ930,0)</f>
      </c>
      <c r="AI930" s="28" t="s">
        <v>1479</v>
      </c>
      <c r="AJ930" s="56">
        <f>IF(AN930=0,J930,0)</f>
      </c>
      <c r="AK930" s="56">
        <f>IF(AN930=12,J930,0)</f>
      </c>
      <c r="AL930" s="56">
        <f>IF(AN930=21,J930,0)</f>
      </c>
      <c r="AN930" s="56" t="n">
        <v>21</v>
      </c>
      <c r="AO930" s="56">
        <f>G930*0</f>
      </c>
      <c r="AP930" s="56">
        <f>G930*(1-0)</f>
      </c>
      <c r="AQ930" s="57" t="s">
        <v>85</v>
      </c>
      <c r="AV930" s="56">
        <f>AW930+AX930</f>
      </c>
      <c r="AW930" s="56">
        <f>F930*AO930</f>
      </c>
      <c r="AX930" s="56">
        <f>F930*AP930</f>
      </c>
      <c r="AY930" s="57" t="s">
        <v>1545</v>
      </c>
      <c r="AZ930" s="57" t="s">
        <v>1506</v>
      </c>
      <c r="BA930" s="28" t="s">
        <v>1484</v>
      </c>
      <c r="BC930" s="56">
        <f>AW930+AX930</f>
      </c>
      <c r="BD930" s="56">
        <f>G930/(100-BE930)*100</f>
      </c>
      <c r="BE930" s="56" t="n">
        <v>0</v>
      </c>
      <c r="BF930" s="56">
        <f>930</f>
      </c>
      <c r="BH930" s="56">
        <f>F930*AO930</f>
      </c>
      <c r="BI930" s="56">
        <f>F930*AP930</f>
      </c>
      <c r="BJ930" s="56">
        <f>F930*G930</f>
      </c>
      <c r="BK930" s="56"/>
      <c r="BL930" s="56" t="n">
        <v>722</v>
      </c>
      <c r="BW930" s="56" t="n">
        <v>21</v>
      </c>
      <c r="BX930" s="14" t="s">
        <v>1561</v>
      </c>
    </row>
    <row r="931">
      <c r="A931" s="9" t="s">
        <v>1562</v>
      </c>
      <c r="B931" s="10" t="s">
        <v>1563</v>
      </c>
      <c r="C931" s="14" t="s">
        <v>1564</v>
      </c>
      <c r="D931" s="10"/>
      <c r="E931" s="10" t="s">
        <v>180</v>
      </c>
      <c r="F931" s="56" t="n">
        <v>1</v>
      </c>
      <c r="G931" s="56" t="n">
        <v>0</v>
      </c>
      <c r="H931" s="56">
        <f>F931*AO931</f>
      </c>
      <c r="I931" s="56">
        <f>F931*AP931</f>
      </c>
      <c r="J931" s="56">
        <f>F931*G931</f>
      </c>
      <c r="K931" s="111" t="s">
        <v>100</v>
      </c>
      <c r="Z931" s="56">
        <f>IF(AQ931="5",BJ931,0)</f>
      </c>
      <c r="AB931" s="56">
        <f>IF(AQ931="1",BH931,0)</f>
      </c>
      <c r="AC931" s="56">
        <f>IF(AQ931="1",BI931,0)</f>
      </c>
      <c r="AD931" s="56">
        <f>IF(AQ931="7",BH931,0)</f>
      </c>
      <c r="AE931" s="56">
        <f>IF(AQ931="7",BI931,0)</f>
      </c>
      <c r="AF931" s="56">
        <f>IF(AQ931="2",BH931,0)</f>
      </c>
      <c r="AG931" s="56">
        <f>IF(AQ931="2",BI931,0)</f>
      </c>
      <c r="AH931" s="56">
        <f>IF(AQ931="0",BJ931,0)</f>
      </c>
      <c r="AI931" s="28" t="s">
        <v>1479</v>
      </c>
      <c r="AJ931" s="56">
        <f>IF(AN931=0,J931,0)</f>
      </c>
      <c r="AK931" s="56">
        <f>IF(AN931=12,J931,0)</f>
      </c>
      <c r="AL931" s="56">
        <f>IF(AN931=21,J931,0)</f>
      </c>
      <c r="AN931" s="56" t="n">
        <v>21</v>
      </c>
      <c r="AO931" s="56">
        <f>G931*0</f>
      </c>
      <c r="AP931" s="56">
        <f>G931*(1-0)</f>
      </c>
      <c r="AQ931" s="57" t="s">
        <v>85</v>
      </c>
      <c r="AV931" s="56">
        <f>AW931+AX931</f>
      </c>
      <c r="AW931" s="56">
        <f>F931*AO931</f>
      </c>
      <c r="AX931" s="56">
        <f>F931*AP931</f>
      </c>
      <c r="AY931" s="57" t="s">
        <v>1545</v>
      </c>
      <c r="AZ931" s="57" t="s">
        <v>1506</v>
      </c>
      <c r="BA931" s="28" t="s">
        <v>1484</v>
      </c>
      <c r="BC931" s="56">
        <f>AW931+AX931</f>
      </c>
      <c r="BD931" s="56">
        <f>G931/(100-BE931)*100</f>
      </c>
      <c r="BE931" s="56" t="n">
        <v>0</v>
      </c>
      <c r="BF931" s="56">
        <f>931</f>
      </c>
      <c r="BH931" s="56">
        <f>F931*AO931</f>
      </c>
      <c r="BI931" s="56">
        <f>F931*AP931</f>
      </c>
      <c r="BJ931" s="56">
        <f>F931*G931</f>
      </c>
      <c r="BK931" s="56"/>
      <c r="BL931" s="56" t="n">
        <v>722</v>
      </c>
      <c r="BW931" s="56" t="n">
        <v>21</v>
      </c>
      <c r="BX931" s="14" t="s">
        <v>1564</v>
      </c>
    </row>
    <row r="932">
      <c r="A932" s="9" t="s">
        <v>1565</v>
      </c>
      <c r="B932" s="10" t="s">
        <v>1566</v>
      </c>
      <c r="C932" s="14" t="s">
        <v>1567</v>
      </c>
      <c r="D932" s="10"/>
      <c r="E932" s="10" t="s">
        <v>1568</v>
      </c>
      <c r="F932" s="56" t="n">
        <v>1</v>
      </c>
      <c r="G932" s="56" t="n">
        <v>0</v>
      </c>
      <c r="H932" s="56">
        <f>F932*AO932</f>
      </c>
      <c r="I932" s="56">
        <f>F932*AP932</f>
      </c>
      <c r="J932" s="56">
        <f>F932*G932</f>
      </c>
      <c r="K932" s="111" t="s">
        <v>100</v>
      </c>
      <c r="Z932" s="56">
        <f>IF(AQ932="5",BJ932,0)</f>
      </c>
      <c r="AB932" s="56">
        <f>IF(AQ932="1",BH932,0)</f>
      </c>
      <c r="AC932" s="56">
        <f>IF(AQ932="1",BI932,0)</f>
      </c>
      <c r="AD932" s="56">
        <f>IF(AQ932="7",BH932,0)</f>
      </c>
      <c r="AE932" s="56">
        <f>IF(AQ932="7",BI932,0)</f>
      </c>
      <c r="AF932" s="56">
        <f>IF(AQ932="2",BH932,0)</f>
      </c>
      <c r="AG932" s="56">
        <f>IF(AQ932="2",BI932,0)</f>
      </c>
      <c r="AH932" s="56">
        <f>IF(AQ932="0",BJ932,0)</f>
      </c>
      <c r="AI932" s="28" t="s">
        <v>1479</v>
      </c>
      <c r="AJ932" s="56">
        <f>IF(AN932=0,J932,0)</f>
      </c>
      <c r="AK932" s="56">
        <f>IF(AN932=12,J932,0)</f>
      </c>
      <c r="AL932" s="56">
        <f>IF(AN932=21,J932,0)</f>
      </c>
      <c r="AN932" s="56" t="n">
        <v>21</v>
      </c>
      <c r="AO932" s="56">
        <f>G932*0</f>
      </c>
      <c r="AP932" s="56">
        <f>G932*(1-0)</f>
      </c>
      <c r="AQ932" s="57" t="s">
        <v>85</v>
      </c>
      <c r="AV932" s="56">
        <f>AW932+AX932</f>
      </c>
      <c r="AW932" s="56">
        <f>F932*AO932</f>
      </c>
      <c r="AX932" s="56">
        <f>F932*AP932</f>
      </c>
      <c r="AY932" s="57" t="s">
        <v>1545</v>
      </c>
      <c r="AZ932" s="57" t="s">
        <v>1506</v>
      </c>
      <c r="BA932" s="28" t="s">
        <v>1484</v>
      </c>
      <c r="BC932" s="56">
        <f>AW932+AX932</f>
      </c>
      <c r="BD932" s="56">
        <f>G932/(100-BE932)*100</f>
      </c>
      <c r="BE932" s="56" t="n">
        <v>0</v>
      </c>
      <c r="BF932" s="56">
        <f>932</f>
      </c>
      <c r="BH932" s="56">
        <f>F932*AO932</f>
      </c>
      <c r="BI932" s="56">
        <f>F932*AP932</f>
      </c>
      <c r="BJ932" s="56">
        <f>F932*G932</f>
      </c>
      <c r="BK932" s="56"/>
      <c r="BL932" s="56" t="n">
        <v>722</v>
      </c>
      <c r="BW932" s="56" t="n">
        <v>21</v>
      </c>
      <c r="BX932" s="14" t="s">
        <v>1567</v>
      </c>
    </row>
    <row r="933">
      <c r="A933" s="9" t="s">
        <v>1569</v>
      </c>
      <c r="B933" s="10" t="s">
        <v>1570</v>
      </c>
      <c r="C933" s="14" t="s">
        <v>1571</v>
      </c>
      <c r="D933" s="10"/>
      <c r="E933" s="10" t="s">
        <v>180</v>
      </c>
      <c r="F933" s="56" t="n">
        <v>1</v>
      </c>
      <c r="G933" s="56" t="n">
        <v>0</v>
      </c>
      <c r="H933" s="56">
        <f>F933*AO933</f>
      </c>
      <c r="I933" s="56">
        <f>F933*AP933</f>
      </c>
      <c r="J933" s="56">
        <f>F933*G933</f>
      </c>
      <c r="K933" s="111" t="s">
        <v>100</v>
      </c>
      <c r="Z933" s="56">
        <f>IF(AQ933="5",BJ933,0)</f>
      </c>
      <c r="AB933" s="56">
        <f>IF(AQ933="1",BH933,0)</f>
      </c>
      <c r="AC933" s="56">
        <f>IF(AQ933="1",BI933,0)</f>
      </c>
      <c r="AD933" s="56">
        <f>IF(AQ933="7",BH933,0)</f>
      </c>
      <c r="AE933" s="56">
        <f>IF(AQ933="7",BI933,0)</f>
      </c>
      <c r="AF933" s="56">
        <f>IF(AQ933="2",BH933,0)</f>
      </c>
      <c r="AG933" s="56">
        <f>IF(AQ933="2",BI933,0)</f>
      </c>
      <c r="AH933" s="56">
        <f>IF(AQ933="0",BJ933,0)</f>
      </c>
      <c r="AI933" s="28" t="s">
        <v>1479</v>
      </c>
      <c r="AJ933" s="56">
        <f>IF(AN933=0,J933,0)</f>
      </c>
      <c r="AK933" s="56">
        <f>IF(AN933=12,J933,0)</f>
      </c>
      <c r="AL933" s="56">
        <f>IF(AN933=21,J933,0)</f>
      </c>
      <c r="AN933" s="56" t="n">
        <v>21</v>
      </c>
      <c r="AO933" s="56">
        <f>G933*0</f>
      </c>
      <c r="AP933" s="56">
        <f>G933*(1-0)</f>
      </c>
      <c r="AQ933" s="57" t="s">
        <v>85</v>
      </c>
      <c r="AV933" s="56">
        <f>AW933+AX933</f>
      </c>
      <c r="AW933" s="56">
        <f>F933*AO933</f>
      </c>
      <c r="AX933" s="56">
        <f>F933*AP933</f>
      </c>
      <c r="AY933" s="57" t="s">
        <v>1545</v>
      </c>
      <c r="AZ933" s="57" t="s">
        <v>1506</v>
      </c>
      <c r="BA933" s="28" t="s">
        <v>1484</v>
      </c>
      <c r="BC933" s="56">
        <f>AW933+AX933</f>
      </c>
      <c r="BD933" s="56">
        <f>G933/(100-BE933)*100</f>
      </c>
      <c r="BE933" s="56" t="n">
        <v>0</v>
      </c>
      <c r="BF933" s="56">
        <f>933</f>
      </c>
      <c r="BH933" s="56">
        <f>F933*AO933</f>
      </c>
      <c r="BI933" s="56">
        <f>F933*AP933</f>
      </c>
      <c r="BJ933" s="56">
        <f>F933*G933</f>
      </c>
      <c r="BK933" s="56"/>
      <c r="BL933" s="56" t="n">
        <v>722</v>
      </c>
      <c r="BW933" s="56" t="n">
        <v>21</v>
      </c>
      <c r="BX933" s="14" t="s">
        <v>1571</v>
      </c>
    </row>
    <row r="934">
      <c r="A934" s="9" t="s">
        <v>1572</v>
      </c>
      <c r="B934" s="10" t="s">
        <v>1573</v>
      </c>
      <c r="C934" s="14" t="s">
        <v>1574</v>
      </c>
      <c r="D934" s="10"/>
      <c r="E934" s="10" t="s">
        <v>393</v>
      </c>
      <c r="F934" s="56" t="n">
        <v>6</v>
      </c>
      <c r="G934" s="56" t="n">
        <v>0</v>
      </c>
      <c r="H934" s="56">
        <f>F934*AO934</f>
      </c>
      <c r="I934" s="56">
        <f>F934*AP934</f>
      </c>
      <c r="J934" s="56">
        <f>F934*G934</f>
      </c>
      <c r="K934" s="111" t="s">
        <v>100</v>
      </c>
      <c r="Z934" s="56">
        <f>IF(AQ934="5",BJ934,0)</f>
      </c>
      <c r="AB934" s="56">
        <f>IF(AQ934="1",BH934,0)</f>
      </c>
      <c r="AC934" s="56">
        <f>IF(AQ934="1",BI934,0)</f>
      </c>
      <c r="AD934" s="56">
        <f>IF(AQ934="7",BH934,0)</f>
      </c>
      <c r="AE934" s="56">
        <f>IF(AQ934="7",BI934,0)</f>
      </c>
      <c r="AF934" s="56">
        <f>IF(AQ934="2",BH934,0)</f>
      </c>
      <c r="AG934" s="56">
        <f>IF(AQ934="2",BI934,0)</f>
      </c>
      <c r="AH934" s="56">
        <f>IF(AQ934="0",BJ934,0)</f>
      </c>
      <c r="AI934" s="28" t="s">
        <v>1479</v>
      </c>
      <c r="AJ934" s="56">
        <f>IF(AN934=0,J934,0)</f>
      </c>
      <c r="AK934" s="56">
        <f>IF(AN934=12,J934,0)</f>
      </c>
      <c r="AL934" s="56">
        <f>IF(AN934=21,J934,0)</f>
      </c>
      <c r="AN934" s="56" t="n">
        <v>21</v>
      </c>
      <c r="AO934" s="56">
        <f>G934*0</f>
      </c>
      <c r="AP934" s="56">
        <f>G934*(1-0)</f>
      </c>
      <c r="AQ934" s="57" t="s">
        <v>85</v>
      </c>
      <c r="AV934" s="56">
        <f>AW934+AX934</f>
      </c>
      <c r="AW934" s="56">
        <f>F934*AO934</f>
      </c>
      <c r="AX934" s="56">
        <f>F934*AP934</f>
      </c>
      <c r="AY934" s="57" t="s">
        <v>1545</v>
      </c>
      <c r="AZ934" s="57" t="s">
        <v>1506</v>
      </c>
      <c r="BA934" s="28" t="s">
        <v>1484</v>
      </c>
      <c r="BC934" s="56">
        <f>AW934+AX934</f>
      </c>
      <c r="BD934" s="56">
        <f>G934/(100-BE934)*100</f>
      </c>
      <c r="BE934" s="56" t="n">
        <v>0</v>
      </c>
      <c r="BF934" s="56">
        <f>934</f>
      </c>
      <c r="BH934" s="56">
        <f>F934*AO934</f>
      </c>
      <c r="BI934" s="56">
        <f>F934*AP934</f>
      </c>
      <c r="BJ934" s="56">
        <f>F934*G934</f>
      </c>
      <c r="BK934" s="56"/>
      <c r="BL934" s="56" t="n">
        <v>722</v>
      </c>
      <c r="BW934" s="56" t="n">
        <v>21</v>
      </c>
      <c r="BX934" s="14" t="s">
        <v>1574</v>
      </c>
    </row>
    <row r="935">
      <c r="A935" s="9" t="s">
        <v>1575</v>
      </c>
      <c r="B935" s="10" t="s">
        <v>1576</v>
      </c>
      <c r="C935" s="14" t="s">
        <v>1577</v>
      </c>
      <c r="D935" s="10"/>
      <c r="E935" s="10" t="s">
        <v>393</v>
      </c>
      <c r="F935" s="56" t="n">
        <v>6</v>
      </c>
      <c r="G935" s="56" t="n">
        <v>0</v>
      </c>
      <c r="H935" s="56">
        <f>F935*AO935</f>
      </c>
      <c r="I935" s="56">
        <f>F935*AP935</f>
      </c>
      <c r="J935" s="56">
        <f>F935*G935</f>
      </c>
      <c r="K935" s="111" t="s">
        <v>100</v>
      </c>
      <c r="Z935" s="56">
        <f>IF(AQ935="5",BJ935,0)</f>
      </c>
      <c r="AB935" s="56">
        <f>IF(AQ935="1",BH935,0)</f>
      </c>
      <c r="AC935" s="56">
        <f>IF(AQ935="1",BI935,0)</f>
      </c>
      <c r="AD935" s="56">
        <f>IF(AQ935="7",BH935,0)</f>
      </c>
      <c r="AE935" s="56">
        <f>IF(AQ935="7",BI935,0)</f>
      </c>
      <c r="AF935" s="56">
        <f>IF(AQ935="2",BH935,0)</f>
      </c>
      <c r="AG935" s="56">
        <f>IF(AQ935="2",BI935,0)</f>
      </c>
      <c r="AH935" s="56">
        <f>IF(AQ935="0",BJ935,0)</f>
      </c>
      <c r="AI935" s="28" t="s">
        <v>1479</v>
      </c>
      <c r="AJ935" s="56">
        <f>IF(AN935=0,J935,0)</f>
      </c>
      <c r="AK935" s="56">
        <f>IF(AN935=12,J935,0)</f>
      </c>
      <c r="AL935" s="56">
        <f>IF(AN935=21,J935,0)</f>
      </c>
      <c r="AN935" s="56" t="n">
        <v>21</v>
      </c>
      <c r="AO935" s="56">
        <f>G935*0</f>
      </c>
      <c r="AP935" s="56">
        <f>G935*(1-0)</f>
      </c>
      <c r="AQ935" s="57" t="s">
        <v>85</v>
      </c>
      <c r="AV935" s="56">
        <f>AW935+AX935</f>
      </c>
      <c r="AW935" s="56">
        <f>F935*AO935</f>
      </c>
      <c r="AX935" s="56">
        <f>F935*AP935</f>
      </c>
      <c r="AY935" s="57" t="s">
        <v>1545</v>
      </c>
      <c r="AZ935" s="57" t="s">
        <v>1506</v>
      </c>
      <c r="BA935" s="28" t="s">
        <v>1484</v>
      </c>
      <c r="BC935" s="56">
        <f>AW935+AX935</f>
      </c>
      <c r="BD935" s="56">
        <f>G935/(100-BE935)*100</f>
      </c>
      <c r="BE935" s="56" t="n">
        <v>0</v>
      </c>
      <c r="BF935" s="56">
        <f>935</f>
      </c>
      <c r="BH935" s="56">
        <f>F935*AO935</f>
      </c>
      <c r="BI935" s="56">
        <f>F935*AP935</f>
      </c>
      <c r="BJ935" s="56">
        <f>F935*G935</f>
      </c>
      <c r="BK935" s="56"/>
      <c r="BL935" s="56" t="n">
        <v>722</v>
      </c>
      <c r="BW935" s="56" t="n">
        <v>21</v>
      </c>
      <c r="BX935" s="14" t="s">
        <v>1577</v>
      </c>
    </row>
    <row r="936">
      <c r="A936" s="9" t="s">
        <v>1578</v>
      </c>
      <c r="B936" s="10" t="s">
        <v>1579</v>
      </c>
      <c r="C936" s="14" t="s">
        <v>1580</v>
      </c>
      <c r="D936" s="10"/>
      <c r="E936" s="10" t="s">
        <v>393</v>
      </c>
      <c r="F936" s="56" t="n">
        <v>6</v>
      </c>
      <c r="G936" s="56" t="n">
        <v>0</v>
      </c>
      <c r="H936" s="56">
        <f>F936*AO936</f>
      </c>
      <c r="I936" s="56">
        <f>F936*AP936</f>
      </c>
      <c r="J936" s="56">
        <f>F936*G936</f>
      </c>
      <c r="K936" s="111" t="s">
        <v>100</v>
      </c>
      <c r="Z936" s="56">
        <f>IF(AQ936="5",BJ936,0)</f>
      </c>
      <c r="AB936" s="56">
        <f>IF(AQ936="1",BH936,0)</f>
      </c>
      <c r="AC936" s="56">
        <f>IF(AQ936="1",BI936,0)</f>
      </c>
      <c r="AD936" s="56">
        <f>IF(AQ936="7",BH936,0)</f>
      </c>
      <c r="AE936" s="56">
        <f>IF(AQ936="7",BI936,0)</f>
      </c>
      <c r="AF936" s="56">
        <f>IF(AQ936="2",BH936,0)</f>
      </c>
      <c r="AG936" s="56">
        <f>IF(AQ936="2",BI936,0)</f>
      </c>
      <c r="AH936" s="56">
        <f>IF(AQ936="0",BJ936,0)</f>
      </c>
      <c r="AI936" s="28" t="s">
        <v>1479</v>
      </c>
      <c r="AJ936" s="56">
        <f>IF(AN936=0,J936,0)</f>
      </c>
      <c r="AK936" s="56">
        <f>IF(AN936=12,J936,0)</f>
      </c>
      <c r="AL936" s="56">
        <f>IF(AN936=21,J936,0)</f>
      </c>
      <c r="AN936" s="56" t="n">
        <v>21</v>
      </c>
      <c r="AO936" s="56">
        <f>G936*0</f>
      </c>
      <c r="AP936" s="56">
        <f>G936*(1-0)</f>
      </c>
      <c r="AQ936" s="57" t="s">
        <v>85</v>
      </c>
      <c r="AV936" s="56">
        <f>AW936+AX936</f>
      </c>
      <c r="AW936" s="56">
        <f>F936*AO936</f>
      </c>
      <c r="AX936" s="56">
        <f>F936*AP936</f>
      </c>
      <c r="AY936" s="57" t="s">
        <v>1545</v>
      </c>
      <c r="AZ936" s="57" t="s">
        <v>1506</v>
      </c>
      <c r="BA936" s="28" t="s">
        <v>1484</v>
      </c>
      <c r="BC936" s="56">
        <f>AW936+AX936</f>
      </c>
      <c r="BD936" s="56">
        <f>G936/(100-BE936)*100</f>
      </c>
      <c r="BE936" s="56" t="n">
        <v>0</v>
      </c>
      <c r="BF936" s="56">
        <f>936</f>
      </c>
      <c r="BH936" s="56">
        <f>F936*AO936</f>
      </c>
      <c r="BI936" s="56">
        <f>F936*AP936</f>
      </c>
      <c r="BJ936" s="56">
        <f>F936*G936</f>
      </c>
      <c r="BK936" s="56"/>
      <c r="BL936" s="56" t="n">
        <v>722</v>
      </c>
      <c r="BW936" s="56" t="n">
        <v>21</v>
      </c>
      <c r="BX936" s="14" t="s">
        <v>1580</v>
      </c>
    </row>
    <row r="937">
      <c r="A937" s="9" t="s">
        <v>1581</v>
      </c>
      <c r="B937" s="10" t="s">
        <v>1582</v>
      </c>
      <c r="C937" s="14" t="s">
        <v>1583</v>
      </c>
      <c r="D937" s="10"/>
      <c r="E937" s="10" t="s">
        <v>1584</v>
      </c>
      <c r="F937" s="56" t="n">
        <v>1</v>
      </c>
      <c r="G937" s="56" t="n">
        <v>0</v>
      </c>
      <c r="H937" s="56">
        <f>F937*AO937</f>
      </c>
      <c r="I937" s="56">
        <f>F937*AP937</f>
      </c>
      <c r="J937" s="56">
        <f>F937*G937</f>
      </c>
      <c r="K937" s="111" t="s">
        <v>100</v>
      </c>
      <c r="Z937" s="56">
        <f>IF(AQ937="5",BJ937,0)</f>
      </c>
      <c r="AB937" s="56">
        <f>IF(AQ937="1",BH937,0)</f>
      </c>
      <c r="AC937" s="56">
        <f>IF(AQ937="1",BI937,0)</f>
      </c>
      <c r="AD937" s="56">
        <f>IF(AQ937="7",BH937,0)</f>
      </c>
      <c r="AE937" s="56">
        <f>IF(AQ937="7",BI937,0)</f>
      </c>
      <c r="AF937" s="56">
        <f>IF(AQ937="2",BH937,0)</f>
      </c>
      <c r="AG937" s="56">
        <f>IF(AQ937="2",BI937,0)</f>
      </c>
      <c r="AH937" s="56">
        <f>IF(AQ937="0",BJ937,0)</f>
      </c>
      <c r="AI937" s="28" t="s">
        <v>1479</v>
      </c>
      <c r="AJ937" s="56">
        <f>IF(AN937=0,J937,0)</f>
      </c>
      <c r="AK937" s="56">
        <f>IF(AN937=12,J937,0)</f>
      </c>
      <c r="AL937" s="56">
        <f>IF(AN937=21,J937,0)</f>
      </c>
      <c r="AN937" s="56" t="n">
        <v>21</v>
      </c>
      <c r="AO937" s="56">
        <f>G937*0</f>
      </c>
      <c r="AP937" s="56">
        <f>G937*(1-0)</f>
      </c>
      <c r="AQ937" s="57" t="s">
        <v>85</v>
      </c>
      <c r="AV937" s="56">
        <f>AW937+AX937</f>
      </c>
      <c r="AW937" s="56">
        <f>F937*AO937</f>
      </c>
      <c r="AX937" s="56">
        <f>F937*AP937</f>
      </c>
      <c r="AY937" s="57" t="s">
        <v>1545</v>
      </c>
      <c r="AZ937" s="57" t="s">
        <v>1506</v>
      </c>
      <c r="BA937" s="28" t="s">
        <v>1484</v>
      </c>
      <c r="BC937" s="56">
        <f>AW937+AX937</f>
      </c>
      <c r="BD937" s="56">
        <f>G937/(100-BE937)*100</f>
      </c>
      <c r="BE937" s="56" t="n">
        <v>0</v>
      </c>
      <c r="BF937" s="56">
        <f>937</f>
      </c>
      <c r="BH937" s="56">
        <f>F937*AO937</f>
      </c>
      <c r="BI937" s="56">
        <f>F937*AP937</f>
      </c>
      <c r="BJ937" s="56">
        <f>F937*G937</f>
      </c>
      <c r="BK937" s="56"/>
      <c r="BL937" s="56" t="n">
        <v>722</v>
      </c>
      <c r="BW937" s="56" t="n">
        <v>21</v>
      </c>
      <c r="BX937" s="14" t="s">
        <v>1583</v>
      </c>
    </row>
    <row r="938">
      <c r="A938" s="9" t="s">
        <v>1585</v>
      </c>
      <c r="B938" s="10" t="s">
        <v>1586</v>
      </c>
      <c r="C938" s="14" t="s">
        <v>1587</v>
      </c>
      <c r="D938" s="10"/>
      <c r="E938" s="10" t="s">
        <v>1584</v>
      </c>
      <c r="F938" s="56" t="n">
        <v>1</v>
      </c>
      <c r="G938" s="56" t="n">
        <v>0</v>
      </c>
      <c r="H938" s="56">
        <f>F938*AO938</f>
      </c>
      <c r="I938" s="56">
        <f>F938*AP938</f>
      </c>
      <c r="J938" s="56">
        <f>F938*G938</f>
      </c>
      <c r="K938" s="111" t="s">
        <v>100</v>
      </c>
      <c r="Z938" s="56">
        <f>IF(AQ938="5",BJ938,0)</f>
      </c>
      <c r="AB938" s="56">
        <f>IF(AQ938="1",BH938,0)</f>
      </c>
      <c r="AC938" s="56">
        <f>IF(AQ938="1",BI938,0)</f>
      </c>
      <c r="AD938" s="56">
        <f>IF(AQ938="7",BH938,0)</f>
      </c>
      <c r="AE938" s="56">
        <f>IF(AQ938="7",BI938,0)</f>
      </c>
      <c r="AF938" s="56">
        <f>IF(AQ938="2",BH938,0)</f>
      </c>
      <c r="AG938" s="56">
        <f>IF(AQ938="2",BI938,0)</f>
      </c>
      <c r="AH938" s="56">
        <f>IF(AQ938="0",BJ938,0)</f>
      </c>
      <c r="AI938" s="28" t="s">
        <v>1479</v>
      </c>
      <c r="AJ938" s="56">
        <f>IF(AN938=0,J938,0)</f>
      </c>
      <c r="AK938" s="56">
        <f>IF(AN938=12,J938,0)</f>
      </c>
      <c r="AL938" s="56">
        <f>IF(AN938=21,J938,0)</f>
      </c>
      <c r="AN938" s="56" t="n">
        <v>21</v>
      </c>
      <c r="AO938" s="56">
        <f>G938*0</f>
      </c>
      <c r="AP938" s="56">
        <f>G938*(1-0)</f>
      </c>
      <c r="AQ938" s="57" t="s">
        <v>85</v>
      </c>
      <c r="AV938" s="56">
        <f>AW938+AX938</f>
      </c>
      <c r="AW938" s="56">
        <f>F938*AO938</f>
      </c>
      <c r="AX938" s="56">
        <f>F938*AP938</f>
      </c>
      <c r="AY938" s="57" t="s">
        <v>1545</v>
      </c>
      <c r="AZ938" s="57" t="s">
        <v>1506</v>
      </c>
      <c r="BA938" s="28" t="s">
        <v>1484</v>
      </c>
      <c r="BC938" s="56">
        <f>AW938+AX938</f>
      </c>
      <c r="BD938" s="56">
        <f>G938/(100-BE938)*100</f>
      </c>
      <c r="BE938" s="56" t="n">
        <v>0</v>
      </c>
      <c r="BF938" s="56">
        <f>938</f>
      </c>
      <c r="BH938" s="56">
        <f>F938*AO938</f>
      </c>
      <c r="BI938" s="56">
        <f>F938*AP938</f>
      </c>
      <c r="BJ938" s="56">
        <f>F938*G938</f>
      </c>
      <c r="BK938" s="56"/>
      <c r="BL938" s="56" t="n">
        <v>722</v>
      </c>
      <c r="BW938" s="56" t="n">
        <v>21</v>
      </c>
      <c r="BX938" s="14" t="s">
        <v>1587</v>
      </c>
    </row>
    <row r="939">
      <c r="A939" s="124" t="s">
        <v>53</v>
      </c>
      <c r="B939" s="125" t="s">
        <v>1588</v>
      </c>
      <c r="C939" s="126" t="s">
        <v>1589</v>
      </c>
      <c r="D939" s="125"/>
      <c r="E939" s="127" t="s">
        <v>34</v>
      </c>
      <c r="F939" s="127" t="s">
        <v>34</v>
      </c>
      <c r="G939" s="127" t="s">
        <v>34</v>
      </c>
      <c r="H939" s="2">
        <f>SUM(H940:H951)</f>
      </c>
      <c r="I939" s="2">
        <f>SUM(I940:I951)</f>
      </c>
      <c r="J939" s="2">
        <f>SUM(J940:J951)</f>
      </c>
      <c r="K939" s="128" t="s">
        <v>53</v>
      </c>
      <c r="AI939" s="28" t="s">
        <v>1479</v>
      </c>
      <c r="AS939" s="2">
        <f>SUM(AJ940:AJ951)</f>
      </c>
      <c r="AT939" s="2">
        <f>SUM(AK940:AK951)</f>
      </c>
      <c r="AU939" s="2">
        <f>SUM(AL940:AL951)</f>
      </c>
    </row>
    <row r="940">
      <c r="A940" s="9" t="s">
        <v>1590</v>
      </c>
      <c r="B940" s="10" t="s">
        <v>1591</v>
      </c>
      <c r="C940" s="14" t="s">
        <v>1592</v>
      </c>
      <c r="D940" s="10"/>
      <c r="E940" s="10" t="s">
        <v>1549</v>
      </c>
      <c r="F940" s="56" t="n">
        <v>1</v>
      </c>
      <c r="G940" s="56" t="n">
        <v>0</v>
      </c>
      <c r="H940" s="56">
        <f>F940*AO940</f>
      </c>
      <c r="I940" s="56">
        <f>F940*AP940</f>
      </c>
      <c r="J940" s="56">
        <f>F940*G940</f>
      </c>
      <c r="K940" s="111" t="s">
        <v>100</v>
      </c>
      <c r="Z940" s="56">
        <f>IF(AQ940="5",BJ940,0)</f>
      </c>
      <c r="AB940" s="56">
        <f>IF(AQ940="1",BH940,0)</f>
      </c>
      <c r="AC940" s="56">
        <f>IF(AQ940="1",BI940,0)</f>
      </c>
      <c r="AD940" s="56">
        <f>IF(AQ940="7",BH940,0)</f>
      </c>
      <c r="AE940" s="56">
        <f>IF(AQ940="7",BI940,0)</f>
      </c>
      <c r="AF940" s="56">
        <f>IF(AQ940="2",BH940,0)</f>
      </c>
      <c r="AG940" s="56">
        <f>IF(AQ940="2",BI940,0)</f>
      </c>
      <c r="AH940" s="56">
        <f>IF(AQ940="0",BJ940,0)</f>
      </c>
      <c r="AI940" s="28" t="s">
        <v>1479</v>
      </c>
      <c r="AJ940" s="56">
        <f>IF(AN940=0,J940,0)</f>
      </c>
      <c r="AK940" s="56">
        <f>IF(AN940=12,J940,0)</f>
      </c>
      <c r="AL940" s="56">
        <f>IF(AN940=21,J940,0)</f>
      </c>
      <c r="AN940" s="56" t="n">
        <v>21</v>
      </c>
      <c r="AO940" s="56">
        <f>G940*0</f>
      </c>
      <c r="AP940" s="56">
        <f>G940*(1-0)</f>
      </c>
      <c r="AQ940" s="57" t="s">
        <v>85</v>
      </c>
      <c r="AV940" s="56">
        <f>AW940+AX940</f>
      </c>
      <c r="AW940" s="56">
        <f>F940*AO940</f>
      </c>
      <c r="AX940" s="56">
        <f>F940*AP940</f>
      </c>
      <c r="AY940" s="57" t="s">
        <v>1593</v>
      </c>
      <c r="AZ940" s="57" t="s">
        <v>1506</v>
      </c>
      <c r="BA940" s="28" t="s">
        <v>1484</v>
      </c>
      <c r="BC940" s="56">
        <f>AW940+AX940</f>
      </c>
      <c r="BD940" s="56">
        <f>G940/(100-BE940)*100</f>
      </c>
      <c r="BE940" s="56" t="n">
        <v>0</v>
      </c>
      <c r="BF940" s="56">
        <f>940</f>
      </c>
      <c r="BH940" s="56">
        <f>F940*AO940</f>
      </c>
      <c r="BI940" s="56">
        <f>F940*AP940</f>
      </c>
      <c r="BJ940" s="56">
        <f>F940*G940</f>
      </c>
      <c r="BK940" s="56"/>
      <c r="BL940" s="56" t="n">
        <v>725</v>
      </c>
      <c r="BW940" s="56" t="n">
        <v>21</v>
      </c>
      <c r="BX940" s="14" t="s">
        <v>1592</v>
      </c>
    </row>
    <row r="941">
      <c r="A941" s="9" t="s">
        <v>1594</v>
      </c>
      <c r="B941" s="10" t="s">
        <v>1595</v>
      </c>
      <c r="C941" s="14" t="s">
        <v>1596</v>
      </c>
      <c r="D941" s="10"/>
      <c r="E941" s="10" t="s">
        <v>1549</v>
      </c>
      <c r="F941" s="56" t="n">
        <v>1</v>
      </c>
      <c r="G941" s="56" t="n">
        <v>0</v>
      </c>
      <c r="H941" s="56">
        <f>F941*AO941</f>
      </c>
      <c r="I941" s="56">
        <f>F941*AP941</f>
      </c>
      <c r="J941" s="56">
        <f>F941*G941</f>
      </c>
      <c r="K941" s="111" t="s">
        <v>100</v>
      </c>
      <c r="Z941" s="56">
        <f>IF(AQ941="5",BJ941,0)</f>
      </c>
      <c r="AB941" s="56">
        <f>IF(AQ941="1",BH941,0)</f>
      </c>
      <c r="AC941" s="56">
        <f>IF(AQ941="1",BI941,0)</f>
      </c>
      <c r="AD941" s="56">
        <f>IF(AQ941="7",BH941,0)</f>
      </c>
      <c r="AE941" s="56">
        <f>IF(AQ941="7",BI941,0)</f>
      </c>
      <c r="AF941" s="56">
        <f>IF(AQ941="2",BH941,0)</f>
      </c>
      <c r="AG941" s="56">
        <f>IF(AQ941="2",BI941,0)</f>
      </c>
      <c r="AH941" s="56">
        <f>IF(AQ941="0",BJ941,0)</f>
      </c>
      <c r="AI941" s="28" t="s">
        <v>1479</v>
      </c>
      <c r="AJ941" s="56">
        <f>IF(AN941=0,J941,0)</f>
      </c>
      <c r="AK941" s="56">
        <f>IF(AN941=12,J941,0)</f>
      </c>
      <c r="AL941" s="56">
        <f>IF(AN941=21,J941,0)</f>
      </c>
      <c r="AN941" s="56" t="n">
        <v>21</v>
      </c>
      <c r="AO941" s="56">
        <f>G941*0</f>
      </c>
      <c r="AP941" s="56">
        <f>G941*(1-0)</f>
      </c>
      <c r="AQ941" s="57" t="s">
        <v>85</v>
      </c>
      <c r="AV941" s="56">
        <f>AW941+AX941</f>
      </c>
      <c r="AW941" s="56">
        <f>F941*AO941</f>
      </c>
      <c r="AX941" s="56">
        <f>F941*AP941</f>
      </c>
      <c r="AY941" s="57" t="s">
        <v>1593</v>
      </c>
      <c r="AZ941" s="57" t="s">
        <v>1506</v>
      </c>
      <c r="BA941" s="28" t="s">
        <v>1484</v>
      </c>
      <c r="BC941" s="56">
        <f>AW941+AX941</f>
      </c>
      <c r="BD941" s="56">
        <f>G941/(100-BE941)*100</f>
      </c>
      <c r="BE941" s="56" t="n">
        <v>0</v>
      </c>
      <c r="BF941" s="56">
        <f>941</f>
      </c>
      <c r="BH941" s="56">
        <f>F941*AO941</f>
      </c>
      <c r="BI941" s="56">
        <f>F941*AP941</f>
      </c>
      <c r="BJ941" s="56">
        <f>F941*G941</f>
      </c>
      <c r="BK941" s="56"/>
      <c r="BL941" s="56" t="n">
        <v>725</v>
      </c>
      <c r="BW941" s="56" t="n">
        <v>21</v>
      </c>
      <c r="BX941" s="14" t="s">
        <v>1596</v>
      </c>
    </row>
    <row r="942">
      <c r="A942" s="9" t="s">
        <v>1597</v>
      </c>
      <c r="B942" s="10" t="s">
        <v>1598</v>
      </c>
      <c r="C942" s="14" t="s">
        <v>1599</v>
      </c>
      <c r="D942" s="10"/>
      <c r="E942" s="10" t="s">
        <v>1549</v>
      </c>
      <c r="F942" s="56" t="n">
        <v>1</v>
      </c>
      <c r="G942" s="56" t="n">
        <v>0</v>
      </c>
      <c r="H942" s="56">
        <f>F942*AO942</f>
      </c>
      <c r="I942" s="56">
        <f>F942*AP942</f>
      </c>
      <c r="J942" s="56">
        <f>F942*G942</f>
      </c>
      <c r="K942" s="111" t="s">
        <v>100</v>
      </c>
      <c r="Z942" s="56">
        <f>IF(AQ942="5",BJ942,0)</f>
      </c>
      <c r="AB942" s="56">
        <f>IF(AQ942="1",BH942,0)</f>
      </c>
      <c r="AC942" s="56">
        <f>IF(AQ942="1",BI942,0)</f>
      </c>
      <c r="AD942" s="56">
        <f>IF(AQ942="7",BH942,0)</f>
      </c>
      <c r="AE942" s="56">
        <f>IF(AQ942="7",BI942,0)</f>
      </c>
      <c r="AF942" s="56">
        <f>IF(AQ942="2",BH942,0)</f>
      </c>
      <c r="AG942" s="56">
        <f>IF(AQ942="2",BI942,0)</f>
      </c>
      <c r="AH942" s="56">
        <f>IF(AQ942="0",BJ942,0)</f>
      </c>
      <c r="AI942" s="28" t="s">
        <v>1479</v>
      </c>
      <c r="AJ942" s="56">
        <f>IF(AN942=0,J942,0)</f>
      </c>
      <c r="AK942" s="56">
        <f>IF(AN942=12,J942,0)</f>
      </c>
      <c r="AL942" s="56">
        <f>IF(AN942=21,J942,0)</f>
      </c>
      <c r="AN942" s="56" t="n">
        <v>21</v>
      </c>
      <c r="AO942" s="56">
        <f>G942*0</f>
      </c>
      <c r="AP942" s="56">
        <f>G942*(1-0)</f>
      </c>
      <c r="AQ942" s="57" t="s">
        <v>85</v>
      </c>
      <c r="AV942" s="56">
        <f>AW942+AX942</f>
      </c>
      <c r="AW942" s="56">
        <f>F942*AO942</f>
      </c>
      <c r="AX942" s="56">
        <f>F942*AP942</f>
      </c>
      <c r="AY942" s="57" t="s">
        <v>1593</v>
      </c>
      <c r="AZ942" s="57" t="s">
        <v>1506</v>
      </c>
      <c r="BA942" s="28" t="s">
        <v>1484</v>
      </c>
      <c r="BC942" s="56">
        <f>AW942+AX942</f>
      </c>
      <c r="BD942" s="56">
        <f>G942/(100-BE942)*100</f>
      </c>
      <c r="BE942" s="56" t="n">
        <v>0</v>
      </c>
      <c r="BF942" s="56">
        <f>942</f>
      </c>
      <c r="BH942" s="56">
        <f>F942*AO942</f>
      </c>
      <c r="BI942" s="56">
        <f>F942*AP942</f>
      </c>
      <c r="BJ942" s="56">
        <f>F942*G942</f>
      </c>
      <c r="BK942" s="56"/>
      <c r="BL942" s="56" t="n">
        <v>725</v>
      </c>
      <c r="BW942" s="56" t="n">
        <v>21</v>
      </c>
      <c r="BX942" s="14" t="s">
        <v>1599</v>
      </c>
    </row>
    <row r="943">
      <c r="A943" s="9" t="s">
        <v>1600</v>
      </c>
      <c r="B943" s="10" t="s">
        <v>1601</v>
      </c>
      <c r="C943" s="14" t="s">
        <v>1602</v>
      </c>
      <c r="D943" s="10"/>
      <c r="E943" s="10" t="s">
        <v>1549</v>
      </c>
      <c r="F943" s="56" t="n">
        <v>1</v>
      </c>
      <c r="G943" s="56" t="n">
        <v>0</v>
      </c>
      <c r="H943" s="56">
        <f>F943*AO943</f>
      </c>
      <c r="I943" s="56">
        <f>F943*AP943</f>
      </c>
      <c r="J943" s="56">
        <f>F943*G943</f>
      </c>
      <c r="K943" s="111" t="s">
        <v>100</v>
      </c>
      <c r="Z943" s="56">
        <f>IF(AQ943="5",BJ943,0)</f>
      </c>
      <c r="AB943" s="56">
        <f>IF(AQ943="1",BH943,0)</f>
      </c>
      <c r="AC943" s="56">
        <f>IF(AQ943="1",BI943,0)</f>
      </c>
      <c r="AD943" s="56">
        <f>IF(AQ943="7",BH943,0)</f>
      </c>
      <c r="AE943" s="56">
        <f>IF(AQ943="7",BI943,0)</f>
      </c>
      <c r="AF943" s="56">
        <f>IF(AQ943="2",BH943,0)</f>
      </c>
      <c r="AG943" s="56">
        <f>IF(AQ943="2",BI943,0)</f>
      </c>
      <c r="AH943" s="56">
        <f>IF(AQ943="0",BJ943,0)</f>
      </c>
      <c r="AI943" s="28" t="s">
        <v>1479</v>
      </c>
      <c r="AJ943" s="56">
        <f>IF(AN943=0,J943,0)</f>
      </c>
      <c r="AK943" s="56">
        <f>IF(AN943=12,J943,0)</f>
      </c>
      <c r="AL943" s="56">
        <f>IF(AN943=21,J943,0)</f>
      </c>
      <c r="AN943" s="56" t="n">
        <v>21</v>
      </c>
      <c r="AO943" s="56">
        <f>G943*0</f>
      </c>
      <c r="AP943" s="56">
        <f>G943*(1-0)</f>
      </c>
      <c r="AQ943" s="57" t="s">
        <v>85</v>
      </c>
      <c r="AV943" s="56">
        <f>AW943+AX943</f>
      </c>
      <c r="AW943" s="56">
        <f>F943*AO943</f>
      </c>
      <c r="AX943" s="56">
        <f>F943*AP943</f>
      </c>
      <c r="AY943" s="57" t="s">
        <v>1593</v>
      </c>
      <c r="AZ943" s="57" t="s">
        <v>1506</v>
      </c>
      <c r="BA943" s="28" t="s">
        <v>1484</v>
      </c>
      <c r="BC943" s="56">
        <f>AW943+AX943</f>
      </c>
      <c r="BD943" s="56">
        <f>G943/(100-BE943)*100</f>
      </c>
      <c r="BE943" s="56" t="n">
        <v>0</v>
      </c>
      <c r="BF943" s="56">
        <f>943</f>
      </c>
      <c r="BH943" s="56">
        <f>F943*AO943</f>
      </c>
      <c r="BI943" s="56">
        <f>F943*AP943</f>
      </c>
      <c r="BJ943" s="56">
        <f>F943*G943</f>
      </c>
      <c r="BK943" s="56"/>
      <c r="BL943" s="56" t="n">
        <v>725</v>
      </c>
      <c r="BW943" s="56" t="n">
        <v>21</v>
      </c>
      <c r="BX943" s="14" t="s">
        <v>1602</v>
      </c>
    </row>
    <row r="944">
      <c r="A944" s="9" t="s">
        <v>1603</v>
      </c>
      <c r="B944" s="10" t="s">
        <v>1604</v>
      </c>
      <c r="C944" s="14" t="s">
        <v>1605</v>
      </c>
      <c r="D944" s="10"/>
      <c r="E944" s="10" t="s">
        <v>1549</v>
      </c>
      <c r="F944" s="56" t="n">
        <v>1</v>
      </c>
      <c r="G944" s="56" t="n">
        <v>0</v>
      </c>
      <c r="H944" s="56">
        <f>F944*AO944</f>
      </c>
      <c r="I944" s="56">
        <f>F944*AP944</f>
      </c>
      <c r="J944" s="56">
        <f>F944*G944</f>
      </c>
      <c r="K944" s="111" t="s">
        <v>100</v>
      </c>
      <c r="Z944" s="56">
        <f>IF(AQ944="5",BJ944,0)</f>
      </c>
      <c r="AB944" s="56">
        <f>IF(AQ944="1",BH944,0)</f>
      </c>
      <c r="AC944" s="56">
        <f>IF(AQ944="1",BI944,0)</f>
      </c>
      <c r="AD944" s="56">
        <f>IF(AQ944="7",BH944,0)</f>
      </c>
      <c r="AE944" s="56">
        <f>IF(AQ944="7",BI944,0)</f>
      </c>
      <c r="AF944" s="56">
        <f>IF(AQ944="2",BH944,0)</f>
      </c>
      <c r="AG944" s="56">
        <f>IF(AQ944="2",BI944,0)</f>
      </c>
      <c r="AH944" s="56">
        <f>IF(AQ944="0",BJ944,0)</f>
      </c>
      <c r="AI944" s="28" t="s">
        <v>1479</v>
      </c>
      <c r="AJ944" s="56">
        <f>IF(AN944=0,J944,0)</f>
      </c>
      <c r="AK944" s="56">
        <f>IF(AN944=12,J944,0)</f>
      </c>
      <c r="AL944" s="56">
        <f>IF(AN944=21,J944,0)</f>
      </c>
      <c r="AN944" s="56" t="n">
        <v>21</v>
      </c>
      <c r="AO944" s="56">
        <f>G944*0</f>
      </c>
      <c r="AP944" s="56">
        <f>G944*(1-0)</f>
      </c>
      <c r="AQ944" s="57" t="s">
        <v>85</v>
      </c>
      <c r="AV944" s="56">
        <f>AW944+AX944</f>
      </c>
      <c r="AW944" s="56">
        <f>F944*AO944</f>
      </c>
      <c r="AX944" s="56">
        <f>F944*AP944</f>
      </c>
      <c r="AY944" s="57" t="s">
        <v>1593</v>
      </c>
      <c r="AZ944" s="57" t="s">
        <v>1506</v>
      </c>
      <c r="BA944" s="28" t="s">
        <v>1484</v>
      </c>
      <c r="BC944" s="56">
        <f>AW944+AX944</f>
      </c>
      <c r="BD944" s="56">
        <f>G944/(100-BE944)*100</f>
      </c>
      <c r="BE944" s="56" t="n">
        <v>0</v>
      </c>
      <c r="BF944" s="56">
        <f>944</f>
      </c>
      <c r="BH944" s="56">
        <f>F944*AO944</f>
      </c>
      <c r="BI944" s="56">
        <f>F944*AP944</f>
      </c>
      <c r="BJ944" s="56">
        <f>F944*G944</f>
      </c>
      <c r="BK944" s="56"/>
      <c r="BL944" s="56" t="n">
        <v>725</v>
      </c>
      <c r="BW944" s="56" t="n">
        <v>21</v>
      </c>
      <c r="BX944" s="14" t="s">
        <v>1605</v>
      </c>
    </row>
    <row r="945">
      <c r="A945" s="9" t="s">
        <v>1606</v>
      </c>
      <c r="B945" s="10" t="s">
        <v>1607</v>
      </c>
      <c r="C945" s="14" t="s">
        <v>1608</v>
      </c>
      <c r="D945" s="10"/>
      <c r="E945" s="10" t="s">
        <v>1549</v>
      </c>
      <c r="F945" s="56" t="n">
        <v>1</v>
      </c>
      <c r="G945" s="56" t="n">
        <v>0</v>
      </c>
      <c r="H945" s="56">
        <f>F945*AO945</f>
      </c>
      <c r="I945" s="56">
        <f>F945*AP945</f>
      </c>
      <c r="J945" s="56">
        <f>F945*G945</f>
      </c>
      <c r="K945" s="111" t="s">
        <v>100</v>
      </c>
      <c r="Z945" s="56">
        <f>IF(AQ945="5",BJ945,0)</f>
      </c>
      <c r="AB945" s="56">
        <f>IF(AQ945="1",BH945,0)</f>
      </c>
      <c r="AC945" s="56">
        <f>IF(AQ945="1",BI945,0)</f>
      </c>
      <c r="AD945" s="56">
        <f>IF(AQ945="7",BH945,0)</f>
      </c>
      <c r="AE945" s="56">
        <f>IF(AQ945="7",BI945,0)</f>
      </c>
      <c r="AF945" s="56">
        <f>IF(AQ945="2",BH945,0)</f>
      </c>
      <c r="AG945" s="56">
        <f>IF(AQ945="2",BI945,0)</f>
      </c>
      <c r="AH945" s="56">
        <f>IF(AQ945="0",BJ945,0)</f>
      </c>
      <c r="AI945" s="28" t="s">
        <v>1479</v>
      </c>
      <c r="AJ945" s="56">
        <f>IF(AN945=0,J945,0)</f>
      </c>
      <c r="AK945" s="56">
        <f>IF(AN945=12,J945,0)</f>
      </c>
      <c r="AL945" s="56">
        <f>IF(AN945=21,J945,0)</f>
      </c>
      <c r="AN945" s="56" t="n">
        <v>21</v>
      </c>
      <c r="AO945" s="56">
        <f>G945*0</f>
      </c>
      <c r="AP945" s="56">
        <f>G945*(1-0)</f>
      </c>
      <c r="AQ945" s="57" t="s">
        <v>85</v>
      </c>
      <c r="AV945" s="56">
        <f>AW945+AX945</f>
      </c>
      <c r="AW945" s="56">
        <f>F945*AO945</f>
      </c>
      <c r="AX945" s="56">
        <f>F945*AP945</f>
      </c>
      <c r="AY945" s="57" t="s">
        <v>1593</v>
      </c>
      <c r="AZ945" s="57" t="s">
        <v>1506</v>
      </c>
      <c r="BA945" s="28" t="s">
        <v>1484</v>
      </c>
      <c r="BC945" s="56">
        <f>AW945+AX945</f>
      </c>
      <c r="BD945" s="56">
        <f>G945/(100-BE945)*100</f>
      </c>
      <c r="BE945" s="56" t="n">
        <v>0</v>
      </c>
      <c r="BF945" s="56">
        <f>945</f>
      </c>
      <c r="BH945" s="56">
        <f>F945*AO945</f>
      </c>
      <c r="BI945" s="56">
        <f>F945*AP945</f>
      </c>
      <c r="BJ945" s="56">
        <f>F945*G945</f>
      </c>
      <c r="BK945" s="56"/>
      <c r="BL945" s="56" t="n">
        <v>725</v>
      </c>
      <c r="BW945" s="56" t="n">
        <v>21</v>
      </c>
      <c r="BX945" s="14" t="s">
        <v>1608</v>
      </c>
    </row>
    <row r="946">
      <c r="A946" s="9" t="s">
        <v>1609</v>
      </c>
      <c r="B946" s="10" t="s">
        <v>1610</v>
      </c>
      <c r="C946" s="14" t="s">
        <v>1611</v>
      </c>
      <c r="D946" s="10"/>
      <c r="E946" s="10" t="s">
        <v>1549</v>
      </c>
      <c r="F946" s="56" t="n">
        <v>1</v>
      </c>
      <c r="G946" s="56" t="n">
        <v>0</v>
      </c>
      <c r="H946" s="56">
        <f>F946*AO946</f>
      </c>
      <c r="I946" s="56">
        <f>F946*AP946</f>
      </c>
      <c r="J946" s="56">
        <f>F946*G946</f>
      </c>
      <c r="K946" s="111" t="s">
        <v>100</v>
      </c>
      <c r="Z946" s="56">
        <f>IF(AQ946="5",BJ946,0)</f>
      </c>
      <c r="AB946" s="56">
        <f>IF(AQ946="1",BH946,0)</f>
      </c>
      <c r="AC946" s="56">
        <f>IF(AQ946="1",BI946,0)</f>
      </c>
      <c r="AD946" s="56">
        <f>IF(AQ946="7",BH946,0)</f>
      </c>
      <c r="AE946" s="56">
        <f>IF(AQ946="7",BI946,0)</f>
      </c>
      <c r="AF946" s="56">
        <f>IF(AQ946="2",BH946,0)</f>
      </c>
      <c r="AG946" s="56">
        <f>IF(AQ946="2",BI946,0)</f>
      </c>
      <c r="AH946" s="56">
        <f>IF(AQ946="0",BJ946,0)</f>
      </c>
      <c r="AI946" s="28" t="s">
        <v>1479</v>
      </c>
      <c r="AJ946" s="56">
        <f>IF(AN946=0,J946,0)</f>
      </c>
      <c r="AK946" s="56">
        <f>IF(AN946=12,J946,0)</f>
      </c>
      <c r="AL946" s="56">
        <f>IF(AN946=21,J946,0)</f>
      </c>
      <c r="AN946" s="56" t="n">
        <v>21</v>
      </c>
      <c r="AO946" s="56">
        <f>G946*0</f>
      </c>
      <c r="AP946" s="56">
        <f>G946*(1-0)</f>
      </c>
      <c r="AQ946" s="57" t="s">
        <v>85</v>
      </c>
      <c r="AV946" s="56">
        <f>AW946+AX946</f>
      </c>
      <c r="AW946" s="56">
        <f>F946*AO946</f>
      </c>
      <c r="AX946" s="56">
        <f>F946*AP946</f>
      </c>
      <c r="AY946" s="57" t="s">
        <v>1593</v>
      </c>
      <c r="AZ946" s="57" t="s">
        <v>1506</v>
      </c>
      <c r="BA946" s="28" t="s">
        <v>1484</v>
      </c>
      <c r="BC946" s="56">
        <f>AW946+AX946</f>
      </c>
      <c r="BD946" s="56">
        <f>G946/(100-BE946)*100</f>
      </c>
      <c r="BE946" s="56" t="n">
        <v>0</v>
      </c>
      <c r="BF946" s="56">
        <f>946</f>
      </c>
      <c r="BH946" s="56">
        <f>F946*AO946</f>
      </c>
      <c r="BI946" s="56">
        <f>F946*AP946</f>
      </c>
      <c r="BJ946" s="56">
        <f>F946*G946</f>
      </c>
      <c r="BK946" s="56"/>
      <c r="BL946" s="56" t="n">
        <v>725</v>
      </c>
      <c r="BW946" s="56" t="n">
        <v>21</v>
      </c>
      <c r="BX946" s="14" t="s">
        <v>1611</v>
      </c>
    </row>
    <row r="947">
      <c r="A947" s="9" t="s">
        <v>1612</v>
      </c>
      <c r="B947" s="10" t="s">
        <v>1613</v>
      </c>
      <c r="C947" s="14" t="s">
        <v>1614</v>
      </c>
      <c r="D947" s="10"/>
      <c r="E947" s="10" t="s">
        <v>180</v>
      </c>
      <c r="F947" s="56" t="n">
        <v>1</v>
      </c>
      <c r="G947" s="56" t="n">
        <v>0</v>
      </c>
      <c r="H947" s="56">
        <f>F947*AO947</f>
      </c>
      <c r="I947" s="56">
        <f>F947*AP947</f>
      </c>
      <c r="J947" s="56">
        <f>F947*G947</f>
      </c>
      <c r="K947" s="111" t="s">
        <v>100</v>
      </c>
      <c r="Z947" s="56">
        <f>IF(AQ947="5",BJ947,0)</f>
      </c>
      <c r="AB947" s="56">
        <f>IF(AQ947="1",BH947,0)</f>
      </c>
      <c r="AC947" s="56">
        <f>IF(AQ947="1",BI947,0)</f>
      </c>
      <c r="AD947" s="56">
        <f>IF(AQ947="7",BH947,0)</f>
      </c>
      <c r="AE947" s="56">
        <f>IF(AQ947="7",BI947,0)</f>
      </c>
      <c r="AF947" s="56">
        <f>IF(AQ947="2",BH947,0)</f>
      </c>
      <c r="AG947" s="56">
        <f>IF(AQ947="2",BI947,0)</f>
      </c>
      <c r="AH947" s="56">
        <f>IF(AQ947="0",BJ947,0)</f>
      </c>
      <c r="AI947" s="28" t="s">
        <v>1479</v>
      </c>
      <c r="AJ947" s="56">
        <f>IF(AN947=0,J947,0)</f>
      </c>
      <c r="AK947" s="56">
        <f>IF(AN947=12,J947,0)</f>
      </c>
      <c r="AL947" s="56">
        <f>IF(AN947=21,J947,0)</f>
      </c>
      <c r="AN947" s="56" t="n">
        <v>21</v>
      </c>
      <c r="AO947" s="56">
        <f>G947*0</f>
      </c>
      <c r="AP947" s="56">
        <f>G947*(1-0)</f>
      </c>
      <c r="AQ947" s="57" t="s">
        <v>85</v>
      </c>
      <c r="AV947" s="56">
        <f>AW947+AX947</f>
      </c>
      <c r="AW947" s="56">
        <f>F947*AO947</f>
      </c>
      <c r="AX947" s="56">
        <f>F947*AP947</f>
      </c>
      <c r="AY947" s="57" t="s">
        <v>1593</v>
      </c>
      <c r="AZ947" s="57" t="s">
        <v>1506</v>
      </c>
      <c r="BA947" s="28" t="s">
        <v>1484</v>
      </c>
      <c r="BC947" s="56">
        <f>AW947+AX947</f>
      </c>
      <c r="BD947" s="56">
        <f>G947/(100-BE947)*100</f>
      </c>
      <c r="BE947" s="56" t="n">
        <v>0</v>
      </c>
      <c r="BF947" s="56">
        <f>947</f>
      </c>
      <c r="BH947" s="56">
        <f>F947*AO947</f>
      </c>
      <c r="BI947" s="56">
        <f>F947*AP947</f>
      </c>
      <c r="BJ947" s="56">
        <f>F947*G947</f>
      </c>
      <c r="BK947" s="56"/>
      <c r="BL947" s="56" t="n">
        <v>725</v>
      </c>
      <c r="BW947" s="56" t="n">
        <v>21</v>
      </c>
      <c r="BX947" s="14" t="s">
        <v>1614</v>
      </c>
    </row>
    <row r="948">
      <c r="A948" s="9" t="s">
        <v>1615</v>
      </c>
      <c r="B948" s="10" t="s">
        <v>1616</v>
      </c>
      <c r="C948" s="14" t="s">
        <v>1617</v>
      </c>
      <c r="D948" s="10"/>
      <c r="E948" s="10" t="s">
        <v>180</v>
      </c>
      <c r="F948" s="56" t="n">
        <v>1</v>
      </c>
      <c r="G948" s="56" t="n">
        <v>0</v>
      </c>
      <c r="H948" s="56">
        <f>F948*AO948</f>
      </c>
      <c r="I948" s="56">
        <f>F948*AP948</f>
      </c>
      <c r="J948" s="56">
        <f>F948*G948</f>
      </c>
      <c r="K948" s="111" t="s">
        <v>100</v>
      </c>
      <c r="Z948" s="56">
        <f>IF(AQ948="5",BJ948,0)</f>
      </c>
      <c r="AB948" s="56">
        <f>IF(AQ948="1",BH948,0)</f>
      </c>
      <c r="AC948" s="56">
        <f>IF(AQ948="1",BI948,0)</f>
      </c>
      <c r="AD948" s="56">
        <f>IF(AQ948="7",BH948,0)</f>
      </c>
      <c r="AE948" s="56">
        <f>IF(AQ948="7",BI948,0)</f>
      </c>
      <c r="AF948" s="56">
        <f>IF(AQ948="2",BH948,0)</f>
      </c>
      <c r="AG948" s="56">
        <f>IF(AQ948="2",BI948,0)</f>
      </c>
      <c r="AH948" s="56">
        <f>IF(AQ948="0",BJ948,0)</f>
      </c>
      <c r="AI948" s="28" t="s">
        <v>1479</v>
      </c>
      <c r="AJ948" s="56">
        <f>IF(AN948=0,J948,0)</f>
      </c>
      <c r="AK948" s="56">
        <f>IF(AN948=12,J948,0)</f>
      </c>
      <c r="AL948" s="56">
        <f>IF(AN948=21,J948,0)</f>
      </c>
      <c r="AN948" s="56" t="n">
        <v>21</v>
      </c>
      <c r="AO948" s="56">
        <f>G948*0</f>
      </c>
      <c r="AP948" s="56">
        <f>G948*(1-0)</f>
      </c>
      <c r="AQ948" s="57" t="s">
        <v>85</v>
      </c>
      <c r="AV948" s="56">
        <f>AW948+AX948</f>
      </c>
      <c r="AW948" s="56">
        <f>F948*AO948</f>
      </c>
      <c r="AX948" s="56">
        <f>F948*AP948</f>
      </c>
      <c r="AY948" s="57" t="s">
        <v>1593</v>
      </c>
      <c r="AZ948" s="57" t="s">
        <v>1506</v>
      </c>
      <c r="BA948" s="28" t="s">
        <v>1484</v>
      </c>
      <c r="BC948" s="56">
        <f>AW948+AX948</f>
      </c>
      <c r="BD948" s="56">
        <f>G948/(100-BE948)*100</f>
      </c>
      <c r="BE948" s="56" t="n">
        <v>0</v>
      </c>
      <c r="BF948" s="56">
        <f>948</f>
      </c>
      <c r="BH948" s="56">
        <f>F948*AO948</f>
      </c>
      <c r="BI948" s="56">
        <f>F948*AP948</f>
      </c>
      <c r="BJ948" s="56">
        <f>F948*G948</f>
      </c>
      <c r="BK948" s="56"/>
      <c r="BL948" s="56" t="n">
        <v>725</v>
      </c>
      <c r="BW948" s="56" t="n">
        <v>21</v>
      </c>
      <c r="BX948" s="14" t="s">
        <v>1617</v>
      </c>
    </row>
    <row r="949">
      <c r="A949" s="9" t="s">
        <v>1618</v>
      </c>
      <c r="B949" s="10" t="s">
        <v>1619</v>
      </c>
      <c r="C949" s="14" t="s">
        <v>1620</v>
      </c>
      <c r="D949" s="10"/>
      <c r="E949" s="10" t="s">
        <v>180</v>
      </c>
      <c r="F949" s="56" t="n">
        <v>1</v>
      </c>
      <c r="G949" s="56" t="n">
        <v>0</v>
      </c>
      <c r="H949" s="56">
        <f>F949*AO949</f>
      </c>
      <c r="I949" s="56">
        <f>F949*AP949</f>
      </c>
      <c r="J949" s="56">
        <f>F949*G949</f>
      </c>
      <c r="K949" s="111" t="s">
        <v>100</v>
      </c>
      <c r="Z949" s="56">
        <f>IF(AQ949="5",BJ949,0)</f>
      </c>
      <c r="AB949" s="56">
        <f>IF(AQ949="1",BH949,0)</f>
      </c>
      <c r="AC949" s="56">
        <f>IF(AQ949="1",BI949,0)</f>
      </c>
      <c r="AD949" s="56">
        <f>IF(AQ949="7",BH949,0)</f>
      </c>
      <c r="AE949" s="56">
        <f>IF(AQ949="7",BI949,0)</f>
      </c>
      <c r="AF949" s="56">
        <f>IF(AQ949="2",BH949,0)</f>
      </c>
      <c r="AG949" s="56">
        <f>IF(AQ949="2",BI949,0)</f>
      </c>
      <c r="AH949" s="56">
        <f>IF(AQ949="0",BJ949,0)</f>
      </c>
      <c r="AI949" s="28" t="s">
        <v>1479</v>
      </c>
      <c r="AJ949" s="56">
        <f>IF(AN949=0,J949,0)</f>
      </c>
      <c r="AK949" s="56">
        <f>IF(AN949=12,J949,0)</f>
      </c>
      <c r="AL949" s="56">
        <f>IF(AN949=21,J949,0)</f>
      </c>
      <c r="AN949" s="56" t="n">
        <v>21</v>
      </c>
      <c r="AO949" s="56">
        <f>G949*0</f>
      </c>
      <c r="AP949" s="56">
        <f>G949*(1-0)</f>
      </c>
      <c r="AQ949" s="57" t="s">
        <v>85</v>
      </c>
      <c r="AV949" s="56">
        <f>AW949+AX949</f>
      </c>
      <c r="AW949" s="56">
        <f>F949*AO949</f>
      </c>
      <c r="AX949" s="56">
        <f>F949*AP949</f>
      </c>
      <c r="AY949" s="57" t="s">
        <v>1593</v>
      </c>
      <c r="AZ949" s="57" t="s">
        <v>1506</v>
      </c>
      <c r="BA949" s="28" t="s">
        <v>1484</v>
      </c>
      <c r="BC949" s="56">
        <f>AW949+AX949</f>
      </c>
      <c r="BD949" s="56">
        <f>G949/(100-BE949)*100</f>
      </c>
      <c r="BE949" s="56" t="n">
        <v>0</v>
      </c>
      <c r="BF949" s="56">
        <f>949</f>
      </c>
      <c r="BH949" s="56">
        <f>F949*AO949</f>
      </c>
      <c r="BI949" s="56">
        <f>F949*AP949</f>
      </c>
      <c r="BJ949" s="56">
        <f>F949*G949</f>
      </c>
      <c r="BK949" s="56"/>
      <c r="BL949" s="56" t="n">
        <v>725</v>
      </c>
      <c r="BW949" s="56" t="n">
        <v>21</v>
      </c>
      <c r="BX949" s="14" t="s">
        <v>1620</v>
      </c>
    </row>
    <row r="950">
      <c r="A950" s="9" t="s">
        <v>1621</v>
      </c>
      <c r="B950" s="10" t="s">
        <v>1622</v>
      </c>
      <c r="C950" s="14" t="s">
        <v>1623</v>
      </c>
      <c r="D950" s="10"/>
      <c r="E950" s="10" t="s">
        <v>1624</v>
      </c>
      <c r="F950" s="56" t="n">
        <v>1</v>
      </c>
      <c r="G950" s="56" t="n">
        <v>0</v>
      </c>
      <c r="H950" s="56">
        <f>F950*AO950</f>
      </c>
      <c r="I950" s="56">
        <f>F950*AP950</f>
      </c>
      <c r="J950" s="56">
        <f>F950*G950</f>
      </c>
      <c r="K950" s="111" t="s">
        <v>100</v>
      </c>
      <c r="Z950" s="56">
        <f>IF(AQ950="5",BJ950,0)</f>
      </c>
      <c r="AB950" s="56">
        <f>IF(AQ950="1",BH950,0)</f>
      </c>
      <c r="AC950" s="56">
        <f>IF(AQ950="1",BI950,0)</f>
      </c>
      <c r="AD950" s="56">
        <f>IF(AQ950="7",BH950,0)</f>
      </c>
      <c r="AE950" s="56">
        <f>IF(AQ950="7",BI950,0)</f>
      </c>
      <c r="AF950" s="56">
        <f>IF(AQ950="2",BH950,0)</f>
      </c>
      <c r="AG950" s="56">
        <f>IF(AQ950="2",BI950,0)</f>
      </c>
      <c r="AH950" s="56">
        <f>IF(AQ950="0",BJ950,0)</f>
      </c>
      <c r="AI950" s="28" t="s">
        <v>1479</v>
      </c>
      <c r="AJ950" s="56">
        <f>IF(AN950=0,J950,0)</f>
      </c>
      <c r="AK950" s="56">
        <f>IF(AN950=12,J950,0)</f>
      </c>
      <c r="AL950" s="56">
        <f>IF(AN950=21,J950,0)</f>
      </c>
      <c r="AN950" s="56" t="n">
        <v>21</v>
      </c>
      <c r="AO950" s="56">
        <f>G950*0</f>
      </c>
      <c r="AP950" s="56">
        <f>G950*(1-0)</f>
      </c>
      <c r="AQ950" s="57" t="s">
        <v>85</v>
      </c>
      <c r="AV950" s="56">
        <f>AW950+AX950</f>
      </c>
      <c r="AW950" s="56">
        <f>F950*AO950</f>
      </c>
      <c r="AX950" s="56">
        <f>F950*AP950</f>
      </c>
      <c r="AY950" s="57" t="s">
        <v>1593</v>
      </c>
      <c r="AZ950" s="57" t="s">
        <v>1506</v>
      </c>
      <c r="BA950" s="28" t="s">
        <v>1484</v>
      </c>
      <c r="BC950" s="56">
        <f>AW950+AX950</f>
      </c>
      <c r="BD950" s="56">
        <f>G950/(100-BE950)*100</f>
      </c>
      <c r="BE950" s="56" t="n">
        <v>0</v>
      </c>
      <c r="BF950" s="56">
        <f>950</f>
      </c>
      <c r="BH950" s="56">
        <f>F950*AO950</f>
      </c>
      <c r="BI950" s="56">
        <f>F950*AP950</f>
      </c>
      <c r="BJ950" s="56">
        <f>F950*G950</f>
      </c>
      <c r="BK950" s="56"/>
      <c r="BL950" s="56" t="n">
        <v>725</v>
      </c>
      <c r="BW950" s="56" t="n">
        <v>21</v>
      </c>
      <c r="BX950" s="14" t="s">
        <v>1623</v>
      </c>
    </row>
    <row r="951">
      <c r="A951" s="9" t="s">
        <v>1625</v>
      </c>
      <c r="B951" s="10" t="s">
        <v>1626</v>
      </c>
      <c r="C951" s="14" t="s">
        <v>1627</v>
      </c>
      <c r="D951" s="10"/>
      <c r="E951" s="10" t="s">
        <v>1624</v>
      </c>
      <c r="F951" s="56" t="n">
        <v>1</v>
      </c>
      <c r="G951" s="56" t="n">
        <v>0</v>
      </c>
      <c r="H951" s="56">
        <f>F951*AO951</f>
      </c>
      <c r="I951" s="56">
        <f>F951*AP951</f>
      </c>
      <c r="J951" s="56">
        <f>F951*G951</f>
      </c>
      <c r="K951" s="111" t="s">
        <v>100</v>
      </c>
      <c r="Z951" s="56">
        <f>IF(AQ951="5",BJ951,0)</f>
      </c>
      <c r="AB951" s="56">
        <f>IF(AQ951="1",BH951,0)</f>
      </c>
      <c r="AC951" s="56">
        <f>IF(AQ951="1",BI951,0)</f>
      </c>
      <c r="AD951" s="56">
        <f>IF(AQ951="7",BH951,0)</f>
      </c>
      <c r="AE951" s="56">
        <f>IF(AQ951="7",BI951,0)</f>
      </c>
      <c r="AF951" s="56">
        <f>IF(AQ951="2",BH951,0)</f>
      </c>
      <c r="AG951" s="56">
        <f>IF(AQ951="2",BI951,0)</f>
      </c>
      <c r="AH951" s="56">
        <f>IF(AQ951="0",BJ951,0)</f>
      </c>
      <c r="AI951" s="28" t="s">
        <v>1479</v>
      </c>
      <c r="AJ951" s="56">
        <f>IF(AN951=0,J951,0)</f>
      </c>
      <c r="AK951" s="56">
        <f>IF(AN951=12,J951,0)</f>
      </c>
      <c r="AL951" s="56">
        <f>IF(AN951=21,J951,0)</f>
      </c>
      <c r="AN951" s="56" t="n">
        <v>21</v>
      </c>
      <c r="AO951" s="56">
        <f>G951*0</f>
      </c>
      <c r="AP951" s="56">
        <f>G951*(1-0)</f>
      </c>
      <c r="AQ951" s="57" t="s">
        <v>85</v>
      </c>
      <c r="AV951" s="56">
        <f>AW951+AX951</f>
      </c>
      <c r="AW951" s="56">
        <f>F951*AO951</f>
      </c>
      <c r="AX951" s="56">
        <f>F951*AP951</f>
      </c>
      <c r="AY951" s="57" t="s">
        <v>1593</v>
      </c>
      <c r="AZ951" s="57" t="s">
        <v>1506</v>
      </c>
      <c r="BA951" s="28" t="s">
        <v>1484</v>
      </c>
      <c r="BC951" s="56">
        <f>AW951+AX951</f>
      </c>
      <c r="BD951" s="56">
        <f>G951/(100-BE951)*100</f>
      </c>
      <c r="BE951" s="56" t="n">
        <v>0</v>
      </c>
      <c r="BF951" s="56">
        <f>951</f>
      </c>
      <c r="BH951" s="56">
        <f>F951*AO951</f>
      </c>
      <c r="BI951" s="56">
        <f>F951*AP951</f>
      </c>
      <c r="BJ951" s="56">
        <f>F951*G951</f>
      </c>
      <c r="BK951" s="56"/>
      <c r="BL951" s="56" t="n">
        <v>725</v>
      </c>
      <c r="BW951" s="56" t="n">
        <v>21</v>
      </c>
      <c r="BX951" s="14" t="s">
        <v>1627</v>
      </c>
    </row>
    <row r="952">
      <c r="A952" s="124" t="s">
        <v>53</v>
      </c>
      <c r="B952" s="125" t="s">
        <v>1109</v>
      </c>
      <c r="C952" s="126" t="s">
        <v>1110</v>
      </c>
      <c r="D952" s="125"/>
      <c r="E952" s="127" t="s">
        <v>34</v>
      </c>
      <c r="F952" s="127" t="s">
        <v>34</v>
      </c>
      <c r="G952" s="127" t="s">
        <v>34</v>
      </c>
      <c r="H952" s="2">
        <f>SUM(H953:H955)</f>
      </c>
      <c r="I952" s="2">
        <f>SUM(I953:I955)</f>
      </c>
      <c r="J952" s="2">
        <f>SUM(J953:J955)</f>
      </c>
      <c r="K952" s="128" t="s">
        <v>53</v>
      </c>
      <c r="AI952" s="28" t="s">
        <v>1479</v>
      </c>
      <c r="AS952" s="2">
        <f>SUM(AJ953:AJ955)</f>
      </c>
      <c r="AT952" s="2">
        <f>SUM(AK953:AK955)</f>
      </c>
      <c r="AU952" s="2">
        <f>SUM(AL953:AL955)</f>
      </c>
    </row>
    <row r="953">
      <c r="A953" s="9" t="s">
        <v>1628</v>
      </c>
      <c r="B953" s="10" t="s">
        <v>1629</v>
      </c>
      <c r="C953" s="14" t="s">
        <v>1630</v>
      </c>
      <c r="D953" s="10"/>
      <c r="E953" s="10" t="s">
        <v>303</v>
      </c>
      <c r="F953" s="56" t="n">
        <v>10</v>
      </c>
      <c r="G953" s="56" t="n">
        <v>0</v>
      </c>
      <c r="H953" s="56">
        <f>F953*AO953</f>
      </c>
      <c r="I953" s="56">
        <f>F953*AP953</f>
      </c>
      <c r="J953" s="56">
        <f>F953*G953</f>
      </c>
      <c r="K953" s="111" t="s">
        <v>100</v>
      </c>
      <c r="Z953" s="56">
        <f>IF(AQ953="5",BJ953,0)</f>
      </c>
      <c r="AB953" s="56">
        <f>IF(AQ953="1",BH953,0)</f>
      </c>
      <c r="AC953" s="56">
        <f>IF(AQ953="1",BI953,0)</f>
      </c>
      <c r="AD953" s="56">
        <f>IF(AQ953="7",BH953,0)</f>
      </c>
      <c r="AE953" s="56">
        <f>IF(AQ953="7",BI953,0)</f>
      </c>
      <c r="AF953" s="56">
        <f>IF(AQ953="2",BH953,0)</f>
      </c>
      <c r="AG953" s="56">
        <f>IF(AQ953="2",BI953,0)</f>
      </c>
      <c r="AH953" s="56">
        <f>IF(AQ953="0",BJ953,0)</f>
      </c>
      <c r="AI953" s="28" t="s">
        <v>1479</v>
      </c>
      <c r="AJ953" s="56">
        <f>IF(AN953=0,J953,0)</f>
      </c>
      <c r="AK953" s="56">
        <f>IF(AN953=12,J953,0)</f>
      </c>
      <c r="AL953" s="56">
        <f>IF(AN953=21,J953,0)</f>
      </c>
      <c r="AN953" s="56" t="n">
        <v>21</v>
      </c>
      <c r="AO953" s="56">
        <f>G953*0</f>
      </c>
      <c r="AP953" s="56">
        <f>G953*(1-0)</f>
      </c>
      <c r="AQ953" s="57" t="s">
        <v>85</v>
      </c>
      <c r="AV953" s="56">
        <f>AW953+AX953</f>
      </c>
      <c r="AW953" s="56">
        <f>F953*AO953</f>
      </c>
      <c r="AX953" s="56">
        <f>F953*AP953</f>
      </c>
      <c r="AY953" s="57" t="s">
        <v>1114</v>
      </c>
      <c r="AZ953" s="57" t="s">
        <v>1631</v>
      </c>
      <c r="BA953" s="28" t="s">
        <v>1484</v>
      </c>
      <c r="BC953" s="56">
        <f>AW953+AX953</f>
      </c>
      <c r="BD953" s="56">
        <f>G953/(100-BE953)*100</f>
      </c>
      <c r="BE953" s="56" t="n">
        <v>0</v>
      </c>
      <c r="BF953" s="56">
        <f>953</f>
      </c>
      <c r="BH953" s="56">
        <f>F953*AO953</f>
      </c>
      <c r="BI953" s="56">
        <f>F953*AP953</f>
      </c>
      <c r="BJ953" s="56">
        <f>F953*G953</f>
      </c>
      <c r="BK953" s="56"/>
      <c r="BL953" s="56" t="n">
        <v>767</v>
      </c>
      <c r="BW953" s="56" t="n">
        <v>21</v>
      </c>
      <c r="BX953" s="14" t="s">
        <v>1630</v>
      </c>
    </row>
    <row r="954">
      <c r="A954" s="9" t="s">
        <v>1632</v>
      </c>
      <c r="B954" s="10" t="s">
        <v>1633</v>
      </c>
      <c r="C954" s="14" t="s">
        <v>1634</v>
      </c>
      <c r="D954" s="10"/>
      <c r="E954" s="10" t="s">
        <v>303</v>
      </c>
      <c r="F954" s="56" t="n">
        <v>10</v>
      </c>
      <c r="G954" s="56" t="n">
        <v>0</v>
      </c>
      <c r="H954" s="56">
        <f>F954*AO954</f>
      </c>
      <c r="I954" s="56">
        <f>F954*AP954</f>
      </c>
      <c r="J954" s="56">
        <f>F954*G954</f>
      </c>
      <c r="K954" s="111" t="s">
        <v>100</v>
      </c>
      <c r="Z954" s="56">
        <f>IF(AQ954="5",BJ954,0)</f>
      </c>
      <c r="AB954" s="56">
        <f>IF(AQ954="1",BH954,0)</f>
      </c>
      <c r="AC954" s="56">
        <f>IF(AQ954="1",BI954,0)</f>
      </c>
      <c r="AD954" s="56">
        <f>IF(AQ954="7",BH954,0)</f>
      </c>
      <c r="AE954" s="56">
        <f>IF(AQ954="7",BI954,0)</f>
      </c>
      <c r="AF954" s="56">
        <f>IF(AQ954="2",BH954,0)</f>
      </c>
      <c r="AG954" s="56">
        <f>IF(AQ954="2",BI954,0)</f>
      </c>
      <c r="AH954" s="56">
        <f>IF(AQ954="0",BJ954,0)</f>
      </c>
      <c r="AI954" s="28" t="s">
        <v>1479</v>
      </c>
      <c r="AJ954" s="56">
        <f>IF(AN954=0,J954,0)</f>
      </c>
      <c r="AK954" s="56">
        <f>IF(AN954=12,J954,0)</f>
      </c>
      <c r="AL954" s="56">
        <f>IF(AN954=21,J954,0)</f>
      </c>
      <c r="AN954" s="56" t="n">
        <v>21</v>
      </c>
      <c r="AO954" s="56">
        <f>G954*0</f>
      </c>
      <c r="AP954" s="56">
        <f>G954*(1-0)</f>
      </c>
      <c r="AQ954" s="57" t="s">
        <v>85</v>
      </c>
      <c r="AV954" s="56">
        <f>AW954+AX954</f>
      </c>
      <c r="AW954" s="56">
        <f>F954*AO954</f>
      </c>
      <c r="AX954" s="56">
        <f>F954*AP954</f>
      </c>
      <c r="AY954" s="57" t="s">
        <v>1114</v>
      </c>
      <c r="AZ954" s="57" t="s">
        <v>1631</v>
      </c>
      <c r="BA954" s="28" t="s">
        <v>1484</v>
      </c>
      <c r="BC954" s="56">
        <f>AW954+AX954</f>
      </c>
      <c r="BD954" s="56">
        <f>G954/(100-BE954)*100</f>
      </c>
      <c r="BE954" s="56" t="n">
        <v>0</v>
      </c>
      <c r="BF954" s="56">
        <f>954</f>
      </c>
      <c r="BH954" s="56">
        <f>F954*AO954</f>
      </c>
      <c r="BI954" s="56">
        <f>F954*AP954</f>
      </c>
      <c r="BJ954" s="56">
        <f>F954*G954</f>
      </c>
      <c r="BK954" s="56"/>
      <c r="BL954" s="56" t="n">
        <v>767</v>
      </c>
      <c r="BW954" s="56" t="n">
        <v>21</v>
      </c>
      <c r="BX954" s="14" t="s">
        <v>1634</v>
      </c>
    </row>
    <row r="955">
      <c r="A955" s="129" t="s">
        <v>1635</v>
      </c>
      <c r="B955" s="130" t="s">
        <v>1636</v>
      </c>
      <c r="C955" s="131" t="s">
        <v>1637</v>
      </c>
      <c r="D955" s="130"/>
      <c r="E955" s="130" t="s">
        <v>303</v>
      </c>
      <c r="F955" s="132" t="n">
        <v>20</v>
      </c>
      <c r="G955" s="132" t="n">
        <v>0</v>
      </c>
      <c r="H955" s="132">
        <f>F955*AO955</f>
      </c>
      <c r="I955" s="132">
        <f>F955*AP955</f>
      </c>
      <c r="J955" s="132">
        <f>F955*G955</f>
      </c>
      <c r="K955" s="133" t="s">
        <v>100</v>
      </c>
      <c r="Z955" s="56">
        <f>IF(AQ955="5",BJ955,0)</f>
      </c>
      <c r="AB955" s="56">
        <f>IF(AQ955="1",BH955,0)</f>
      </c>
      <c r="AC955" s="56">
        <f>IF(AQ955="1",BI955,0)</f>
      </c>
      <c r="AD955" s="56">
        <f>IF(AQ955="7",BH955,0)</f>
      </c>
      <c r="AE955" s="56">
        <f>IF(AQ955="7",BI955,0)</f>
      </c>
      <c r="AF955" s="56">
        <f>IF(AQ955="2",BH955,0)</f>
      </c>
      <c r="AG955" s="56">
        <f>IF(AQ955="2",BI955,0)</f>
      </c>
      <c r="AH955" s="56">
        <f>IF(AQ955="0",BJ955,0)</f>
      </c>
      <c r="AI955" s="28" t="s">
        <v>1479</v>
      </c>
      <c r="AJ955" s="56">
        <f>IF(AN955=0,J955,0)</f>
      </c>
      <c r="AK955" s="56">
        <f>IF(AN955=12,J955,0)</f>
      </c>
      <c r="AL955" s="56">
        <f>IF(AN955=21,J955,0)</f>
      </c>
      <c r="AN955" s="56" t="n">
        <v>21</v>
      </c>
      <c r="AO955" s="56">
        <f>G955*0</f>
      </c>
      <c r="AP955" s="56">
        <f>G955*(1-0)</f>
      </c>
      <c r="AQ955" s="57" t="s">
        <v>85</v>
      </c>
      <c r="AV955" s="56">
        <f>AW955+AX955</f>
      </c>
      <c r="AW955" s="56">
        <f>F955*AO955</f>
      </c>
      <c r="AX955" s="56">
        <f>F955*AP955</f>
      </c>
      <c r="AY955" s="57" t="s">
        <v>1114</v>
      </c>
      <c r="AZ955" s="57" t="s">
        <v>1631</v>
      </c>
      <c r="BA955" s="28" t="s">
        <v>1484</v>
      </c>
      <c r="BC955" s="56">
        <f>AW955+AX955</f>
      </c>
      <c r="BD955" s="56">
        <f>G955/(100-BE955)*100</f>
      </c>
      <c r="BE955" s="56" t="n">
        <v>0</v>
      </c>
      <c r="BF955" s="56">
        <f>955</f>
      </c>
      <c r="BH955" s="56">
        <f>F955*AO955</f>
      </c>
      <c r="BI955" s="56">
        <f>F955*AP955</f>
      </c>
      <c r="BJ955" s="56">
        <f>F955*G955</f>
      </c>
      <c r="BK955" s="56"/>
      <c r="BL955" s="56" t="n">
        <v>767</v>
      </c>
      <c r="BW955" s="56" t="n">
        <v>21</v>
      </c>
      <c r="BX955" s="14" t="s">
        <v>1637</v>
      </c>
    </row>
    <row r="956">
      <c r="A956" s="62" t="s">
        <v>53</v>
      </c>
      <c r="B956" s="63" t="s">
        <v>1365</v>
      </c>
      <c r="C956" s="64" t="s">
        <v>1366</v>
      </c>
      <c r="D956" s="63"/>
      <c r="E956" s="65" t="s">
        <v>34</v>
      </c>
      <c r="F956" s="65" t="s">
        <v>34</v>
      </c>
      <c r="G956" s="65" t="s">
        <v>34</v>
      </c>
      <c r="H956" s="66">
        <f>SUM(H957:H957)</f>
      </c>
      <c r="I956" s="66">
        <f>SUM(I957:I957)</f>
      </c>
      <c r="J956" s="66">
        <f>SUM(J957:J957)</f>
      </c>
      <c r="K956" s="67" t="s">
        <v>53</v>
      </c>
      <c r="AI956" s="28" t="s">
        <v>1479</v>
      </c>
      <c r="AS956" s="2">
        <f>SUM(AJ957:AJ957)</f>
      </c>
      <c r="AT956" s="2">
        <f>SUM(AK957:AK957)</f>
      </c>
      <c r="AU956" s="2">
        <f>SUM(AL957:AL957)</f>
      </c>
    </row>
    <row r="957">
      <c r="A957" s="51" t="s">
        <v>1638</v>
      </c>
      <c r="B957" s="52" t="s">
        <v>1379</v>
      </c>
      <c r="C957" s="53" t="s">
        <v>1639</v>
      </c>
      <c r="D957" s="52"/>
      <c r="E957" s="52" t="s">
        <v>130</v>
      </c>
      <c r="F957" s="54" t="n">
        <v>90.7275</v>
      </c>
      <c r="G957" s="54" t="n">
        <v>0</v>
      </c>
      <c r="H957" s="54">
        <f>F957*AO957</f>
      </c>
      <c r="I957" s="54">
        <f>F957*AP957</f>
      </c>
      <c r="J957" s="54">
        <f>F957*G957</f>
      </c>
      <c r="K957" s="55" t="s">
        <v>100</v>
      </c>
      <c r="Z957" s="56">
        <f>IF(AQ957="5",BJ957,0)</f>
      </c>
      <c r="AB957" s="56">
        <f>IF(AQ957="1",BH957,0)</f>
      </c>
      <c r="AC957" s="56">
        <f>IF(AQ957="1",BI957,0)</f>
      </c>
      <c r="AD957" s="56">
        <f>IF(AQ957="7",BH957,0)</f>
      </c>
      <c r="AE957" s="56">
        <f>IF(AQ957="7",BI957,0)</f>
      </c>
      <c r="AF957" s="56">
        <f>IF(AQ957="2",BH957,0)</f>
      </c>
      <c r="AG957" s="56">
        <f>IF(AQ957="2",BI957,0)</f>
      </c>
      <c r="AH957" s="56">
        <f>IF(AQ957="0",BJ957,0)</f>
      </c>
      <c r="AI957" s="28" t="s">
        <v>1479</v>
      </c>
      <c r="AJ957" s="56">
        <f>IF(AN957=0,J957,0)</f>
      </c>
      <c r="AK957" s="56">
        <f>IF(AN957=12,J957,0)</f>
      </c>
      <c r="AL957" s="56">
        <f>IF(AN957=21,J957,0)</f>
      </c>
      <c r="AN957" s="56" t="n">
        <v>21</v>
      </c>
      <c r="AO957" s="56">
        <f>G957*0.250330989</f>
      </c>
      <c r="AP957" s="56">
        <f>G957*(1-0.250330989)</f>
      </c>
      <c r="AQ957" s="57" t="s">
        <v>85</v>
      </c>
      <c r="AV957" s="56">
        <f>AW957+AX957</f>
      </c>
      <c r="AW957" s="56">
        <f>F957*AO957</f>
      </c>
      <c r="AX957" s="56">
        <f>F957*AP957</f>
      </c>
      <c r="AY957" s="57" t="s">
        <v>1370</v>
      </c>
      <c r="AZ957" s="57" t="s">
        <v>1640</v>
      </c>
      <c r="BA957" s="28" t="s">
        <v>1484</v>
      </c>
      <c r="BC957" s="56">
        <f>AW957+AX957</f>
      </c>
      <c r="BD957" s="56">
        <f>G957/(100-BE957)*100</f>
      </c>
      <c r="BE957" s="56" t="n">
        <v>0</v>
      </c>
      <c r="BF957" s="56">
        <f>957</f>
      </c>
      <c r="BH957" s="56">
        <f>F957*AO957</f>
      </c>
      <c r="BI957" s="56">
        <f>F957*AP957</f>
      </c>
      <c r="BJ957" s="56">
        <f>F957*G957</f>
      </c>
      <c r="BK957" s="56"/>
      <c r="BL957" s="56" t="n">
        <v>784</v>
      </c>
      <c r="BW957" s="56" t="n">
        <v>21</v>
      </c>
      <c r="BX957" s="14" t="s">
        <v>1639</v>
      </c>
    </row>
    <row r="958">
      <c r="A958" s="74"/>
      <c r="B958" s="75"/>
      <c r="C958" s="76" t="s">
        <v>1641</v>
      </c>
      <c r="D958" s="77" t="s">
        <v>1642</v>
      </c>
      <c r="E958" s="75"/>
      <c r="F958" s="78" t="n">
        <v>35.35</v>
      </c>
      <c r="G958" s="75"/>
      <c r="H958" s="75"/>
      <c r="I958" s="75"/>
      <c r="J958" s="75"/>
      <c r="K958" s="79"/>
    </row>
    <row r="959">
      <c r="A959" s="74"/>
      <c r="B959" s="75"/>
      <c r="C959" s="76" t="s">
        <v>1643</v>
      </c>
      <c r="D959" s="77" t="s">
        <v>53</v>
      </c>
      <c r="E959" s="75"/>
      <c r="F959" s="78" t="n">
        <v>21.15</v>
      </c>
      <c r="G959" s="75"/>
      <c r="H959" s="75"/>
      <c r="I959" s="75"/>
      <c r="J959" s="75"/>
      <c r="K959" s="79"/>
    </row>
    <row r="960">
      <c r="A960" s="74"/>
      <c r="B960" s="75"/>
      <c r="C960" s="76" t="s">
        <v>1644</v>
      </c>
      <c r="D960" s="77" t="s">
        <v>53</v>
      </c>
      <c r="E960" s="75"/>
      <c r="F960" s="78" t="n">
        <v>22.7625</v>
      </c>
      <c r="G960" s="75"/>
      <c r="H960" s="75"/>
      <c r="I960" s="75"/>
      <c r="J960" s="75"/>
      <c r="K960" s="79"/>
    </row>
    <row r="961">
      <c r="A961" s="74"/>
      <c r="B961" s="75"/>
      <c r="C961" s="76" t="s">
        <v>1645</v>
      </c>
      <c r="D961" s="77" t="s">
        <v>53</v>
      </c>
      <c r="E961" s="75"/>
      <c r="F961" s="78" t="n">
        <v>11.465</v>
      </c>
      <c r="G961" s="75"/>
      <c r="H961" s="75"/>
      <c r="I961" s="75"/>
      <c r="J961" s="75"/>
      <c r="K961" s="79"/>
    </row>
    <row r="962">
      <c r="A962" s="58"/>
      <c r="B962" s="80" t="s">
        <v>108</v>
      </c>
      <c r="C962" s="59" t="s">
        <v>1383</v>
      </c>
      <c r="D962" s="60"/>
      <c r="E962" s="60"/>
      <c r="F962" s="60"/>
      <c r="G962" s="60"/>
      <c r="H962" s="60"/>
      <c r="I962" s="60"/>
      <c r="J962" s="60"/>
      <c r="K962" s="61"/>
      <c r="BX962" s="81" t="s">
        <v>1383</v>
      </c>
    </row>
    <row r="963">
      <c r="A963" s="62" t="s">
        <v>53</v>
      </c>
      <c r="B963" s="63" t="s">
        <v>706</v>
      </c>
      <c r="C963" s="64" t="s">
        <v>1437</v>
      </c>
      <c r="D963" s="63"/>
      <c r="E963" s="65" t="s">
        <v>34</v>
      </c>
      <c r="F963" s="65" t="s">
        <v>34</v>
      </c>
      <c r="G963" s="65" t="s">
        <v>34</v>
      </c>
      <c r="H963" s="66">
        <f>SUM(H964:H964)</f>
      </c>
      <c r="I963" s="66">
        <f>SUM(I964:I964)</f>
      </c>
      <c r="J963" s="66">
        <f>SUM(J964:J964)</f>
      </c>
      <c r="K963" s="67" t="s">
        <v>53</v>
      </c>
      <c r="AI963" s="28" t="s">
        <v>1479</v>
      </c>
      <c r="AS963" s="2">
        <f>SUM(AJ964:AJ964)</f>
      </c>
      <c r="AT963" s="2">
        <f>SUM(AK964:AK964)</f>
      </c>
      <c r="AU963" s="2">
        <f>SUM(AL964:AL964)</f>
      </c>
    </row>
    <row r="964">
      <c r="A964" s="51" t="s">
        <v>1646</v>
      </c>
      <c r="B964" s="52" t="s">
        <v>1647</v>
      </c>
      <c r="C964" s="53" t="s">
        <v>1648</v>
      </c>
      <c r="D964" s="52"/>
      <c r="E964" s="52" t="s">
        <v>180</v>
      </c>
      <c r="F964" s="54" t="n">
        <v>1</v>
      </c>
      <c r="G964" s="54" t="n">
        <v>0</v>
      </c>
      <c r="H964" s="54">
        <f>F964*AO964</f>
      </c>
      <c r="I964" s="54">
        <f>F964*AP964</f>
      </c>
      <c r="J964" s="54">
        <f>F964*G964</f>
      </c>
      <c r="K964" s="55" t="s">
        <v>100</v>
      </c>
      <c r="Z964" s="56">
        <f>IF(AQ964="5",BJ964,0)</f>
      </c>
      <c r="AB964" s="56">
        <f>IF(AQ964="1",BH964,0)</f>
      </c>
      <c r="AC964" s="56">
        <f>IF(AQ964="1",BI964,0)</f>
      </c>
      <c r="AD964" s="56">
        <f>IF(AQ964="7",BH964,0)</f>
      </c>
      <c r="AE964" s="56">
        <f>IF(AQ964="7",BI964,0)</f>
      </c>
      <c r="AF964" s="56">
        <f>IF(AQ964="2",BH964,0)</f>
      </c>
      <c r="AG964" s="56">
        <f>IF(AQ964="2",BI964,0)</f>
      </c>
      <c r="AH964" s="56">
        <f>IF(AQ964="0",BJ964,0)</f>
      </c>
      <c r="AI964" s="28" t="s">
        <v>1479</v>
      </c>
      <c r="AJ964" s="56">
        <f>IF(AN964=0,J964,0)</f>
      </c>
      <c r="AK964" s="56">
        <f>IF(AN964=12,J964,0)</f>
      </c>
      <c r="AL964" s="56">
        <f>IF(AN964=21,J964,0)</f>
      </c>
      <c r="AN964" s="56" t="n">
        <v>21</v>
      </c>
      <c r="AO964" s="56">
        <f>G964*0.248193109</f>
      </c>
      <c r="AP964" s="56">
        <f>G964*(1-0.248193109)</f>
      </c>
      <c r="AQ964" s="57" t="s">
        <v>58</v>
      </c>
      <c r="AV964" s="56">
        <f>AW964+AX964</f>
      </c>
      <c r="AW964" s="56">
        <f>F964*AO964</f>
      </c>
      <c r="AX964" s="56">
        <f>F964*AP964</f>
      </c>
      <c r="AY964" s="57" t="s">
        <v>1441</v>
      </c>
      <c r="AZ964" s="57" t="s">
        <v>1649</v>
      </c>
      <c r="BA964" s="28" t="s">
        <v>1484</v>
      </c>
      <c r="BC964" s="56">
        <f>AW964+AX964</f>
      </c>
      <c r="BD964" s="56">
        <f>G964/(100-BE964)*100</f>
      </c>
      <c r="BE964" s="56" t="n">
        <v>0</v>
      </c>
      <c r="BF964" s="56">
        <f>964</f>
      </c>
      <c r="BH964" s="56">
        <f>F964*AO964</f>
      </c>
      <c r="BI964" s="56">
        <f>F964*AP964</f>
      </c>
      <c r="BJ964" s="56">
        <f>F964*G964</f>
      </c>
      <c r="BK964" s="56"/>
      <c r="BL964" s="56" t="n">
        <v>97</v>
      </c>
      <c r="BW964" s="56" t="n">
        <v>21</v>
      </c>
      <c r="BX964" s="14" t="s">
        <v>1648</v>
      </c>
    </row>
    <row r="965">
      <c r="A965" s="74"/>
      <c r="B965" s="75"/>
      <c r="C965" s="76" t="s">
        <v>58</v>
      </c>
      <c r="D965" s="77" t="s">
        <v>1650</v>
      </c>
      <c r="E965" s="75"/>
      <c r="F965" s="78" t="n">
        <v>1</v>
      </c>
      <c r="G965" s="75"/>
      <c r="H965" s="75"/>
      <c r="I965" s="75"/>
      <c r="J965" s="75"/>
      <c r="K965" s="79"/>
    </row>
    <row r="966">
      <c r="A966" s="101"/>
      <c r="B966" s="102" t="s">
        <v>108</v>
      </c>
      <c r="C966" s="103" t="s">
        <v>1406</v>
      </c>
      <c r="D966" s="104"/>
      <c r="E966" s="104"/>
      <c r="F966" s="104"/>
      <c r="G966" s="104"/>
      <c r="H966" s="104"/>
      <c r="I966" s="104"/>
      <c r="J966" s="104"/>
      <c r="K966" s="105"/>
      <c r="BX966" s="81" t="s">
        <v>1406</v>
      </c>
    </row>
    <row r="967">
      <c r="A967" s="124" t="s">
        <v>53</v>
      </c>
      <c r="B967" s="125" t="s">
        <v>1651</v>
      </c>
      <c r="C967" s="126" t="s">
        <v>1501</v>
      </c>
      <c r="D967" s="125"/>
      <c r="E967" s="127" t="s">
        <v>34</v>
      </c>
      <c r="F967" s="127" t="s">
        <v>34</v>
      </c>
      <c r="G967" s="127" t="s">
        <v>34</v>
      </c>
      <c r="H967" s="2">
        <f>SUM(H968:H968)</f>
      </c>
      <c r="I967" s="2">
        <f>SUM(I968:I968)</f>
      </c>
      <c r="J967" s="2">
        <f>SUM(J968:J968)</f>
      </c>
      <c r="K967" s="128" t="s">
        <v>53</v>
      </c>
      <c r="AI967" s="28" t="s">
        <v>1479</v>
      </c>
      <c r="AS967" s="2">
        <f>SUM(AJ968:AJ968)</f>
      </c>
      <c r="AT967" s="2">
        <f>SUM(AK968:AK968)</f>
      </c>
      <c r="AU967" s="2">
        <f>SUM(AL968:AL968)</f>
      </c>
    </row>
    <row r="968">
      <c r="A968" s="9" t="s">
        <v>1652</v>
      </c>
      <c r="B968" s="10" t="s">
        <v>1653</v>
      </c>
      <c r="C968" s="14" t="s">
        <v>1654</v>
      </c>
      <c r="D968" s="10"/>
      <c r="E968" s="10" t="s">
        <v>242</v>
      </c>
      <c r="F968" s="56" t="n">
        <v>0.01707</v>
      </c>
      <c r="G968" s="56" t="n">
        <v>0</v>
      </c>
      <c r="H968" s="56">
        <f>F968*AO968</f>
      </c>
      <c r="I968" s="56">
        <f>F968*AP968</f>
      </c>
      <c r="J968" s="56">
        <f>F968*G968</f>
      </c>
      <c r="K968" s="111" t="s">
        <v>100</v>
      </c>
      <c r="Z968" s="56">
        <f>IF(AQ968="5",BJ968,0)</f>
      </c>
      <c r="AB968" s="56">
        <f>IF(AQ968="1",BH968,0)</f>
      </c>
      <c r="AC968" s="56">
        <f>IF(AQ968="1",BI968,0)</f>
      </c>
      <c r="AD968" s="56">
        <f>IF(AQ968="7",BH968,0)</f>
      </c>
      <c r="AE968" s="56">
        <f>IF(AQ968="7",BI968,0)</f>
      </c>
      <c r="AF968" s="56">
        <f>IF(AQ968="2",BH968,0)</f>
      </c>
      <c r="AG968" s="56">
        <f>IF(AQ968="2",BI968,0)</f>
      </c>
      <c r="AH968" s="56">
        <f>IF(AQ968="0",BJ968,0)</f>
      </c>
      <c r="AI968" s="28" t="s">
        <v>1479</v>
      </c>
      <c r="AJ968" s="56">
        <f>IF(AN968=0,J968,0)</f>
      </c>
      <c r="AK968" s="56">
        <f>IF(AN968=12,J968,0)</f>
      </c>
      <c r="AL968" s="56">
        <f>IF(AN968=21,J968,0)</f>
      </c>
      <c r="AN968" s="56" t="n">
        <v>21</v>
      </c>
      <c r="AO968" s="56">
        <f>G968*0</f>
      </c>
      <c r="AP968" s="56">
        <f>G968*(1-0)</f>
      </c>
      <c r="AQ968" s="57" t="s">
        <v>79</v>
      </c>
      <c r="AV968" s="56">
        <f>AW968+AX968</f>
      </c>
      <c r="AW968" s="56">
        <f>F968*AO968</f>
      </c>
      <c r="AX968" s="56">
        <f>F968*AP968</f>
      </c>
      <c r="AY968" s="57" t="s">
        <v>1655</v>
      </c>
      <c r="AZ968" s="57" t="s">
        <v>1649</v>
      </c>
      <c r="BA968" s="28" t="s">
        <v>1484</v>
      </c>
      <c r="BC968" s="56">
        <f>AW968+AX968</f>
      </c>
      <c r="BD968" s="56">
        <f>G968/(100-BE968)*100</f>
      </c>
      <c r="BE968" s="56" t="n">
        <v>0</v>
      </c>
      <c r="BF968" s="56">
        <f>968</f>
      </c>
      <c r="BH968" s="56">
        <f>F968*AO968</f>
      </c>
      <c r="BI968" s="56">
        <f>F968*AP968</f>
      </c>
      <c r="BJ968" s="56">
        <f>F968*G968</f>
      </c>
      <c r="BK968" s="56"/>
      <c r="BL968" s="56"/>
      <c r="BW968" s="56" t="n">
        <v>21</v>
      </c>
      <c r="BX968" s="14" t="s">
        <v>1654</v>
      </c>
    </row>
    <row r="969">
      <c r="A969" s="124" t="s">
        <v>53</v>
      </c>
      <c r="B969" s="125" t="s">
        <v>1656</v>
      </c>
      <c r="C969" s="126" t="s">
        <v>1541</v>
      </c>
      <c r="D969" s="125"/>
      <c r="E969" s="127" t="s">
        <v>34</v>
      </c>
      <c r="F969" s="127" t="s">
        <v>34</v>
      </c>
      <c r="G969" s="127" t="s">
        <v>34</v>
      </c>
      <c r="H969" s="2">
        <f>SUM(H970:H970)</f>
      </c>
      <c r="I969" s="2">
        <f>SUM(I970:I970)</f>
      </c>
      <c r="J969" s="2">
        <f>SUM(J970:J970)</f>
      </c>
      <c r="K969" s="128" t="s">
        <v>53</v>
      </c>
      <c r="AI969" s="28" t="s">
        <v>1479</v>
      </c>
      <c r="AS969" s="2">
        <f>SUM(AJ970:AJ970)</f>
      </c>
      <c r="AT969" s="2">
        <f>SUM(AK970:AK970)</f>
      </c>
      <c r="AU969" s="2">
        <f>SUM(AL970:AL970)</f>
      </c>
    </row>
    <row r="970">
      <c r="A970" s="9" t="s">
        <v>1657</v>
      </c>
      <c r="B970" s="10" t="s">
        <v>1658</v>
      </c>
      <c r="C970" s="14" t="s">
        <v>1659</v>
      </c>
      <c r="D970" s="10"/>
      <c r="E970" s="10" t="s">
        <v>242</v>
      </c>
      <c r="F970" s="56" t="n">
        <v>0.00841</v>
      </c>
      <c r="G970" s="56" t="n">
        <v>0</v>
      </c>
      <c r="H970" s="56">
        <f>F970*AO970</f>
      </c>
      <c r="I970" s="56">
        <f>F970*AP970</f>
      </c>
      <c r="J970" s="56">
        <f>F970*G970</f>
      </c>
      <c r="K970" s="111" t="s">
        <v>100</v>
      </c>
      <c r="Z970" s="56">
        <f>IF(AQ970="5",BJ970,0)</f>
      </c>
      <c r="AB970" s="56">
        <f>IF(AQ970="1",BH970,0)</f>
      </c>
      <c r="AC970" s="56">
        <f>IF(AQ970="1",BI970,0)</f>
      </c>
      <c r="AD970" s="56">
        <f>IF(AQ970="7",BH970,0)</f>
      </c>
      <c r="AE970" s="56">
        <f>IF(AQ970="7",BI970,0)</f>
      </c>
      <c r="AF970" s="56">
        <f>IF(AQ970="2",BH970,0)</f>
      </c>
      <c r="AG970" s="56">
        <f>IF(AQ970="2",BI970,0)</f>
      </c>
      <c r="AH970" s="56">
        <f>IF(AQ970="0",BJ970,0)</f>
      </c>
      <c r="AI970" s="28" t="s">
        <v>1479</v>
      </c>
      <c r="AJ970" s="56">
        <f>IF(AN970=0,J970,0)</f>
      </c>
      <c r="AK970" s="56">
        <f>IF(AN970=12,J970,0)</f>
      </c>
      <c r="AL970" s="56">
        <f>IF(AN970=21,J970,0)</f>
      </c>
      <c r="AN970" s="56" t="n">
        <v>21</v>
      </c>
      <c r="AO970" s="56">
        <f>G970*0</f>
      </c>
      <c r="AP970" s="56">
        <f>G970*(1-0)</f>
      </c>
      <c r="AQ970" s="57" t="s">
        <v>79</v>
      </c>
      <c r="AV970" s="56">
        <f>AW970+AX970</f>
      </c>
      <c r="AW970" s="56">
        <f>F970*AO970</f>
      </c>
      <c r="AX970" s="56">
        <f>F970*AP970</f>
      </c>
      <c r="AY970" s="57" t="s">
        <v>1660</v>
      </c>
      <c r="AZ970" s="57" t="s">
        <v>1649</v>
      </c>
      <c r="BA970" s="28" t="s">
        <v>1484</v>
      </c>
      <c r="BC970" s="56">
        <f>AW970+AX970</f>
      </c>
      <c r="BD970" s="56">
        <f>G970/(100-BE970)*100</f>
      </c>
      <c r="BE970" s="56" t="n">
        <v>0</v>
      </c>
      <c r="BF970" s="56">
        <f>970</f>
      </c>
      <c r="BH970" s="56">
        <f>F970*AO970</f>
      </c>
      <c r="BI970" s="56">
        <f>F970*AP970</f>
      </c>
      <c r="BJ970" s="56">
        <f>F970*G970</f>
      </c>
      <c r="BK970" s="56"/>
      <c r="BL970" s="56"/>
      <c r="BW970" s="56" t="n">
        <v>21</v>
      </c>
      <c r="BX970" s="14" t="s">
        <v>1659</v>
      </c>
    </row>
    <row r="971">
      <c r="A971" s="124" t="s">
        <v>53</v>
      </c>
      <c r="B971" s="125" t="s">
        <v>1661</v>
      </c>
      <c r="C971" s="126" t="s">
        <v>1589</v>
      </c>
      <c r="D971" s="125"/>
      <c r="E971" s="127" t="s">
        <v>34</v>
      </c>
      <c r="F971" s="127" t="s">
        <v>34</v>
      </c>
      <c r="G971" s="127" t="s">
        <v>34</v>
      </c>
      <c r="H971" s="2">
        <f>SUM(H972:H972)</f>
      </c>
      <c r="I971" s="2">
        <f>SUM(I972:I972)</f>
      </c>
      <c r="J971" s="2">
        <f>SUM(J972:J972)</f>
      </c>
      <c r="K971" s="128" t="s">
        <v>53</v>
      </c>
      <c r="AI971" s="28" t="s">
        <v>1479</v>
      </c>
      <c r="AS971" s="2">
        <f>SUM(AJ972:AJ972)</f>
      </c>
      <c r="AT971" s="2">
        <f>SUM(AK972:AK972)</f>
      </c>
      <c r="AU971" s="2">
        <f>SUM(AL972:AL972)</f>
      </c>
    </row>
    <row r="972">
      <c r="A972" s="9" t="s">
        <v>1662</v>
      </c>
      <c r="B972" s="10" t="s">
        <v>1663</v>
      </c>
      <c r="C972" s="14" t="s">
        <v>1664</v>
      </c>
      <c r="D972" s="10"/>
      <c r="E972" s="10" t="s">
        <v>242</v>
      </c>
      <c r="F972" s="56" t="n">
        <v>0.05823</v>
      </c>
      <c r="G972" s="56" t="n">
        <v>0</v>
      </c>
      <c r="H972" s="56">
        <f>F972*AO972</f>
      </c>
      <c r="I972" s="56">
        <f>F972*AP972</f>
      </c>
      <c r="J972" s="56">
        <f>F972*G972</f>
      </c>
      <c r="K972" s="111" t="s">
        <v>100</v>
      </c>
      <c r="Z972" s="56">
        <f>IF(AQ972="5",BJ972,0)</f>
      </c>
      <c r="AB972" s="56">
        <f>IF(AQ972="1",BH972,0)</f>
      </c>
      <c r="AC972" s="56">
        <f>IF(AQ972="1",BI972,0)</f>
      </c>
      <c r="AD972" s="56">
        <f>IF(AQ972="7",BH972,0)</f>
      </c>
      <c r="AE972" s="56">
        <f>IF(AQ972="7",BI972,0)</f>
      </c>
      <c r="AF972" s="56">
        <f>IF(AQ972="2",BH972,0)</f>
      </c>
      <c r="AG972" s="56">
        <f>IF(AQ972="2",BI972,0)</f>
      </c>
      <c r="AH972" s="56">
        <f>IF(AQ972="0",BJ972,0)</f>
      </c>
      <c r="AI972" s="28" t="s">
        <v>1479</v>
      </c>
      <c r="AJ972" s="56">
        <f>IF(AN972=0,J972,0)</f>
      </c>
      <c r="AK972" s="56">
        <f>IF(AN972=12,J972,0)</f>
      </c>
      <c r="AL972" s="56">
        <f>IF(AN972=21,J972,0)</f>
      </c>
      <c r="AN972" s="56" t="n">
        <v>21</v>
      </c>
      <c r="AO972" s="56">
        <f>G972*0</f>
      </c>
      <c r="AP972" s="56">
        <f>G972*(1-0)</f>
      </c>
      <c r="AQ972" s="57" t="s">
        <v>79</v>
      </c>
      <c r="AV972" s="56">
        <f>AW972+AX972</f>
      </c>
      <c r="AW972" s="56">
        <f>F972*AO972</f>
      </c>
      <c r="AX972" s="56">
        <f>F972*AP972</f>
      </c>
      <c r="AY972" s="57" t="s">
        <v>1665</v>
      </c>
      <c r="AZ972" s="57" t="s">
        <v>1649</v>
      </c>
      <c r="BA972" s="28" t="s">
        <v>1484</v>
      </c>
      <c r="BC972" s="56">
        <f>AW972+AX972</f>
      </c>
      <c r="BD972" s="56">
        <f>G972/(100-BE972)*100</f>
      </c>
      <c r="BE972" s="56" t="n">
        <v>0</v>
      </c>
      <c r="BF972" s="56">
        <f>972</f>
      </c>
      <c r="BH972" s="56">
        <f>F972*AO972</f>
      </c>
      <c r="BI972" s="56">
        <f>F972*AP972</f>
      </c>
      <c r="BJ972" s="56">
        <f>F972*G972</f>
      </c>
      <c r="BK972" s="56"/>
      <c r="BL972" s="56"/>
      <c r="BW972" s="56" t="n">
        <v>21</v>
      </c>
      <c r="BX972" s="14" t="s">
        <v>1664</v>
      </c>
    </row>
    <row r="973">
      <c r="A973" s="124" t="s">
        <v>53</v>
      </c>
      <c r="B973" s="125" t="s">
        <v>1666</v>
      </c>
      <c r="C973" s="126" t="s">
        <v>1110</v>
      </c>
      <c r="D973" s="125"/>
      <c r="E973" s="127" t="s">
        <v>34</v>
      </c>
      <c r="F973" s="127" t="s">
        <v>34</v>
      </c>
      <c r="G973" s="127" t="s">
        <v>34</v>
      </c>
      <c r="H973" s="2">
        <f>SUM(H974:H974)</f>
      </c>
      <c r="I973" s="2">
        <f>SUM(I974:I974)</f>
      </c>
      <c r="J973" s="2">
        <f>SUM(J974:J974)</f>
      </c>
      <c r="K973" s="128" t="s">
        <v>53</v>
      </c>
      <c r="AI973" s="28" t="s">
        <v>1479</v>
      </c>
      <c r="AS973" s="2">
        <f>SUM(AJ974:AJ974)</f>
      </c>
      <c r="AT973" s="2">
        <f>SUM(AK974:AK974)</f>
      </c>
      <c r="AU973" s="2">
        <f>SUM(AL974:AL974)</f>
      </c>
    </row>
    <row r="974">
      <c r="A974" s="9" t="s">
        <v>1667</v>
      </c>
      <c r="B974" s="10" t="s">
        <v>1157</v>
      </c>
      <c r="C974" s="14" t="s">
        <v>1158</v>
      </c>
      <c r="D974" s="10"/>
      <c r="E974" s="10" t="s">
        <v>242</v>
      </c>
      <c r="F974" s="56" t="n">
        <v>0.0212</v>
      </c>
      <c r="G974" s="56" t="n">
        <v>0</v>
      </c>
      <c r="H974" s="56">
        <f>F974*AO974</f>
      </c>
      <c r="I974" s="56">
        <f>F974*AP974</f>
      </c>
      <c r="J974" s="56">
        <f>F974*G974</f>
      </c>
      <c r="K974" s="111" t="s">
        <v>100</v>
      </c>
      <c r="Z974" s="56">
        <f>IF(AQ974="5",BJ974,0)</f>
      </c>
      <c r="AB974" s="56">
        <f>IF(AQ974="1",BH974,0)</f>
      </c>
      <c r="AC974" s="56">
        <f>IF(AQ974="1",BI974,0)</f>
      </c>
      <c r="AD974" s="56">
        <f>IF(AQ974="7",BH974,0)</f>
      </c>
      <c r="AE974" s="56">
        <f>IF(AQ974="7",BI974,0)</f>
      </c>
      <c r="AF974" s="56">
        <f>IF(AQ974="2",BH974,0)</f>
      </c>
      <c r="AG974" s="56">
        <f>IF(AQ974="2",BI974,0)</f>
      </c>
      <c r="AH974" s="56">
        <f>IF(AQ974="0",BJ974,0)</f>
      </c>
      <c r="AI974" s="28" t="s">
        <v>1479</v>
      </c>
      <c r="AJ974" s="56">
        <f>IF(AN974=0,J974,0)</f>
      </c>
      <c r="AK974" s="56">
        <f>IF(AN974=12,J974,0)</f>
      </c>
      <c r="AL974" s="56">
        <f>IF(AN974=21,J974,0)</f>
      </c>
      <c r="AN974" s="56" t="n">
        <v>21</v>
      </c>
      <c r="AO974" s="56">
        <f>G974*0</f>
      </c>
      <c r="AP974" s="56">
        <f>G974*(1-0)</f>
      </c>
      <c r="AQ974" s="57" t="s">
        <v>79</v>
      </c>
      <c r="AV974" s="56">
        <f>AW974+AX974</f>
      </c>
      <c r="AW974" s="56">
        <f>F974*AO974</f>
      </c>
      <c r="AX974" s="56">
        <f>F974*AP974</f>
      </c>
      <c r="AY974" s="57" t="s">
        <v>1668</v>
      </c>
      <c r="AZ974" s="57" t="s">
        <v>1649</v>
      </c>
      <c r="BA974" s="28" t="s">
        <v>1484</v>
      </c>
      <c r="BC974" s="56">
        <f>AW974+AX974</f>
      </c>
      <c r="BD974" s="56">
        <f>G974/(100-BE974)*100</f>
      </c>
      <c r="BE974" s="56" t="n">
        <v>0</v>
      </c>
      <c r="BF974" s="56">
        <f>974</f>
      </c>
      <c r="BH974" s="56">
        <f>F974*AO974</f>
      </c>
      <c r="BI974" s="56">
        <f>F974*AP974</f>
      </c>
      <c r="BJ974" s="56">
        <f>F974*G974</f>
      </c>
      <c r="BK974" s="56"/>
      <c r="BL974" s="56"/>
      <c r="BW974" s="56" t="n">
        <v>21</v>
      </c>
      <c r="BX974" s="14" t="s">
        <v>1158</v>
      </c>
    </row>
    <row r="975">
      <c r="A975" s="124" t="s">
        <v>53</v>
      </c>
      <c r="B975" s="125" t="s">
        <v>53</v>
      </c>
      <c r="C975" s="126" t="s">
        <v>1669</v>
      </c>
      <c r="D975" s="125"/>
      <c r="E975" s="127" t="s">
        <v>34</v>
      </c>
      <c r="F975" s="127" t="s">
        <v>34</v>
      </c>
      <c r="G975" s="127" t="s">
        <v>34</v>
      </c>
      <c r="H975" s="2">
        <f>SUM(H976:H979)</f>
      </c>
      <c r="I975" s="2">
        <f>SUM(I976:I979)</f>
      </c>
      <c r="J975" s="2">
        <f>SUM(J976:J979)</f>
      </c>
      <c r="K975" s="128" t="s">
        <v>53</v>
      </c>
      <c r="AI975" s="28" t="s">
        <v>1479</v>
      </c>
      <c r="AS975" s="2">
        <f>SUM(AJ976:AJ979)</f>
      </c>
      <c r="AT975" s="2">
        <f>SUM(AK976:AK979)</f>
      </c>
      <c r="AU975" s="2">
        <f>SUM(AL976:AL979)</f>
      </c>
    </row>
    <row r="976">
      <c r="A976" s="9" t="s">
        <v>1670</v>
      </c>
      <c r="B976" s="10" t="s">
        <v>1671</v>
      </c>
      <c r="C976" s="14" t="s">
        <v>1672</v>
      </c>
      <c r="D976" s="10"/>
      <c r="E976" s="10" t="s">
        <v>1454</v>
      </c>
      <c r="F976" s="56" t="n">
        <v>16</v>
      </c>
      <c r="G976" s="56" t="n">
        <v>0</v>
      </c>
      <c r="H976" s="56">
        <f>F976*AO976</f>
      </c>
      <c r="I976" s="56">
        <f>F976*AP976</f>
      </c>
      <c r="J976" s="56">
        <f>F976*G976</f>
      </c>
      <c r="K976" s="111" t="s">
        <v>100</v>
      </c>
      <c r="Z976" s="56">
        <f>IF(AQ976="5",BJ976,0)</f>
      </c>
      <c r="AB976" s="56">
        <f>IF(AQ976="1",BH976,0)</f>
      </c>
      <c r="AC976" s="56">
        <f>IF(AQ976="1",BI976,0)</f>
      </c>
      <c r="AD976" s="56">
        <f>IF(AQ976="7",BH976,0)</f>
      </c>
      <c r="AE976" s="56">
        <f>IF(AQ976="7",BI976,0)</f>
      </c>
      <c r="AF976" s="56">
        <f>IF(AQ976="2",BH976,0)</f>
      </c>
      <c r="AG976" s="56">
        <f>IF(AQ976="2",BI976,0)</f>
      </c>
      <c r="AH976" s="56">
        <f>IF(AQ976="0",BJ976,0)</f>
      </c>
      <c r="AI976" s="28" t="s">
        <v>1479</v>
      </c>
      <c r="AJ976" s="56">
        <f>IF(AN976=0,J976,0)</f>
      </c>
      <c r="AK976" s="56">
        <f>IF(AN976=12,J976,0)</f>
      </c>
      <c r="AL976" s="56">
        <f>IF(AN976=21,J976,0)</f>
      </c>
      <c r="AN976" s="56" t="n">
        <v>21</v>
      </c>
      <c r="AO976" s="56">
        <f>G976*0</f>
      </c>
      <c r="AP976" s="56">
        <f>G976*(1-0)</f>
      </c>
      <c r="AQ976" s="57" t="s">
        <v>58</v>
      </c>
      <c r="AV976" s="56">
        <f>AW976+AX976</f>
      </c>
      <c r="AW976" s="56">
        <f>F976*AO976</f>
      </c>
      <c r="AX976" s="56">
        <f>F976*AP976</f>
      </c>
      <c r="AY976" s="57" t="s">
        <v>1673</v>
      </c>
      <c r="AZ976" s="57" t="s">
        <v>1674</v>
      </c>
      <c r="BA976" s="28" t="s">
        <v>1484</v>
      </c>
      <c r="BC976" s="56">
        <f>AW976+AX976</f>
      </c>
      <c r="BD976" s="56">
        <f>G976/(100-BE976)*100</f>
      </c>
      <c r="BE976" s="56" t="n">
        <v>0</v>
      </c>
      <c r="BF976" s="56">
        <f>976</f>
      </c>
      <c r="BH976" s="56">
        <f>F976*AO976</f>
      </c>
      <c r="BI976" s="56">
        <f>F976*AP976</f>
      </c>
      <c r="BJ976" s="56">
        <f>F976*G976</f>
      </c>
      <c r="BK976" s="56"/>
      <c r="BL976" s="56"/>
      <c r="BW976" s="56" t="n">
        <v>21</v>
      </c>
      <c r="BX976" s="14" t="s">
        <v>1672</v>
      </c>
    </row>
    <row r="977">
      <c r="A977" s="9" t="s">
        <v>1675</v>
      </c>
      <c r="B977" s="10" t="s">
        <v>1676</v>
      </c>
      <c r="C977" s="14" t="s">
        <v>1677</v>
      </c>
      <c r="D977" s="10"/>
      <c r="E977" s="10" t="s">
        <v>1454</v>
      </c>
      <c r="F977" s="56" t="n">
        <v>8</v>
      </c>
      <c r="G977" s="56" t="n">
        <v>0</v>
      </c>
      <c r="H977" s="56">
        <f>F977*AO977</f>
      </c>
      <c r="I977" s="56">
        <f>F977*AP977</f>
      </c>
      <c r="J977" s="56">
        <f>F977*G977</f>
      </c>
      <c r="K977" s="111" t="s">
        <v>100</v>
      </c>
      <c r="Z977" s="56">
        <f>IF(AQ977="5",BJ977,0)</f>
      </c>
      <c r="AB977" s="56">
        <f>IF(AQ977="1",BH977,0)</f>
      </c>
      <c r="AC977" s="56">
        <f>IF(AQ977="1",BI977,0)</f>
      </c>
      <c r="AD977" s="56">
        <f>IF(AQ977="7",BH977,0)</f>
      </c>
      <c r="AE977" s="56">
        <f>IF(AQ977="7",BI977,0)</f>
      </c>
      <c r="AF977" s="56">
        <f>IF(AQ977="2",BH977,0)</f>
      </c>
      <c r="AG977" s="56">
        <f>IF(AQ977="2",BI977,0)</f>
      </c>
      <c r="AH977" s="56">
        <f>IF(AQ977="0",BJ977,0)</f>
      </c>
      <c r="AI977" s="28" t="s">
        <v>1479</v>
      </c>
      <c r="AJ977" s="56">
        <f>IF(AN977=0,J977,0)</f>
      </c>
      <c r="AK977" s="56">
        <f>IF(AN977=12,J977,0)</f>
      </c>
      <c r="AL977" s="56">
        <f>IF(AN977=21,J977,0)</f>
      </c>
      <c r="AN977" s="56" t="n">
        <v>21</v>
      </c>
      <c r="AO977" s="56">
        <f>G977*0</f>
      </c>
      <c r="AP977" s="56">
        <f>G977*(1-0)</f>
      </c>
      <c r="AQ977" s="57" t="s">
        <v>58</v>
      </c>
      <c r="AV977" s="56">
        <f>AW977+AX977</f>
      </c>
      <c r="AW977" s="56">
        <f>F977*AO977</f>
      </c>
      <c r="AX977" s="56">
        <f>F977*AP977</f>
      </c>
      <c r="AY977" s="57" t="s">
        <v>1673</v>
      </c>
      <c r="AZ977" s="57" t="s">
        <v>1674</v>
      </c>
      <c r="BA977" s="28" t="s">
        <v>1484</v>
      </c>
      <c r="BC977" s="56">
        <f>AW977+AX977</f>
      </c>
      <c r="BD977" s="56">
        <f>G977/(100-BE977)*100</f>
      </c>
      <c r="BE977" s="56" t="n">
        <v>0</v>
      </c>
      <c r="BF977" s="56">
        <f>977</f>
      </c>
      <c r="BH977" s="56">
        <f>F977*AO977</f>
      </c>
      <c r="BI977" s="56">
        <f>F977*AP977</f>
      </c>
      <c r="BJ977" s="56">
        <f>F977*G977</f>
      </c>
      <c r="BK977" s="56"/>
      <c r="BL977" s="56"/>
      <c r="BW977" s="56" t="n">
        <v>21</v>
      </c>
      <c r="BX977" s="14" t="s">
        <v>1677</v>
      </c>
    </row>
    <row r="978">
      <c r="A978" s="9" t="s">
        <v>1678</v>
      </c>
      <c r="B978" s="10" t="s">
        <v>1679</v>
      </c>
      <c r="C978" s="14" t="s">
        <v>1680</v>
      </c>
      <c r="D978" s="10"/>
      <c r="E978" s="10" t="s">
        <v>1454</v>
      </c>
      <c r="F978" s="56" t="n">
        <v>8</v>
      </c>
      <c r="G978" s="56" t="n">
        <v>0</v>
      </c>
      <c r="H978" s="56">
        <f>F978*AO978</f>
      </c>
      <c r="I978" s="56">
        <f>F978*AP978</f>
      </c>
      <c r="J978" s="56">
        <f>F978*G978</f>
      </c>
      <c r="K978" s="111" t="s">
        <v>100</v>
      </c>
      <c r="Z978" s="56">
        <f>IF(AQ978="5",BJ978,0)</f>
      </c>
      <c r="AB978" s="56">
        <f>IF(AQ978="1",BH978,0)</f>
      </c>
      <c r="AC978" s="56">
        <f>IF(AQ978="1",BI978,0)</f>
      </c>
      <c r="AD978" s="56">
        <f>IF(AQ978="7",BH978,0)</f>
      </c>
      <c r="AE978" s="56">
        <f>IF(AQ978="7",BI978,0)</f>
      </c>
      <c r="AF978" s="56">
        <f>IF(AQ978="2",BH978,0)</f>
      </c>
      <c r="AG978" s="56">
        <f>IF(AQ978="2",BI978,0)</f>
      </c>
      <c r="AH978" s="56">
        <f>IF(AQ978="0",BJ978,0)</f>
      </c>
      <c r="AI978" s="28" t="s">
        <v>1479</v>
      </c>
      <c r="AJ978" s="56">
        <f>IF(AN978=0,J978,0)</f>
      </c>
      <c r="AK978" s="56">
        <f>IF(AN978=12,J978,0)</f>
      </c>
      <c r="AL978" s="56">
        <f>IF(AN978=21,J978,0)</f>
      </c>
      <c r="AN978" s="56" t="n">
        <v>21</v>
      </c>
      <c r="AO978" s="56">
        <f>G978*0</f>
      </c>
      <c r="AP978" s="56">
        <f>G978*(1-0)</f>
      </c>
      <c r="AQ978" s="57" t="s">
        <v>58</v>
      </c>
      <c r="AV978" s="56">
        <f>AW978+AX978</f>
      </c>
      <c r="AW978" s="56">
        <f>F978*AO978</f>
      </c>
      <c r="AX978" s="56">
        <f>F978*AP978</f>
      </c>
      <c r="AY978" s="57" t="s">
        <v>1673</v>
      </c>
      <c r="AZ978" s="57" t="s">
        <v>1674</v>
      </c>
      <c r="BA978" s="28" t="s">
        <v>1484</v>
      </c>
      <c r="BC978" s="56">
        <f>AW978+AX978</f>
      </c>
      <c r="BD978" s="56">
        <f>G978/(100-BE978)*100</f>
      </c>
      <c r="BE978" s="56" t="n">
        <v>0</v>
      </c>
      <c r="BF978" s="56">
        <f>978</f>
      </c>
      <c r="BH978" s="56">
        <f>F978*AO978</f>
      </c>
      <c r="BI978" s="56">
        <f>F978*AP978</f>
      </c>
      <c r="BJ978" s="56">
        <f>F978*G978</f>
      </c>
      <c r="BK978" s="56"/>
      <c r="BL978" s="56"/>
      <c r="BW978" s="56" t="n">
        <v>21</v>
      </c>
      <c r="BX978" s="14" t="s">
        <v>1680</v>
      </c>
    </row>
    <row r="979">
      <c r="A979" s="9" t="s">
        <v>1681</v>
      </c>
      <c r="B979" s="10" t="s">
        <v>1682</v>
      </c>
      <c r="C979" s="14" t="s">
        <v>1683</v>
      </c>
      <c r="D979" s="10"/>
      <c r="E979" s="10" t="s">
        <v>1454</v>
      </c>
      <c r="F979" s="56" t="n">
        <v>8</v>
      </c>
      <c r="G979" s="56" t="n">
        <v>0</v>
      </c>
      <c r="H979" s="56">
        <f>F979*AO979</f>
      </c>
      <c r="I979" s="56">
        <f>F979*AP979</f>
      </c>
      <c r="J979" s="56">
        <f>F979*G979</f>
      </c>
      <c r="K979" s="111" t="s">
        <v>100</v>
      </c>
      <c r="Z979" s="56">
        <f>IF(AQ979="5",BJ979,0)</f>
      </c>
      <c r="AB979" s="56">
        <f>IF(AQ979="1",BH979,0)</f>
      </c>
      <c r="AC979" s="56">
        <f>IF(AQ979="1",BI979,0)</f>
      </c>
      <c r="AD979" s="56">
        <f>IF(AQ979="7",BH979,0)</f>
      </c>
      <c r="AE979" s="56">
        <f>IF(AQ979="7",BI979,0)</f>
      </c>
      <c r="AF979" s="56">
        <f>IF(AQ979="2",BH979,0)</f>
      </c>
      <c r="AG979" s="56">
        <f>IF(AQ979="2",BI979,0)</f>
      </c>
      <c r="AH979" s="56">
        <f>IF(AQ979="0",BJ979,0)</f>
      </c>
      <c r="AI979" s="28" t="s">
        <v>1479</v>
      </c>
      <c r="AJ979" s="56">
        <f>IF(AN979=0,J979,0)</f>
      </c>
      <c r="AK979" s="56">
        <f>IF(AN979=12,J979,0)</f>
      </c>
      <c r="AL979" s="56">
        <f>IF(AN979=21,J979,0)</f>
      </c>
      <c r="AN979" s="56" t="n">
        <v>21</v>
      </c>
      <c r="AO979" s="56">
        <f>G979*0</f>
      </c>
      <c r="AP979" s="56">
        <f>G979*(1-0)</f>
      </c>
      <c r="AQ979" s="57" t="s">
        <v>58</v>
      </c>
      <c r="AV979" s="56">
        <f>AW979+AX979</f>
      </c>
      <c r="AW979" s="56">
        <f>F979*AO979</f>
      </c>
      <c r="AX979" s="56">
        <f>F979*AP979</f>
      </c>
      <c r="AY979" s="57" t="s">
        <v>1673</v>
      </c>
      <c r="AZ979" s="57" t="s">
        <v>1674</v>
      </c>
      <c r="BA979" s="28" t="s">
        <v>1484</v>
      </c>
      <c r="BC979" s="56">
        <f>AW979+AX979</f>
      </c>
      <c r="BD979" s="56">
        <f>G979/(100-BE979)*100</f>
      </c>
      <c r="BE979" s="56" t="n">
        <v>0</v>
      </c>
      <c r="BF979" s="56">
        <f>979</f>
      </c>
      <c r="BH979" s="56">
        <f>F979*AO979</f>
      </c>
      <c r="BI979" s="56">
        <f>F979*AP979</f>
      </c>
      <c r="BJ979" s="56">
        <f>F979*G979</f>
      </c>
      <c r="BK979" s="56"/>
      <c r="BL979" s="56"/>
      <c r="BW979" s="56" t="n">
        <v>21</v>
      </c>
      <c r="BX979" s="14" t="s">
        <v>1683</v>
      </c>
    </row>
    <row r="980">
      <c r="A980" s="134" t="s">
        <v>53</v>
      </c>
      <c r="B980" s="135" t="s">
        <v>53</v>
      </c>
      <c r="C980" s="136" t="s">
        <v>1684</v>
      </c>
      <c r="D980" s="135"/>
      <c r="E980" s="137" t="s">
        <v>34</v>
      </c>
      <c r="F980" s="137" t="s">
        <v>34</v>
      </c>
      <c r="G980" s="137" t="s">
        <v>34</v>
      </c>
      <c r="H980" s="138">
        <f>H981+H986+H991+H997+H1004+H1010+H1013+H1017+H1021+H1028+H1030+H1032+H1034+H1036+H1038</f>
      </c>
      <c r="I980" s="138">
        <f>I981+I986+I991+I997+I1004+I1010+I1013+I1017+I1021+I1028+I1030+I1032+I1034+I1036+I1038</f>
      </c>
      <c r="J980" s="138">
        <f>J981+J986+J991+J997+J1004+J1010+J1013+J1017+J1021+J1028+J1030+J1032+J1034+J1036+J1038</f>
      </c>
      <c r="K980" s="139" t="s">
        <v>53</v>
      </c>
    </row>
    <row r="981">
      <c r="A981" s="62" t="s">
        <v>53</v>
      </c>
      <c r="B981" s="63" t="s">
        <v>308</v>
      </c>
      <c r="C981" s="64" t="s">
        <v>309</v>
      </c>
      <c r="D981" s="63"/>
      <c r="E981" s="65" t="s">
        <v>34</v>
      </c>
      <c r="F981" s="65" t="s">
        <v>34</v>
      </c>
      <c r="G981" s="65" t="s">
        <v>34</v>
      </c>
      <c r="H981" s="66">
        <f>SUM(H982:H982)</f>
      </c>
      <c r="I981" s="66">
        <f>SUM(I982:I982)</f>
      </c>
      <c r="J981" s="66">
        <f>SUM(J982:J982)</f>
      </c>
      <c r="K981" s="67" t="s">
        <v>53</v>
      </c>
      <c r="AI981" s="28" t="s">
        <v>1685</v>
      </c>
      <c r="AS981" s="2">
        <f>SUM(AJ982:AJ982)</f>
      </c>
      <c r="AT981" s="2">
        <f>SUM(AK982:AK982)</f>
      </c>
      <c r="AU981" s="2">
        <f>SUM(AL982:AL982)</f>
      </c>
    </row>
    <row r="982">
      <c r="A982" s="51" t="s">
        <v>1686</v>
      </c>
      <c r="B982" s="52" t="s">
        <v>1481</v>
      </c>
      <c r="C982" s="53" t="s">
        <v>1482</v>
      </c>
      <c r="D982" s="52"/>
      <c r="E982" s="52" t="s">
        <v>180</v>
      </c>
      <c r="F982" s="54" t="n">
        <v>5</v>
      </c>
      <c r="G982" s="54" t="n">
        <v>0</v>
      </c>
      <c r="H982" s="54">
        <f>F982*AO982</f>
      </c>
      <c r="I982" s="54">
        <f>F982*AP982</f>
      </c>
      <c r="J982" s="54">
        <f>F982*G982</f>
      </c>
      <c r="K982" s="55" t="s">
        <v>100</v>
      </c>
      <c r="Z982" s="56">
        <f>IF(AQ982="5",BJ982,0)</f>
      </c>
      <c r="AB982" s="56">
        <f>IF(AQ982="1",BH982,0)</f>
      </c>
      <c r="AC982" s="56">
        <f>IF(AQ982="1",BI982,0)</f>
      </c>
      <c r="AD982" s="56">
        <f>IF(AQ982="7",BH982,0)</f>
      </c>
      <c r="AE982" s="56">
        <f>IF(AQ982="7",BI982,0)</f>
      </c>
      <c r="AF982" s="56">
        <f>IF(AQ982="2",BH982,0)</f>
      </c>
      <c r="AG982" s="56">
        <f>IF(AQ982="2",BI982,0)</f>
      </c>
      <c r="AH982" s="56">
        <f>IF(AQ982="0",BJ982,0)</f>
      </c>
      <c r="AI982" s="28" t="s">
        <v>1685</v>
      </c>
      <c r="AJ982" s="56">
        <f>IF(AN982=0,J982,0)</f>
      </c>
      <c r="AK982" s="56">
        <f>IF(AN982=12,J982,0)</f>
      </c>
      <c r="AL982" s="56">
        <f>IF(AN982=21,J982,0)</f>
      </c>
      <c r="AN982" s="56" t="n">
        <v>21</v>
      </c>
      <c r="AO982" s="56">
        <f>G982*0.228348214</f>
      </c>
      <c r="AP982" s="56">
        <f>G982*(1-0.228348214)</f>
      </c>
      <c r="AQ982" s="57" t="s">
        <v>58</v>
      </c>
      <c r="AV982" s="56">
        <f>AW982+AX982</f>
      </c>
      <c r="AW982" s="56">
        <f>F982*AO982</f>
      </c>
      <c r="AX982" s="56">
        <f>F982*AP982</f>
      </c>
      <c r="AY982" s="57" t="s">
        <v>313</v>
      </c>
      <c r="AZ982" s="57" t="s">
        <v>1687</v>
      </c>
      <c r="BA982" s="28" t="s">
        <v>1688</v>
      </c>
      <c r="BC982" s="56">
        <f>AW982+AX982</f>
      </c>
      <c r="BD982" s="56">
        <f>G982/(100-BE982)*100</f>
      </c>
      <c r="BE982" s="56" t="n">
        <v>0</v>
      </c>
      <c r="BF982" s="56">
        <f>982</f>
      </c>
      <c r="BH982" s="56">
        <f>F982*AO982</f>
      </c>
      <c r="BI982" s="56">
        <f>F982*AP982</f>
      </c>
      <c r="BJ982" s="56">
        <f>F982*G982</f>
      </c>
      <c r="BK982" s="56"/>
      <c r="BL982" s="56" t="n">
        <v>61</v>
      </c>
      <c r="BW982" s="56" t="n">
        <v>21</v>
      </c>
      <c r="BX982" s="14" t="s">
        <v>1482</v>
      </c>
    </row>
    <row r="983" customHeight="true" ht="13.5">
      <c r="A983" s="58"/>
      <c r="C983" s="59" t="s">
        <v>1485</v>
      </c>
      <c r="D983" s="60"/>
      <c r="E983" s="60"/>
      <c r="F983" s="60"/>
      <c r="G983" s="60"/>
      <c r="H983" s="60"/>
      <c r="I983" s="60"/>
      <c r="J983" s="60"/>
      <c r="K983" s="61"/>
    </row>
    <row r="984">
      <c r="A984" s="68"/>
      <c r="B984" s="69"/>
      <c r="C984" s="70" t="s">
        <v>79</v>
      </c>
      <c r="D984" s="71" t="s">
        <v>1689</v>
      </c>
      <c r="E984" s="69"/>
      <c r="F984" s="72" t="n">
        <v>5</v>
      </c>
      <c r="G984" s="69"/>
      <c r="H984" s="69"/>
      <c r="I984" s="69"/>
      <c r="J984" s="69"/>
      <c r="K984" s="73"/>
    </row>
    <row r="985">
      <c r="A985" s="101"/>
      <c r="B985" s="102" t="s">
        <v>108</v>
      </c>
      <c r="C985" s="103" t="s">
        <v>1487</v>
      </c>
      <c r="D985" s="104"/>
      <c r="E985" s="104"/>
      <c r="F985" s="104"/>
      <c r="G985" s="104"/>
      <c r="H985" s="104"/>
      <c r="I985" s="104"/>
      <c r="J985" s="104"/>
      <c r="K985" s="105"/>
      <c r="BX985" s="81" t="s">
        <v>1487</v>
      </c>
    </row>
    <row r="986">
      <c r="A986" s="124" t="s">
        <v>53</v>
      </c>
      <c r="B986" s="125" t="s">
        <v>381</v>
      </c>
      <c r="C986" s="126" t="s">
        <v>382</v>
      </c>
      <c r="D986" s="125"/>
      <c r="E986" s="127" t="s">
        <v>34</v>
      </c>
      <c r="F986" s="127" t="s">
        <v>34</v>
      </c>
      <c r="G986" s="127" t="s">
        <v>34</v>
      </c>
      <c r="H986" s="2">
        <f>SUM(H987:H990)</f>
      </c>
      <c r="I986" s="2">
        <f>SUM(I987:I990)</f>
      </c>
      <c r="J986" s="2">
        <f>SUM(J987:J990)</f>
      </c>
      <c r="K986" s="128" t="s">
        <v>53</v>
      </c>
      <c r="AI986" s="28" t="s">
        <v>1685</v>
      </c>
      <c r="AS986" s="2">
        <f>SUM(AJ987:AJ990)</f>
      </c>
      <c r="AT986" s="2">
        <f>SUM(AK987:AK990)</f>
      </c>
      <c r="AU986" s="2">
        <f>SUM(AL987:AL990)</f>
      </c>
    </row>
    <row r="987">
      <c r="A987" s="9" t="s">
        <v>1690</v>
      </c>
      <c r="B987" s="10" t="s">
        <v>1691</v>
      </c>
      <c r="C987" s="14" t="s">
        <v>1692</v>
      </c>
      <c r="D987" s="10"/>
      <c r="E987" s="10" t="s">
        <v>393</v>
      </c>
      <c r="F987" s="56" t="n">
        <v>12</v>
      </c>
      <c r="G987" s="56" t="n">
        <v>0</v>
      </c>
      <c r="H987" s="56">
        <f>F987*AO987</f>
      </c>
      <c r="I987" s="56">
        <f>F987*AP987</f>
      </c>
      <c r="J987" s="56">
        <f>F987*G987</f>
      </c>
      <c r="K987" s="111" t="s">
        <v>100</v>
      </c>
      <c r="Z987" s="56">
        <f>IF(AQ987="5",BJ987,0)</f>
      </c>
      <c r="AB987" s="56">
        <f>IF(AQ987="1",BH987,0)</f>
      </c>
      <c r="AC987" s="56">
        <f>IF(AQ987="1",BI987,0)</f>
      </c>
      <c r="AD987" s="56">
        <f>IF(AQ987="7",BH987,0)</f>
      </c>
      <c r="AE987" s="56">
        <f>IF(AQ987="7",BI987,0)</f>
      </c>
      <c r="AF987" s="56">
        <f>IF(AQ987="2",BH987,0)</f>
      </c>
      <c r="AG987" s="56">
        <f>IF(AQ987="2",BI987,0)</f>
      </c>
      <c r="AH987" s="56">
        <f>IF(AQ987="0",BJ987,0)</f>
      </c>
      <c r="AI987" s="28" t="s">
        <v>1685</v>
      </c>
      <c r="AJ987" s="56">
        <f>IF(AN987=0,J987,0)</f>
      </c>
      <c r="AK987" s="56">
        <f>IF(AN987=12,J987,0)</f>
      </c>
      <c r="AL987" s="56">
        <f>IF(AN987=21,J987,0)</f>
      </c>
      <c r="AN987" s="56" t="n">
        <v>21</v>
      </c>
      <c r="AO987" s="56">
        <f>G987*0</f>
      </c>
      <c r="AP987" s="56">
        <f>G987*(1-0)</f>
      </c>
      <c r="AQ987" s="57" t="s">
        <v>85</v>
      </c>
      <c r="AV987" s="56">
        <f>AW987+AX987</f>
      </c>
      <c r="AW987" s="56">
        <f>F987*AO987</f>
      </c>
      <c r="AX987" s="56">
        <f>F987*AP987</f>
      </c>
      <c r="AY987" s="57" t="s">
        <v>386</v>
      </c>
      <c r="AZ987" s="57" t="s">
        <v>1693</v>
      </c>
      <c r="BA987" s="28" t="s">
        <v>1688</v>
      </c>
      <c r="BC987" s="56">
        <f>AW987+AX987</f>
      </c>
      <c r="BD987" s="56">
        <f>G987/(100-BE987)*100</f>
      </c>
      <c r="BE987" s="56" t="n">
        <v>0</v>
      </c>
      <c r="BF987" s="56">
        <f>987</f>
      </c>
      <c r="BH987" s="56">
        <f>F987*AO987</f>
      </c>
      <c r="BI987" s="56">
        <f>F987*AP987</f>
      </c>
      <c r="BJ987" s="56">
        <f>F987*G987</f>
      </c>
      <c r="BK987" s="56"/>
      <c r="BL987" s="56" t="n">
        <v>713</v>
      </c>
      <c r="BW987" s="56" t="n">
        <v>21</v>
      </c>
      <c r="BX987" s="14" t="s">
        <v>1692</v>
      </c>
    </row>
    <row r="988">
      <c r="A988" s="9" t="s">
        <v>1694</v>
      </c>
      <c r="B988" s="10" t="s">
        <v>1695</v>
      </c>
      <c r="C988" s="14" t="s">
        <v>1696</v>
      </c>
      <c r="D988" s="10"/>
      <c r="E988" s="10" t="s">
        <v>393</v>
      </c>
      <c r="F988" s="56" t="n">
        <v>12</v>
      </c>
      <c r="G988" s="56" t="n">
        <v>0</v>
      </c>
      <c r="H988" s="56">
        <f>F988*AO988</f>
      </c>
      <c r="I988" s="56">
        <f>F988*AP988</f>
      </c>
      <c r="J988" s="56">
        <f>F988*G988</f>
      </c>
      <c r="K988" s="111" t="s">
        <v>100</v>
      </c>
      <c r="Z988" s="56">
        <f>IF(AQ988="5",BJ988,0)</f>
      </c>
      <c r="AB988" s="56">
        <f>IF(AQ988="1",BH988,0)</f>
      </c>
      <c r="AC988" s="56">
        <f>IF(AQ988="1",BI988,0)</f>
      </c>
      <c r="AD988" s="56">
        <f>IF(AQ988="7",BH988,0)</f>
      </c>
      <c r="AE988" s="56">
        <f>IF(AQ988="7",BI988,0)</f>
      </c>
      <c r="AF988" s="56">
        <f>IF(AQ988="2",BH988,0)</f>
      </c>
      <c r="AG988" s="56">
        <f>IF(AQ988="2",BI988,0)</f>
      </c>
      <c r="AH988" s="56">
        <f>IF(AQ988="0",BJ988,0)</f>
      </c>
      <c r="AI988" s="28" t="s">
        <v>1685</v>
      </c>
      <c r="AJ988" s="56">
        <f>IF(AN988=0,J988,0)</f>
      </c>
      <c r="AK988" s="56">
        <f>IF(AN988=12,J988,0)</f>
      </c>
      <c r="AL988" s="56">
        <f>IF(AN988=21,J988,0)</f>
      </c>
      <c r="AN988" s="56" t="n">
        <v>21</v>
      </c>
      <c r="AO988" s="56">
        <f>G988*0</f>
      </c>
      <c r="AP988" s="56">
        <f>G988*(1-0)</f>
      </c>
      <c r="AQ988" s="57" t="s">
        <v>85</v>
      </c>
      <c r="AV988" s="56">
        <f>AW988+AX988</f>
      </c>
      <c r="AW988" s="56">
        <f>F988*AO988</f>
      </c>
      <c r="AX988" s="56">
        <f>F988*AP988</f>
      </c>
      <c r="AY988" s="57" t="s">
        <v>386</v>
      </c>
      <c r="AZ988" s="57" t="s">
        <v>1693</v>
      </c>
      <c r="BA988" s="28" t="s">
        <v>1688</v>
      </c>
      <c r="BC988" s="56">
        <f>AW988+AX988</f>
      </c>
      <c r="BD988" s="56">
        <f>G988/(100-BE988)*100</f>
      </c>
      <c r="BE988" s="56" t="n">
        <v>0</v>
      </c>
      <c r="BF988" s="56">
        <f>988</f>
      </c>
      <c r="BH988" s="56">
        <f>F988*AO988</f>
      </c>
      <c r="BI988" s="56">
        <f>F988*AP988</f>
      </c>
      <c r="BJ988" s="56">
        <f>F988*G988</f>
      </c>
      <c r="BK988" s="56"/>
      <c r="BL988" s="56" t="n">
        <v>713</v>
      </c>
      <c r="BW988" s="56" t="n">
        <v>21</v>
      </c>
      <c r="BX988" s="14" t="s">
        <v>1696</v>
      </c>
    </row>
    <row r="989">
      <c r="A989" s="9" t="s">
        <v>1697</v>
      </c>
      <c r="B989" s="10" t="s">
        <v>1698</v>
      </c>
      <c r="C989" s="14" t="s">
        <v>1699</v>
      </c>
      <c r="D989" s="10"/>
      <c r="E989" s="10" t="s">
        <v>1700</v>
      </c>
      <c r="F989" s="56" t="n">
        <v>1</v>
      </c>
      <c r="G989" s="56" t="n">
        <v>0</v>
      </c>
      <c r="H989" s="56">
        <f>F989*AO989</f>
      </c>
      <c r="I989" s="56">
        <f>F989*AP989</f>
      </c>
      <c r="J989" s="56">
        <f>F989*G989</f>
      </c>
      <c r="K989" s="111" t="s">
        <v>100</v>
      </c>
      <c r="Z989" s="56">
        <f>IF(AQ989="5",BJ989,0)</f>
      </c>
      <c r="AB989" s="56">
        <f>IF(AQ989="1",BH989,0)</f>
      </c>
      <c r="AC989" s="56">
        <f>IF(AQ989="1",BI989,0)</f>
      </c>
      <c r="AD989" s="56">
        <f>IF(AQ989="7",BH989,0)</f>
      </c>
      <c r="AE989" s="56">
        <f>IF(AQ989="7",BI989,0)</f>
      </c>
      <c r="AF989" s="56">
        <f>IF(AQ989="2",BH989,0)</f>
      </c>
      <c r="AG989" s="56">
        <f>IF(AQ989="2",BI989,0)</f>
      </c>
      <c r="AH989" s="56">
        <f>IF(AQ989="0",BJ989,0)</f>
      </c>
      <c r="AI989" s="28" t="s">
        <v>1685</v>
      </c>
      <c r="AJ989" s="56">
        <f>IF(AN989=0,J989,0)</f>
      </c>
      <c r="AK989" s="56">
        <f>IF(AN989=12,J989,0)</f>
      </c>
      <c r="AL989" s="56">
        <f>IF(AN989=21,J989,0)</f>
      </c>
      <c r="AN989" s="56" t="n">
        <v>21</v>
      </c>
      <c r="AO989" s="56">
        <f>G989*0</f>
      </c>
      <c r="AP989" s="56">
        <f>G989*(1-0)</f>
      </c>
      <c r="AQ989" s="57" t="s">
        <v>85</v>
      </c>
      <c r="AV989" s="56">
        <f>AW989+AX989</f>
      </c>
      <c r="AW989" s="56">
        <f>F989*AO989</f>
      </c>
      <c r="AX989" s="56">
        <f>F989*AP989</f>
      </c>
      <c r="AY989" s="57" t="s">
        <v>386</v>
      </c>
      <c r="AZ989" s="57" t="s">
        <v>1693</v>
      </c>
      <c r="BA989" s="28" t="s">
        <v>1688</v>
      </c>
      <c r="BC989" s="56">
        <f>AW989+AX989</f>
      </c>
      <c r="BD989" s="56">
        <f>G989/(100-BE989)*100</f>
      </c>
      <c r="BE989" s="56" t="n">
        <v>0</v>
      </c>
      <c r="BF989" s="56">
        <f>989</f>
      </c>
      <c r="BH989" s="56">
        <f>F989*AO989</f>
      </c>
      <c r="BI989" s="56">
        <f>F989*AP989</f>
      </c>
      <c r="BJ989" s="56">
        <f>F989*G989</f>
      </c>
      <c r="BK989" s="56"/>
      <c r="BL989" s="56" t="n">
        <v>713</v>
      </c>
      <c r="BW989" s="56" t="n">
        <v>21</v>
      </c>
      <c r="BX989" s="14" t="s">
        <v>1699</v>
      </c>
    </row>
    <row r="990">
      <c r="A990" s="9" t="s">
        <v>1701</v>
      </c>
      <c r="B990" s="10" t="s">
        <v>1702</v>
      </c>
      <c r="C990" s="14" t="s">
        <v>1703</v>
      </c>
      <c r="D990" s="10"/>
      <c r="E990" s="10" t="s">
        <v>1700</v>
      </c>
      <c r="F990" s="56" t="n">
        <v>1</v>
      </c>
      <c r="G990" s="56" t="n">
        <v>0</v>
      </c>
      <c r="H990" s="56">
        <f>F990*AO990</f>
      </c>
      <c r="I990" s="56">
        <f>F990*AP990</f>
      </c>
      <c r="J990" s="56">
        <f>F990*G990</f>
      </c>
      <c r="K990" s="111" t="s">
        <v>100</v>
      </c>
      <c r="Z990" s="56">
        <f>IF(AQ990="5",BJ990,0)</f>
      </c>
      <c r="AB990" s="56">
        <f>IF(AQ990="1",BH990,0)</f>
      </c>
      <c r="AC990" s="56">
        <f>IF(AQ990="1",BI990,0)</f>
      </c>
      <c r="AD990" s="56">
        <f>IF(AQ990="7",BH990,0)</f>
      </c>
      <c r="AE990" s="56">
        <f>IF(AQ990="7",BI990,0)</f>
      </c>
      <c r="AF990" s="56">
        <f>IF(AQ990="2",BH990,0)</f>
      </c>
      <c r="AG990" s="56">
        <f>IF(AQ990="2",BI990,0)</f>
      </c>
      <c r="AH990" s="56">
        <f>IF(AQ990="0",BJ990,0)</f>
      </c>
      <c r="AI990" s="28" t="s">
        <v>1685</v>
      </c>
      <c r="AJ990" s="56">
        <f>IF(AN990=0,J990,0)</f>
      </c>
      <c r="AK990" s="56">
        <f>IF(AN990=12,J990,0)</f>
      </c>
      <c r="AL990" s="56">
        <f>IF(AN990=21,J990,0)</f>
      </c>
      <c r="AN990" s="56" t="n">
        <v>21</v>
      </c>
      <c r="AO990" s="56">
        <f>G990*0</f>
      </c>
      <c r="AP990" s="56">
        <f>G990*(1-0)</f>
      </c>
      <c r="AQ990" s="57" t="s">
        <v>85</v>
      </c>
      <c r="AV990" s="56">
        <f>AW990+AX990</f>
      </c>
      <c r="AW990" s="56">
        <f>F990*AO990</f>
      </c>
      <c r="AX990" s="56">
        <f>F990*AP990</f>
      </c>
      <c r="AY990" s="57" t="s">
        <v>386</v>
      </c>
      <c r="AZ990" s="57" t="s">
        <v>1693</v>
      </c>
      <c r="BA990" s="28" t="s">
        <v>1688</v>
      </c>
      <c r="BC990" s="56">
        <f>AW990+AX990</f>
      </c>
      <c r="BD990" s="56">
        <f>G990/(100-BE990)*100</f>
      </c>
      <c r="BE990" s="56" t="n">
        <v>0</v>
      </c>
      <c r="BF990" s="56">
        <f>990</f>
      </c>
      <c r="BH990" s="56">
        <f>F990*AO990</f>
      </c>
      <c r="BI990" s="56">
        <f>F990*AP990</f>
      </c>
      <c r="BJ990" s="56">
        <f>F990*G990</f>
      </c>
      <c r="BK990" s="56"/>
      <c r="BL990" s="56" t="n">
        <v>713</v>
      </c>
      <c r="BW990" s="56" t="n">
        <v>21</v>
      </c>
      <c r="BX990" s="14" t="s">
        <v>1703</v>
      </c>
    </row>
    <row r="991">
      <c r="A991" s="124" t="s">
        <v>53</v>
      </c>
      <c r="B991" s="125" t="s">
        <v>1704</v>
      </c>
      <c r="C991" s="126" t="s">
        <v>1705</v>
      </c>
      <c r="D991" s="125"/>
      <c r="E991" s="127" t="s">
        <v>34</v>
      </c>
      <c r="F991" s="127" t="s">
        <v>34</v>
      </c>
      <c r="G991" s="127" t="s">
        <v>34</v>
      </c>
      <c r="H991" s="2">
        <f>SUM(H992:H996)</f>
      </c>
      <c r="I991" s="2">
        <f>SUM(I992:I996)</f>
      </c>
      <c r="J991" s="2">
        <f>SUM(J992:J996)</f>
      </c>
      <c r="K991" s="128" t="s">
        <v>53</v>
      </c>
      <c r="AI991" s="28" t="s">
        <v>1685</v>
      </c>
      <c r="AS991" s="2">
        <f>SUM(AJ992:AJ996)</f>
      </c>
      <c r="AT991" s="2">
        <f>SUM(AK992:AK996)</f>
      </c>
      <c r="AU991" s="2">
        <f>SUM(AL992:AL996)</f>
      </c>
    </row>
    <row r="992">
      <c r="A992" s="9" t="s">
        <v>1706</v>
      </c>
      <c r="B992" s="10" t="s">
        <v>1707</v>
      </c>
      <c r="C992" s="14" t="s">
        <v>1708</v>
      </c>
      <c r="D992" s="10"/>
      <c r="E992" s="10" t="s">
        <v>393</v>
      </c>
      <c r="F992" s="56" t="n">
        <v>49</v>
      </c>
      <c r="G992" s="56" t="n">
        <v>0</v>
      </c>
      <c r="H992" s="56">
        <f>F992*AO992</f>
      </c>
      <c r="I992" s="56">
        <f>F992*AP992</f>
      </c>
      <c r="J992" s="56">
        <f>F992*G992</f>
      </c>
      <c r="K992" s="111" t="s">
        <v>100</v>
      </c>
      <c r="Z992" s="56">
        <f>IF(AQ992="5",BJ992,0)</f>
      </c>
      <c r="AB992" s="56">
        <f>IF(AQ992="1",BH992,0)</f>
      </c>
      <c r="AC992" s="56">
        <f>IF(AQ992="1",BI992,0)</f>
      </c>
      <c r="AD992" s="56">
        <f>IF(AQ992="7",BH992,0)</f>
      </c>
      <c r="AE992" s="56">
        <f>IF(AQ992="7",BI992,0)</f>
      </c>
      <c r="AF992" s="56">
        <f>IF(AQ992="2",BH992,0)</f>
      </c>
      <c r="AG992" s="56">
        <f>IF(AQ992="2",BI992,0)</f>
      </c>
      <c r="AH992" s="56">
        <f>IF(AQ992="0",BJ992,0)</f>
      </c>
      <c r="AI992" s="28" t="s">
        <v>1685</v>
      </c>
      <c r="AJ992" s="56">
        <f>IF(AN992=0,J992,0)</f>
      </c>
      <c r="AK992" s="56">
        <f>IF(AN992=12,J992,0)</f>
      </c>
      <c r="AL992" s="56">
        <f>IF(AN992=21,J992,0)</f>
      </c>
      <c r="AN992" s="56" t="n">
        <v>21</v>
      </c>
      <c r="AO992" s="56">
        <f>G992*0.588695652</f>
      </c>
      <c r="AP992" s="56">
        <f>G992*(1-0.588695652)</f>
      </c>
      <c r="AQ992" s="57" t="s">
        <v>85</v>
      </c>
      <c r="AV992" s="56">
        <f>AW992+AX992</f>
      </c>
      <c r="AW992" s="56">
        <f>F992*AO992</f>
      </c>
      <c r="AX992" s="56">
        <f>F992*AP992</f>
      </c>
      <c r="AY992" s="57" t="s">
        <v>1709</v>
      </c>
      <c r="AZ992" s="57" t="s">
        <v>1710</v>
      </c>
      <c r="BA992" s="28" t="s">
        <v>1688</v>
      </c>
      <c r="BC992" s="56">
        <f>AW992+AX992</f>
      </c>
      <c r="BD992" s="56">
        <f>G992/(100-BE992)*100</f>
      </c>
      <c r="BE992" s="56" t="n">
        <v>0</v>
      </c>
      <c r="BF992" s="56">
        <f>992</f>
      </c>
      <c r="BH992" s="56">
        <f>F992*AO992</f>
      </c>
      <c r="BI992" s="56">
        <f>F992*AP992</f>
      </c>
      <c r="BJ992" s="56">
        <f>F992*G992</f>
      </c>
      <c r="BK992" s="56"/>
      <c r="BL992" s="56" t="n">
        <v>733</v>
      </c>
      <c r="BW992" s="56" t="n">
        <v>21</v>
      </c>
      <c r="BX992" s="14" t="s">
        <v>1708</v>
      </c>
    </row>
    <row r="993">
      <c r="A993" s="9" t="s">
        <v>1711</v>
      </c>
      <c r="B993" s="10" t="s">
        <v>1712</v>
      </c>
      <c r="C993" s="14" t="s">
        <v>1713</v>
      </c>
      <c r="D993" s="10"/>
      <c r="E993" s="10" t="s">
        <v>393</v>
      </c>
      <c r="F993" s="56" t="n">
        <v>69</v>
      </c>
      <c r="G993" s="56" t="n">
        <v>0</v>
      </c>
      <c r="H993" s="56">
        <f>F993*AO993</f>
      </c>
      <c r="I993" s="56">
        <f>F993*AP993</f>
      </c>
      <c r="J993" s="56">
        <f>F993*G993</f>
      </c>
      <c r="K993" s="111" t="s">
        <v>100</v>
      </c>
      <c r="Z993" s="56">
        <f>IF(AQ993="5",BJ993,0)</f>
      </c>
      <c r="AB993" s="56">
        <f>IF(AQ993="1",BH993,0)</f>
      </c>
      <c r="AC993" s="56">
        <f>IF(AQ993="1",BI993,0)</f>
      </c>
      <c r="AD993" s="56">
        <f>IF(AQ993="7",BH993,0)</f>
      </c>
      <c r="AE993" s="56">
        <f>IF(AQ993="7",BI993,0)</f>
      </c>
      <c r="AF993" s="56">
        <f>IF(AQ993="2",BH993,0)</f>
      </c>
      <c r="AG993" s="56">
        <f>IF(AQ993="2",BI993,0)</f>
      </c>
      <c r="AH993" s="56">
        <f>IF(AQ993="0",BJ993,0)</f>
      </c>
      <c r="AI993" s="28" t="s">
        <v>1685</v>
      </c>
      <c r="AJ993" s="56">
        <f>IF(AN993=0,J993,0)</f>
      </c>
      <c r="AK993" s="56">
        <f>IF(AN993=12,J993,0)</f>
      </c>
      <c r="AL993" s="56">
        <f>IF(AN993=21,J993,0)</f>
      </c>
      <c r="AN993" s="56" t="n">
        <v>21</v>
      </c>
      <c r="AO993" s="56">
        <f>G993*0.641507853</f>
      </c>
      <c r="AP993" s="56">
        <f>G993*(1-0.641507853)</f>
      </c>
      <c r="AQ993" s="57" t="s">
        <v>85</v>
      </c>
      <c r="AV993" s="56">
        <f>AW993+AX993</f>
      </c>
      <c r="AW993" s="56">
        <f>F993*AO993</f>
      </c>
      <c r="AX993" s="56">
        <f>F993*AP993</f>
      </c>
      <c r="AY993" s="57" t="s">
        <v>1709</v>
      </c>
      <c r="AZ993" s="57" t="s">
        <v>1710</v>
      </c>
      <c r="BA993" s="28" t="s">
        <v>1688</v>
      </c>
      <c r="BC993" s="56">
        <f>AW993+AX993</f>
      </c>
      <c r="BD993" s="56">
        <f>G993/(100-BE993)*100</f>
      </c>
      <c r="BE993" s="56" t="n">
        <v>0</v>
      </c>
      <c r="BF993" s="56">
        <f>993</f>
      </c>
      <c r="BH993" s="56">
        <f>F993*AO993</f>
      </c>
      <c r="BI993" s="56">
        <f>F993*AP993</f>
      </c>
      <c r="BJ993" s="56">
        <f>F993*G993</f>
      </c>
      <c r="BK993" s="56"/>
      <c r="BL993" s="56" t="n">
        <v>733</v>
      </c>
      <c r="BW993" s="56" t="n">
        <v>21</v>
      </c>
      <c r="BX993" s="14" t="s">
        <v>1713</v>
      </c>
    </row>
    <row r="994">
      <c r="A994" s="9" t="s">
        <v>1714</v>
      </c>
      <c r="B994" s="10" t="s">
        <v>1715</v>
      </c>
      <c r="C994" s="14" t="s">
        <v>1716</v>
      </c>
      <c r="D994" s="10"/>
      <c r="E994" s="10" t="s">
        <v>393</v>
      </c>
      <c r="F994" s="56" t="n">
        <v>49</v>
      </c>
      <c r="G994" s="56" t="n">
        <v>0</v>
      </c>
      <c r="H994" s="56">
        <f>F994*AO994</f>
      </c>
      <c r="I994" s="56">
        <f>F994*AP994</f>
      </c>
      <c r="J994" s="56">
        <f>F994*G994</f>
      </c>
      <c r="K994" s="111" t="s">
        <v>100</v>
      </c>
      <c r="Z994" s="56">
        <f>IF(AQ994="5",BJ994,0)</f>
      </c>
      <c r="AB994" s="56">
        <f>IF(AQ994="1",BH994,0)</f>
      </c>
      <c r="AC994" s="56">
        <f>IF(AQ994="1",BI994,0)</f>
      </c>
      <c r="AD994" s="56">
        <f>IF(AQ994="7",BH994,0)</f>
      </c>
      <c r="AE994" s="56">
        <f>IF(AQ994="7",BI994,0)</f>
      </c>
      <c r="AF994" s="56">
        <f>IF(AQ994="2",BH994,0)</f>
      </c>
      <c r="AG994" s="56">
        <f>IF(AQ994="2",BI994,0)</f>
      </c>
      <c r="AH994" s="56">
        <f>IF(AQ994="0",BJ994,0)</f>
      </c>
      <c r="AI994" s="28" t="s">
        <v>1685</v>
      </c>
      <c r="AJ994" s="56">
        <f>IF(AN994=0,J994,0)</f>
      </c>
      <c r="AK994" s="56">
        <f>IF(AN994=12,J994,0)</f>
      </c>
      <c r="AL994" s="56">
        <f>IF(AN994=21,J994,0)</f>
      </c>
      <c r="AN994" s="56" t="n">
        <v>21</v>
      </c>
      <c r="AO994" s="56">
        <f>G994*0.144005647</f>
      </c>
      <c r="AP994" s="56">
        <f>G994*(1-0.144005647)</f>
      </c>
      <c r="AQ994" s="57" t="s">
        <v>85</v>
      </c>
      <c r="AV994" s="56">
        <f>AW994+AX994</f>
      </c>
      <c r="AW994" s="56">
        <f>F994*AO994</f>
      </c>
      <c r="AX994" s="56">
        <f>F994*AP994</f>
      </c>
      <c r="AY994" s="57" t="s">
        <v>1709</v>
      </c>
      <c r="AZ994" s="57" t="s">
        <v>1710</v>
      </c>
      <c r="BA994" s="28" t="s">
        <v>1688</v>
      </c>
      <c r="BC994" s="56">
        <f>AW994+AX994</f>
      </c>
      <c r="BD994" s="56">
        <f>G994/(100-BE994)*100</f>
      </c>
      <c r="BE994" s="56" t="n">
        <v>0</v>
      </c>
      <c r="BF994" s="56">
        <f>994</f>
      </c>
      <c r="BH994" s="56">
        <f>F994*AO994</f>
      </c>
      <c r="BI994" s="56">
        <f>F994*AP994</f>
      </c>
      <c r="BJ994" s="56">
        <f>F994*G994</f>
      </c>
      <c r="BK994" s="56"/>
      <c r="BL994" s="56" t="n">
        <v>733</v>
      </c>
      <c r="BW994" s="56" t="n">
        <v>21</v>
      </c>
      <c r="BX994" s="14" t="s">
        <v>1716</v>
      </c>
    </row>
    <row r="995">
      <c r="A995" s="9" t="s">
        <v>1717</v>
      </c>
      <c r="B995" s="10" t="s">
        <v>1718</v>
      </c>
      <c r="C995" s="14" t="s">
        <v>1719</v>
      </c>
      <c r="D995" s="10"/>
      <c r="E995" s="10" t="s">
        <v>393</v>
      </c>
      <c r="F995" s="56" t="n">
        <v>69</v>
      </c>
      <c r="G995" s="56" t="n">
        <v>0</v>
      </c>
      <c r="H995" s="56">
        <f>F995*AO995</f>
      </c>
      <c r="I995" s="56">
        <f>F995*AP995</f>
      </c>
      <c r="J995" s="56">
        <f>F995*G995</f>
      </c>
      <c r="K995" s="111" t="s">
        <v>100</v>
      </c>
      <c r="Z995" s="56">
        <f>IF(AQ995="5",BJ995,0)</f>
      </c>
      <c r="AB995" s="56">
        <f>IF(AQ995="1",BH995,0)</f>
      </c>
      <c r="AC995" s="56">
        <f>IF(AQ995="1",BI995,0)</f>
      </c>
      <c r="AD995" s="56">
        <f>IF(AQ995="7",BH995,0)</f>
      </c>
      <c r="AE995" s="56">
        <f>IF(AQ995="7",BI995,0)</f>
      </c>
      <c r="AF995" s="56">
        <f>IF(AQ995="2",BH995,0)</f>
      </c>
      <c r="AG995" s="56">
        <f>IF(AQ995="2",BI995,0)</f>
      </c>
      <c r="AH995" s="56">
        <f>IF(AQ995="0",BJ995,0)</f>
      </c>
      <c r="AI995" s="28" t="s">
        <v>1685</v>
      </c>
      <c r="AJ995" s="56">
        <f>IF(AN995=0,J995,0)</f>
      </c>
      <c r="AK995" s="56">
        <f>IF(AN995=12,J995,0)</f>
      </c>
      <c r="AL995" s="56">
        <f>IF(AN995=21,J995,0)</f>
      </c>
      <c r="AN995" s="56" t="n">
        <v>21</v>
      </c>
      <c r="AO995" s="56">
        <f>G995*0.170383288</f>
      </c>
      <c r="AP995" s="56">
        <f>G995*(1-0.170383288)</f>
      </c>
      <c r="AQ995" s="57" t="s">
        <v>85</v>
      </c>
      <c r="AV995" s="56">
        <f>AW995+AX995</f>
      </c>
      <c r="AW995" s="56">
        <f>F995*AO995</f>
      </c>
      <c r="AX995" s="56">
        <f>F995*AP995</f>
      </c>
      <c r="AY995" s="57" t="s">
        <v>1709</v>
      </c>
      <c r="AZ995" s="57" t="s">
        <v>1710</v>
      </c>
      <c r="BA995" s="28" t="s">
        <v>1688</v>
      </c>
      <c r="BC995" s="56">
        <f>AW995+AX995</f>
      </c>
      <c r="BD995" s="56">
        <f>G995/(100-BE995)*100</f>
      </c>
      <c r="BE995" s="56" t="n">
        <v>0</v>
      </c>
      <c r="BF995" s="56">
        <f>995</f>
      </c>
      <c r="BH995" s="56">
        <f>F995*AO995</f>
      </c>
      <c r="BI995" s="56">
        <f>F995*AP995</f>
      </c>
      <c r="BJ995" s="56">
        <f>F995*G995</f>
      </c>
      <c r="BK995" s="56"/>
      <c r="BL995" s="56" t="n">
        <v>733</v>
      </c>
      <c r="BW995" s="56" t="n">
        <v>21</v>
      </c>
      <c r="BX995" s="14" t="s">
        <v>1719</v>
      </c>
    </row>
    <row r="996">
      <c r="A996" s="9" t="s">
        <v>1720</v>
      </c>
      <c r="B996" s="10" t="s">
        <v>1721</v>
      </c>
      <c r="C996" s="14" t="s">
        <v>1722</v>
      </c>
      <c r="D996" s="10"/>
      <c r="E996" s="10" t="s">
        <v>393</v>
      </c>
      <c r="F996" s="56" t="n">
        <v>118</v>
      </c>
      <c r="G996" s="56" t="n">
        <v>0</v>
      </c>
      <c r="H996" s="56">
        <f>F996*AO996</f>
      </c>
      <c r="I996" s="56">
        <f>F996*AP996</f>
      </c>
      <c r="J996" s="56">
        <f>F996*G996</f>
      </c>
      <c r="K996" s="111" t="s">
        <v>100</v>
      </c>
      <c r="Z996" s="56">
        <f>IF(AQ996="5",BJ996,0)</f>
      </c>
      <c r="AB996" s="56">
        <f>IF(AQ996="1",BH996,0)</f>
      </c>
      <c r="AC996" s="56">
        <f>IF(AQ996="1",BI996,0)</f>
      </c>
      <c r="AD996" s="56">
        <f>IF(AQ996="7",BH996,0)</f>
      </c>
      <c r="AE996" s="56">
        <f>IF(AQ996="7",BI996,0)</f>
      </c>
      <c r="AF996" s="56">
        <f>IF(AQ996="2",BH996,0)</f>
      </c>
      <c r="AG996" s="56">
        <f>IF(AQ996="2",BI996,0)</f>
      </c>
      <c r="AH996" s="56">
        <f>IF(AQ996="0",BJ996,0)</f>
      </c>
      <c r="AI996" s="28" t="s">
        <v>1685</v>
      </c>
      <c r="AJ996" s="56">
        <f>IF(AN996=0,J996,0)</f>
      </c>
      <c r="AK996" s="56">
        <f>IF(AN996=12,J996,0)</f>
      </c>
      <c r="AL996" s="56">
        <f>IF(AN996=21,J996,0)</f>
      </c>
      <c r="AN996" s="56" t="n">
        <v>21</v>
      </c>
      <c r="AO996" s="56">
        <f>G996*0.018421053</f>
      </c>
      <c r="AP996" s="56">
        <f>G996*(1-0.018421053)</f>
      </c>
      <c r="AQ996" s="57" t="s">
        <v>85</v>
      </c>
      <c r="AV996" s="56">
        <f>AW996+AX996</f>
      </c>
      <c r="AW996" s="56">
        <f>F996*AO996</f>
      </c>
      <c r="AX996" s="56">
        <f>F996*AP996</f>
      </c>
      <c r="AY996" s="57" t="s">
        <v>1709</v>
      </c>
      <c r="AZ996" s="57" t="s">
        <v>1710</v>
      </c>
      <c r="BA996" s="28" t="s">
        <v>1688</v>
      </c>
      <c r="BC996" s="56">
        <f>AW996+AX996</f>
      </c>
      <c r="BD996" s="56">
        <f>G996/(100-BE996)*100</f>
      </c>
      <c r="BE996" s="56" t="n">
        <v>0</v>
      </c>
      <c r="BF996" s="56">
        <f>996</f>
      </c>
      <c r="BH996" s="56">
        <f>F996*AO996</f>
      </c>
      <c r="BI996" s="56">
        <f>F996*AP996</f>
      </c>
      <c r="BJ996" s="56">
        <f>F996*G996</f>
      </c>
      <c r="BK996" s="56"/>
      <c r="BL996" s="56" t="n">
        <v>733</v>
      </c>
      <c r="BW996" s="56" t="n">
        <v>21</v>
      </c>
      <c r="BX996" s="14" t="s">
        <v>1722</v>
      </c>
    </row>
    <row r="997">
      <c r="A997" s="124" t="s">
        <v>53</v>
      </c>
      <c r="B997" s="125" t="s">
        <v>1723</v>
      </c>
      <c r="C997" s="126" t="s">
        <v>1724</v>
      </c>
      <c r="D997" s="125"/>
      <c r="E997" s="127" t="s">
        <v>34</v>
      </c>
      <c r="F997" s="127" t="s">
        <v>34</v>
      </c>
      <c r="G997" s="127" t="s">
        <v>34</v>
      </c>
      <c r="H997" s="2">
        <f>SUM(H998:H1003)</f>
      </c>
      <c r="I997" s="2">
        <f>SUM(I998:I1003)</f>
      </c>
      <c r="J997" s="2">
        <f>SUM(J998:J1003)</f>
      </c>
      <c r="K997" s="128" t="s">
        <v>53</v>
      </c>
      <c r="AI997" s="28" t="s">
        <v>1685</v>
      </c>
      <c r="AS997" s="2">
        <f>SUM(AJ998:AJ1003)</f>
      </c>
      <c r="AT997" s="2">
        <f>SUM(AK998:AK1003)</f>
      </c>
      <c r="AU997" s="2">
        <f>SUM(AL998:AL1003)</f>
      </c>
    </row>
    <row r="998">
      <c r="A998" s="9" t="s">
        <v>1725</v>
      </c>
      <c r="B998" s="10" t="s">
        <v>1726</v>
      </c>
      <c r="C998" s="14" t="s">
        <v>1727</v>
      </c>
      <c r="D998" s="10"/>
      <c r="E998" s="10" t="s">
        <v>180</v>
      </c>
      <c r="F998" s="56" t="n">
        <v>16</v>
      </c>
      <c r="G998" s="56" t="n">
        <v>0</v>
      </c>
      <c r="H998" s="56">
        <f>F998*AO998</f>
      </c>
      <c r="I998" s="56">
        <f>F998*AP998</f>
      </c>
      <c r="J998" s="56">
        <f>F998*G998</f>
      </c>
      <c r="K998" s="111" t="s">
        <v>100</v>
      </c>
      <c r="Z998" s="56">
        <f>IF(AQ998="5",BJ998,0)</f>
      </c>
      <c r="AB998" s="56">
        <f>IF(AQ998="1",BH998,0)</f>
      </c>
      <c r="AC998" s="56">
        <f>IF(AQ998="1",BI998,0)</f>
      </c>
      <c r="AD998" s="56">
        <f>IF(AQ998="7",BH998,0)</f>
      </c>
      <c r="AE998" s="56">
        <f>IF(AQ998="7",BI998,0)</f>
      </c>
      <c r="AF998" s="56">
        <f>IF(AQ998="2",BH998,0)</f>
      </c>
      <c r="AG998" s="56">
        <f>IF(AQ998="2",BI998,0)</f>
      </c>
      <c r="AH998" s="56">
        <f>IF(AQ998="0",BJ998,0)</f>
      </c>
      <c r="AI998" s="28" t="s">
        <v>1685</v>
      </c>
      <c r="AJ998" s="56">
        <f>IF(AN998=0,J998,0)</f>
      </c>
      <c r="AK998" s="56">
        <f>IF(AN998=12,J998,0)</f>
      </c>
      <c r="AL998" s="56">
        <f>IF(AN998=21,J998,0)</f>
      </c>
      <c r="AN998" s="56" t="n">
        <v>21</v>
      </c>
      <c r="AO998" s="56">
        <f>G998*0.044420368</f>
      </c>
      <c r="AP998" s="56">
        <f>G998*(1-0.044420368)</f>
      </c>
      <c r="AQ998" s="57" t="s">
        <v>85</v>
      </c>
      <c r="AV998" s="56">
        <f>AW998+AX998</f>
      </c>
      <c r="AW998" s="56">
        <f>F998*AO998</f>
      </c>
      <c r="AX998" s="56">
        <f>F998*AP998</f>
      </c>
      <c r="AY998" s="57" t="s">
        <v>1728</v>
      </c>
      <c r="AZ998" s="57" t="s">
        <v>1710</v>
      </c>
      <c r="BA998" s="28" t="s">
        <v>1688</v>
      </c>
      <c r="BC998" s="56">
        <f>AW998+AX998</f>
      </c>
      <c r="BD998" s="56">
        <f>G998/(100-BE998)*100</f>
      </c>
      <c r="BE998" s="56" t="n">
        <v>0</v>
      </c>
      <c r="BF998" s="56">
        <f>998</f>
      </c>
      <c r="BH998" s="56">
        <f>F998*AO998</f>
      </c>
      <c r="BI998" s="56">
        <f>F998*AP998</f>
      </c>
      <c r="BJ998" s="56">
        <f>F998*G998</f>
      </c>
      <c r="BK998" s="56"/>
      <c r="BL998" s="56" t="n">
        <v>734</v>
      </c>
      <c r="BW998" s="56" t="n">
        <v>21</v>
      </c>
      <c r="BX998" s="14" t="s">
        <v>1727</v>
      </c>
    </row>
    <row r="999">
      <c r="A999" s="9" t="s">
        <v>1729</v>
      </c>
      <c r="B999" s="10" t="s">
        <v>1730</v>
      </c>
      <c r="C999" s="14" t="s">
        <v>1731</v>
      </c>
      <c r="D999" s="10"/>
      <c r="E999" s="10" t="s">
        <v>180</v>
      </c>
      <c r="F999" s="56" t="n">
        <v>32</v>
      </c>
      <c r="G999" s="56" t="n">
        <v>0</v>
      </c>
      <c r="H999" s="56">
        <f>F999*AO999</f>
      </c>
      <c r="I999" s="56">
        <f>F999*AP999</f>
      </c>
      <c r="J999" s="56">
        <f>F999*G999</f>
      </c>
      <c r="K999" s="111" t="s">
        <v>100</v>
      </c>
      <c r="Z999" s="56">
        <f>IF(AQ999="5",BJ999,0)</f>
      </c>
      <c r="AB999" s="56">
        <f>IF(AQ999="1",BH999,0)</f>
      </c>
      <c r="AC999" s="56">
        <f>IF(AQ999="1",BI999,0)</f>
      </c>
      <c r="AD999" s="56">
        <f>IF(AQ999="7",BH999,0)</f>
      </c>
      <c r="AE999" s="56">
        <f>IF(AQ999="7",BI999,0)</f>
      </c>
      <c r="AF999" s="56">
        <f>IF(AQ999="2",BH999,0)</f>
      </c>
      <c r="AG999" s="56">
        <f>IF(AQ999="2",BI999,0)</f>
      </c>
      <c r="AH999" s="56">
        <f>IF(AQ999="0",BJ999,0)</f>
      </c>
      <c r="AI999" s="28" t="s">
        <v>1685</v>
      </c>
      <c r="AJ999" s="56">
        <f>IF(AN999=0,J999,0)</f>
      </c>
      <c r="AK999" s="56">
        <f>IF(AN999=12,J999,0)</f>
      </c>
      <c r="AL999" s="56">
        <f>IF(AN999=21,J999,0)</f>
      </c>
      <c r="AN999" s="56" t="n">
        <v>21</v>
      </c>
      <c r="AO999" s="56">
        <f>G999*0.041545353</f>
      </c>
      <c r="AP999" s="56">
        <f>G999*(1-0.041545353)</f>
      </c>
      <c r="AQ999" s="57" t="s">
        <v>85</v>
      </c>
      <c r="AV999" s="56">
        <f>AW999+AX999</f>
      </c>
      <c r="AW999" s="56">
        <f>F999*AO999</f>
      </c>
      <c r="AX999" s="56">
        <f>F999*AP999</f>
      </c>
      <c r="AY999" s="57" t="s">
        <v>1728</v>
      </c>
      <c r="AZ999" s="57" t="s">
        <v>1710</v>
      </c>
      <c r="BA999" s="28" t="s">
        <v>1688</v>
      </c>
      <c r="BC999" s="56">
        <f>AW999+AX999</f>
      </c>
      <c r="BD999" s="56">
        <f>G999/(100-BE999)*100</f>
      </c>
      <c r="BE999" s="56" t="n">
        <v>0</v>
      </c>
      <c r="BF999" s="56">
        <f>999</f>
      </c>
      <c r="BH999" s="56">
        <f>F999*AO999</f>
      </c>
      <c r="BI999" s="56">
        <f>F999*AP999</f>
      </c>
      <c r="BJ999" s="56">
        <f>F999*G999</f>
      </c>
      <c r="BK999" s="56"/>
      <c r="BL999" s="56" t="n">
        <v>734</v>
      </c>
      <c r="BW999" s="56" t="n">
        <v>21</v>
      </c>
      <c r="BX999" s="14" t="s">
        <v>1731</v>
      </c>
    </row>
    <row r="1000">
      <c r="A1000" s="9" t="s">
        <v>1732</v>
      </c>
      <c r="B1000" s="10" t="s">
        <v>1733</v>
      </c>
      <c r="C1000" s="14" t="s">
        <v>1734</v>
      </c>
      <c r="D1000" s="10"/>
      <c r="E1000" s="10" t="s">
        <v>180</v>
      </c>
      <c r="F1000" s="56" t="n">
        <v>16</v>
      </c>
      <c r="G1000" s="56" t="n">
        <v>0</v>
      </c>
      <c r="H1000" s="56">
        <f>F1000*AO1000</f>
      </c>
      <c r="I1000" s="56">
        <f>F1000*AP1000</f>
      </c>
      <c r="J1000" s="56">
        <f>F1000*G1000</f>
      </c>
      <c r="K1000" s="111" t="s">
        <v>100</v>
      </c>
      <c r="Z1000" s="56">
        <f>IF(AQ1000="5",BJ1000,0)</f>
      </c>
      <c r="AB1000" s="56">
        <f>IF(AQ1000="1",BH1000,0)</f>
      </c>
      <c r="AC1000" s="56">
        <f>IF(AQ1000="1",BI1000,0)</f>
      </c>
      <c r="AD1000" s="56">
        <f>IF(AQ1000="7",BH1000,0)</f>
      </c>
      <c r="AE1000" s="56">
        <f>IF(AQ1000="7",BI1000,0)</f>
      </c>
      <c r="AF1000" s="56">
        <f>IF(AQ1000="2",BH1000,0)</f>
      </c>
      <c r="AG1000" s="56">
        <f>IF(AQ1000="2",BI1000,0)</f>
      </c>
      <c r="AH1000" s="56">
        <f>IF(AQ1000="0",BJ1000,0)</f>
      </c>
      <c r="AI1000" s="28" t="s">
        <v>1685</v>
      </c>
      <c r="AJ1000" s="56">
        <f>IF(AN1000=0,J1000,0)</f>
      </c>
      <c r="AK1000" s="56">
        <f>IF(AN1000=12,J1000,0)</f>
      </c>
      <c r="AL1000" s="56">
        <f>IF(AN1000=21,J1000,0)</f>
      </c>
      <c r="AN1000" s="56" t="n">
        <v>21</v>
      </c>
      <c r="AO1000" s="56">
        <f>G1000*0.848633333</f>
      </c>
      <c r="AP1000" s="56">
        <f>G1000*(1-0.848633333)</f>
      </c>
      <c r="AQ1000" s="57" t="s">
        <v>85</v>
      </c>
      <c r="AV1000" s="56">
        <f>AW1000+AX1000</f>
      </c>
      <c r="AW1000" s="56">
        <f>F1000*AO1000</f>
      </c>
      <c r="AX1000" s="56">
        <f>F1000*AP1000</f>
      </c>
      <c r="AY1000" s="57" t="s">
        <v>1728</v>
      </c>
      <c r="AZ1000" s="57" t="s">
        <v>1710</v>
      </c>
      <c r="BA1000" s="28" t="s">
        <v>1688</v>
      </c>
      <c r="BC1000" s="56">
        <f>AW1000+AX1000</f>
      </c>
      <c r="BD1000" s="56">
        <f>G1000/(100-BE1000)*100</f>
      </c>
      <c r="BE1000" s="56" t="n">
        <v>0</v>
      </c>
      <c r="BF1000" s="56">
        <f>1000</f>
      </c>
      <c r="BH1000" s="56">
        <f>F1000*AO1000</f>
      </c>
      <c r="BI1000" s="56">
        <f>F1000*AP1000</f>
      </c>
      <c r="BJ1000" s="56">
        <f>F1000*G1000</f>
      </c>
      <c r="BK1000" s="56"/>
      <c r="BL1000" s="56" t="n">
        <v>734</v>
      </c>
      <c r="BW1000" s="56" t="n">
        <v>21</v>
      </c>
      <c r="BX1000" s="14" t="s">
        <v>1734</v>
      </c>
    </row>
    <row r="1001">
      <c r="A1001" s="9" t="s">
        <v>1735</v>
      </c>
      <c r="B1001" s="10" t="s">
        <v>1736</v>
      </c>
      <c r="C1001" s="14" t="s">
        <v>1737</v>
      </c>
      <c r="D1001" s="10"/>
      <c r="E1001" s="10" t="s">
        <v>180</v>
      </c>
      <c r="F1001" s="56" t="n">
        <v>16</v>
      </c>
      <c r="G1001" s="56" t="n">
        <v>0</v>
      </c>
      <c r="H1001" s="56">
        <f>F1001*AO1001</f>
      </c>
      <c r="I1001" s="56">
        <f>F1001*AP1001</f>
      </c>
      <c r="J1001" s="56">
        <f>F1001*G1001</f>
      </c>
      <c r="K1001" s="111" t="s">
        <v>100</v>
      </c>
      <c r="Z1001" s="56">
        <f>IF(AQ1001="5",BJ1001,0)</f>
      </c>
      <c r="AB1001" s="56">
        <f>IF(AQ1001="1",BH1001,0)</f>
      </c>
      <c r="AC1001" s="56">
        <f>IF(AQ1001="1",BI1001,0)</f>
      </c>
      <c r="AD1001" s="56">
        <f>IF(AQ1001="7",BH1001,0)</f>
      </c>
      <c r="AE1001" s="56">
        <f>IF(AQ1001="7",BI1001,0)</f>
      </c>
      <c r="AF1001" s="56">
        <f>IF(AQ1001="2",BH1001,0)</f>
      </c>
      <c r="AG1001" s="56">
        <f>IF(AQ1001="2",BI1001,0)</f>
      </c>
      <c r="AH1001" s="56">
        <f>IF(AQ1001="0",BJ1001,0)</f>
      </c>
      <c r="AI1001" s="28" t="s">
        <v>1685</v>
      </c>
      <c r="AJ1001" s="56">
        <f>IF(AN1001=0,J1001,0)</f>
      </c>
      <c r="AK1001" s="56">
        <f>IF(AN1001=12,J1001,0)</f>
      </c>
      <c r="AL1001" s="56">
        <f>IF(AN1001=21,J1001,0)</f>
      </c>
      <c r="AN1001" s="56" t="n">
        <v>21</v>
      </c>
      <c r="AO1001" s="56">
        <f>G1001*0.894678218</f>
      </c>
      <c r="AP1001" s="56">
        <f>G1001*(1-0.894678218)</f>
      </c>
      <c r="AQ1001" s="57" t="s">
        <v>85</v>
      </c>
      <c r="AV1001" s="56">
        <f>AW1001+AX1001</f>
      </c>
      <c r="AW1001" s="56">
        <f>F1001*AO1001</f>
      </c>
      <c r="AX1001" s="56">
        <f>F1001*AP1001</f>
      </c>
      <c r="AY1001" s="57" t="s">
        <v>1728</v>
      </c>
      <c r="AZ1001" s="57" t="s">
        <v>1710</v>
      </c>
      <c r="BA1001" s="28" t="s">
        <v>1688</v>
      </c>
      <c r="BC1001" s="56">
        <f>AW1001+AX1001</f>
      </c>
      <c r="BD1001" s="56">
        <f>G1001/(100-BE1001)*100</f>
      </c>
      <c r="BE1001" s="56" t="n">
        <v>0</v>
      </c>
      <c r="BF1001" s="56">
        <f>1001</f>
      </c>
      <c r="BH1001" s="56">
        <f>F1001*AO1001</f>
      </c>
      <c r="BI1001" s="56">
        <f>F1001*AP1001</f>
      </c>
      <c r="BJ1001" s="56">
        <f>F1001*G1001</f>
      </c>
      <c r="BK1001" s="56"/>
      <c r="BL1001" s="56" t="n">
        <v>734</v>
      </c>
      <c r="BW1001" s="56" t="n">
        <v>21</v>
      </c>
      <c r="BX1001" s="14" t="s">
        <v>1737</v>
      </c>
    </row>
    <row r="1002">
      <c r="A1002" s="9" t="s">
        <v>1738</v>
      </c>
      <c r="B1002" s="10" t="s">
        <v>1739</v>
      </c>
      <c r="C1002" s="14" t="s">
        <v>1740</v>
      </c>
      <c r="D1002" s="10"/>
      <c r="E1002" s="10" t="s">
        <v>1741</v>
      </c>
      <c r="F1002" s="56" t="n">
        <v>16</v>
      </c>
      <c r="G1002" s="56" t="n">
        <v>0</v>
      </c>
      <c r="H1002" s="56">
        <f>F1002*AO1002</f>
      </c>
      <c r="I1002" s="56">
        <f>F1002*AP1002</f>
      </c>
      <c r="J1002" s="56">
        <f>F1002*G1002</f>
      </c>
      <c r="K1002" s="111" t="s">
        <v>100</v>
      </c>
      <c r="Z1002" s="56">
        <f>IF(AQ1002="5",BJ1002,0)</f>
      </c>
      <c r="AB1002" s="56">
        <f>IF(AQ1002="1",BH1002,0)</f>
      </c>
      <c r="AC1002" s="56">
        <f>IF(AQ1002="1",BI1002,0)</f>
      </c>
      <c r="AD1002" s="56">
        <f>IF(AQ1002="7",BH1002,0)</f>
      </c>
      <c r="AE1002" s="56">
        <f>IF(AQ1002="7",BI1002,0)</f>
      </c>
      <c r="AF1002" s="56">
        <f>IF(AQ1002="2",BH1002,0)</f>
      </c>
      <c r="AG1002" s="56">
        <f>IF(AQ1002="2",BI1002,0)</f>
      </c>
      <c r="AH1002" s="56">
        <f>IF(AQ1002="0",BJ1002,0)</f>
      </c>
      <c r="AI1002" s="28" t="s">
        <v>1685</v>
      </c>
      <c r="AJ1002" s="56">
        <f>IF(AN1002=0,J1002,0)</f>
      </c>
      <c r="AK1002" s="56">
        <f>IF(AN1002=12,J1002,0)</f>
      </c>
      <c r="AL1002" s="56">
        <f>IF(AN1002=21,J1002,0)</f>
      </c>
      <c r="AN1002" s="56" t="n">
        <v>21</v>
      </c>
      <c r="AO1002" s="56">
        <f>G1002*0</f>
      </c>
      <c r="AP1002" s="56">
        <f>G1002*(1-0)</f>
      </c>
      <c r="AQ1002" s="57" t="s">
        <v>85</v>
      </c>
      <c r="AV1002" s="56">
        <f>AW1002+AX1002</f>
      </c>
      <c r="AW1002" s="56">
        <f>F1002*AO1002</f>
      </c>
      <c r="AX1002" s="56">
        <f>F1002*AP1002</f>
      </c>
      <c r="AY1002" s="57" t="s">
        <v>1728</v>
      </c>
      <c r="AZ1002" s="57" t="s">
        <v>1710</v>
      </c>
      <c r="BA1002" s="28" t="s">
        <v>1688</v>
      </c>
      <c r="BC1002" s="56">
        <f>AW1002+AX1002</f>
      </c>
      <c r="BD1002" s="56">
        <f>G1002/(100-BE1002)*100</f>
      </c>
      <c r="BE1002" s="56" t="n">
        <v>0</v>
      </c>
      <c r="BF1002" s="56">
        <f>1002</f>
      </c>
      <c r="BH1002" s="56">
        <f>F1002*AO1002</f>
      </c>
      <c r="BI1002" s="56">
        <f>F1002*AP1002</f>
      </c>
      <c r="BJ1002" s="56">
        <f>F1002*G1002</f>
      </c>
      <c r="BK1002" s="56"/>
      <c r="BL1002" s="56" t="n">
        <v>734</v>
      </c>
      <c r="BW1002" s="56" t="n">
        <v>21</v>
      </c>
      <c r="BX1002" s="14" t="s">
        <v>1740</v>
      </c>
    </row>
    <row r="1003">
      <c r="A1003" s="9" t="s">
        <v>1742</v>
      </c>
      <c r="B1003" s="10" t="s">
        <v>1743</v>
      </c>
      <c r="C1003" s="14" t="s">
        <v>1744</v>
      </c>
      <c r="D1003" s="10"/>
      <c r="E1003" s="10" t="s">
        <v>180</v>
      </c>
      <c r="F1003" s="56" t="n">
        <v>16</v>
      </c>
      <c r="G1003" s="56" t="n">
        <v>0</v>
      </c>
      <c r="H1003" s="56">
        <f>F1003*AO1003</f>
      </c>
      <c r="I1003" s="56">
        <f>F1003*AP1003</f>
      </c>
      <c r="J1003" s="56">
        <f>F1003*G1003</f>
      </c>
      <c r="K1003" s="111" t="s">
        <v>100</v>
      </c>
      <c r="Z1003" s="56">
        <f>IF(AQ1003="5",BJ1003,0)</f>
      </c>
      <c r="AB1003" s="56">
        <f>IF(AQ1003="1",BH1003,0)</f>
      </c>
      <c r="AC1003" s="56">
        <f>IF(AQ1003="1",BI1003,0)</f>
      </c>
      <c r="AD1003" s="56">
        <f>IF(AQ1003="7",BH1003,0)</f>
      </c>
      <c r="AE1003" s="56">
        <f>IF(AQ1003="7",BI1003,0)</f>
      </c>
      <c r="AF1003" s="56">
        <f>IF(AQ1003="2",BH1003,0)</f>
      </c>
      <c r="AG1003" s="56">
        <f>IF(AQ1003="2",BI1003,0)</f>
      </c>
      <c r="AH1003" s="56">
        <f>IF(AQ1003="0",BJ1003,0)</f>
      </c>
      <c r="AI1003" s="28" t="s">
        <v>1685</v>
      </c>
      <c r="AJ1003" s="56">
        <f>IF(AN1003=0,J1003,0)</f>
      </c>
      <c r="AK1003" s="56">
        <f>IF(AN1003=12,J1003,0)</f>
      </c>
      <c r="AL1003" s="56">
        <f>IF(AN1003=21,J1003,0)</f>
      </c>
      <c r="AN1003" s="56" t="n">
        <v>21</v>
      </c>
      <c r="AO1003" s="56">
        <f>G1003*0.477837311</f>
      </c>
      <c r="AP1003" s="56">
        <f>G1003*(1-0.477837311)</f>
      </c>
      <c r="AQ1003" s="57" t="s">
        <v>85</v>
      </c>
      <c r="AV1003" s="56">
        <f>AW1003+AX1003</f>
      </c>
      <c r="AW1003" s="56">
        <f>F1003*AO1003</f>
      </c>
      <c r="AX1003" s="56">
        <f>F1003*AP1003</f>
      </c>
      <c r="AY1003" s="57" t="s">
        <v>1728</v>
      </c>
      <c r="AZ1003" s="57" t="s">
        <v>1710</v>
      </c>
      <c r="BA1003" s="28" t="s">
        <v>1688</v>
      </c>
      <c r="BC1003" s="56">
        <f>AW1003+AX1003</f>
      </c>
      <c r="BD1003" s="56">
        <f>G1003/(100-BE1003)*100</f>
      </c>
      <c r="BE1003" s="56" t="n">
        <v>0</v>
      </c>
      <c r="BF1003" s="56">
        <f>1003</f>
      </c>
      <c r="BH1003" s="56">
        <f>F1003*AO1003</f>
      </c>
      <c r="BI1003" s="56">
        <f>F1003*AP1003</f>
      </c>
      <c r="BJ1003" s="56">
        <f>F1003*G1003</f>
      </c>
      <c r="BK1003" s="56"/>
      <c r="BL1003" s="56" t="n">
        <v>734</v>
      </c>
      <c r="BW1003" s="56" t="n">
        <v>21</v>
      </c>
      <c r="BX1003" s="14" t="s">
        <v>1744</v>
      </c>
    </row>
    <row r="1004">
      <c r="A1004" s="124" t="s">
        <v>53</v>
      </c>
      <c r="B1004" s="125" t="s">
        <v>1745</v>
      </c>
      <c r="C1004" s="126" t="s">
        <v>1746</v>
      </c>
      <c r="D1004" s="125"/>
      <c r="E1004" s="127" t="s">
        <v>34</v>
      </c>
      <c r="F1004" s="127" t="s">
        <v>34</v>
      </c>
      <c r="G1004" s="127" t="s">
        <v>34</v>
      </c>
      <c r="H1004" s="2">
        <f>SUM(H1005:H1009)</f>
      </c>
      <c r="I1004" s="2">
        <f>SUM(I1005:I1009)</f>
      </c>
      <c r="J1004" s="2">
        <f>SUM(J1005:J1009)</f>
      </c>
      <c r="K1004" s="128" t="s">
        <v>53</v>
      </c>
      <c r="AI1004" s="28" t="s">
        <v>1685</v>
      </c>
      <c r="AS1004" s="2">
        <f>SUM(AJ1005:AJ1009)</f>
      </c>
      <c r="AT1004" s="2">
        <f>SUM(AK1005:AK1009)</f>
      </c>
      <c r="AU1004" s="2">
        <f>SUM(AL1005:AL1009)</f>
      </c>
    </row>
    <row r="1005">
      <c r="A1005" s="9" t="s">
        <v>1747</v>
      </c>
      <c r="B1005" s="10" t="s">
        <v>1748</v>
      </c>
      <c r="C1005" s="14" t="s">
        <v>1749</v>
      </c>
      <c r="D1005" s="10"/>
      <c r="E1005" s="10" t="s">
        <v>130</v>
      </c>
      <c r="F1005" s="56" t="n">
        <v>26.08</v>
      </c>
      <c r="G1005" s="56" t="n">
        <v>0</v>
      </c>
      <c r="H1005" s="56">
        <f>F1005*AO1005</f>
      </c>
      <c r="I1005" s="56">
        <f>F1005*AP1005</f>
      </c>
      <c r="J1005" s="56">
        <f>F1005*G1005</f>
      </c>
      <c r="K1005" s="111" t="s">
        <v>100</v>
      </c>
      <c r="Z1005" s="56">
        <f>IF(AQ1005="5",BJ1005,0)</f>
      </c>
      <c r="AB1005" s="56">
        <f>IF(AQ1005="1",BH1005,0)</f>
      </c>
      <c r="AC1005" s="56">
        <f>IF(AQ1005="1",BI1005,0)</f>
      </c>
      <c r="AD1005" s="56">
        <f>IF(AQ1005="7",BH1005,0)</f>
      </c>
      <c r="AE1005" s="56">
        <f>IF(AQ1005="7",BI1005,0)</f>
      </c>
      <c r="AF1005" s="56">
        <f>IF(AQ1005="2",BH1005,0)</f>
      </c>
      <c r="AG1005" s="56">
        <f>IF(AQ1005="2",BI1005,0)</f>
      </c>
      <c r="AH1005" s="56">
        <f>IF(AQ1005="0",BJ1005,0)</f>
      </c>
      <c r="AI1005" s="28" t="s">
        <v>1685</v>
      </c>
      <c r="AJ1005" s="56">
        <f>IF(AN1005=0,J1005,0)</f>
      </c>
      <c r="AK1005" s="56">
        <f>IF(AN1005=12,J1005,0)</f>
      </c>
      <c r="AL1005" s="56">
        <f>IF(AN1005=21,J1005,0)</f>
      </c>
      <c r="AN1005" s="56" t="n">
        <v>21</v>
      </c>
      <c r="AO1005" s="56">
        <f>G1005*0</f>
      </c>
      <c r="AP1005" s="56">
        <f>G1005*(1-0)</f>
      </c>
      <c r="AQ1005" s="57" t="s">
        <v>85</v>
      </c>
      <c r="AV1005" s="56">
        <f>AW1005+AX1005</f>
      </c>
      <c r="AW1005" s="56">
        <f>F1005*AO1005</f>
      </c>
      <c r="AX1005" s="56">
        <f>F1005*AP1005</f>
      </c>
      <c r="AY1005" s="57" t="s">
        <v>1750</v>
      </c>
      <c r="AZ1005" s="57" t="s">
        <v>1710</v>
      </c>
      <c r="BA1005" s="28" t="s">
        <v>1688</v>
      </c>
      <c r="BC1005" s="56">
        <f>AW1005+AX1005</f>
      </c>
      <c r="BD1005" s="56">
        <f>G1005/(100-BE1005)*100</f>
      </c>
      <c r="BE1005" s="56" t="n">
        <v>0</v>
      </c>
      <c r="BF1005" s="56">
        <f>1005</f>
      </c>
      <c r="BH1005" s="56">
        <f>F1005*AO1005</f>
      </c>
      <c r="BI1005" s="56">
        <f>F1005*AP1005</f>
      </c>
      <c r="BJ1005" s="56">
        <f>F1005*G1005</f>
      </c>
      <c r="BK1005" s="56"/>
      <c r="BL1005" s="56" t="n">
        <v>735</v>
      </c>
      <c r="BW1005" s="56" t="n">
        <v>21</v>
      </c>
      <c r="BX1005" s="14" t="s">
        <v>1749</v>
      </c>
    </row>
    <row r="1006">
      <c r="A1006" s="9" t="s">
        <v>1751</v>
      </c>
      <c r="B1006" s="10" t="s">
        <v>1752</v>
      </c>
      <c r="C1006" s="14" t="s">
        <v>1753</v>
      </c>
      <c r="D1006" s="10"/>
      <c r="E1006" s="10" t="s">
        <v>130</v>
      </c>
      <c r="F1006" s="56" t="n">
        <v>117.88</v>
      </c>
      <c r="G1006" s="56" t="n">
        <v>0</v>
      </c>
      <c r="H1006" s="56">
        <f>F1006*AO1006</f>
      </c>
      <c r="I1006" s="56">
        <f>F1006*AP1006</f>
      </c>
      <c r="J1006" s="56">
        <f>F1006*G1006</f>
      </c>
      <c r="K1006" s="111" t="s">
        <v>100</v>
      </c>
      <c r="Z1006" s="56">
        <f>IF(AQ1006="5",BJ1006,0)</f>
      </c>
      <c r="AB1006" s="56">
        <f>IF(AQ1006="1",BH1006,0)</f>
      </c>
      <c r="AC1006" s="56">
        <f>IF(AQ1006="1",BI1006,0)</f>
      </c>
      <c r="AD1006" s="56">
        <f>IF(AQ1006="7",BH1006,0)</f>
      </c>
      <c r="AE1006" s="56">
        <f>IF(AQ1006="7",BI1006,0)</f>
      </c>
      <c r="AF1006" s="56">
        <f>IF(AQ1006="2",BH1006,0)</f>
      </c>
      <c r="AG1006" s="56">
        <f>IF(AQ1006="2",BI1006,0)</f>
      </c>
      <c r="AH1006" s="56">
        <f>IF(AQ1006="0",BJ1006,0)</f>
      </c>
      <c r="AI1006" s="28" t="s">
        <v>1685</v>
      </c>
      <c r="AJ1006" s="56">
        <f>IF(AN1006=0,J1006,0)</f>
      </c>
      <c r="AK1006" s="56">
        <f>IF(AN1006=12,J1006,0)</f>
      </c>
      <c r="AL1006" s="56">
        <f>IF(AN1006=21,J1006,0)</f>
      </c>
      <c r="AN1006" s="56" t="n">
        <v>21</v>
      </c>
      <c r="AO1006" s="56">
        <f>G1006*0</f>
      </c>
      <c r="AP1006" s="56">
        <f>G1006*(1-0)</f>
      </c>
      <c r="AQ1006" s="57" t="s">
        <v>85</v>
      </c>
      <c r="AV1006" s="56">
        <f>AW1006+AX1006</f>
      </c>
      <c r="AW1006" s="56">
        <f>F1006*AO1006</f>
      </c>
      <c r="AX1006" s="56">
        <f>F1006*AP1006</f>
      </c>
      <c r="AY1006" s="57" t="s">
        <v>1750</v>
      </c>
      <c r="AZ1006" s="57" t="s">
        <v>1710</v>
      </c>
      <c r="BA1006" s="28" t="s">
        <v>1688</v>
      </c>
      <c r="BC1006" s="56">
        <f>AW1006+AX1006</f>
      </c>
      <c r="BD1006" s="56">
        <f>G1006/(100-BE1006)*100</f>
      </c>
      <c r="BE1006" s="56" t="n">
        <v>0</v>
      </c>
      <c r="BF1006" s="56">
        <f>1006</f>
      </c>
      <c r="BH1006" s="56">
        <f>F1006*AO1006</f>
      </c>
      <c r="BI1006" s="56">
        <f>F1006*AP1006</f>
      </c>
      <c r="BJ1006" s="56">
        <f>F1006*G1006</f>
      </c>
      <c r="BK1006" s="56"/>
      <c r="BL1006" s="56" t="n">
        <v>735</v>
      </c>
      <c r="BW1006" s="56" t="n">
        <v>21</v>
      </c>
      <c r="BX1006" s="14" t="s">
        <v>1753</v>
      </c>
    </row>
    <row r="1007">
      <c r="A1007" s="9" t="s">
        <v>1754</v>
      </c>
      <c r="B1007" s="10" t="s">
        <v>1755</v>
      </c>
      <c r="C1007" s="14" t="s">
        <v>1756</v>
      </c>
      <c r="D1007" s="10"/>
      <c r="E1007" s="10" t="s">
        <v>130</v>
      </c>
      <c r="F1007" s="56" t="n">
        <v>26.08</v>
      </c>
      <c r="G1007" s="56" t="n">
        <v>0</v>
      </c>
      <c r="H1007" s="56">
        <f>F1007*AO1007</f>
      </c>
      <c r="I1007" s="56">
        <f>F1007*AP1007</f>
      </c>
      <c r="J1007" s="56">
        <f>F1007*G1007</f>
      </c>
      <c r="K1007" s="111" t="s">
        <v>100</v>
      </c>
      <c r="Z1007" s="56">
        <f>IF(AQ1007="5",BJ1007,0)</f>
      </c>
      <c r="AB1007" s="56">
        <f>IF(AQ1007="1",BH1007,0)</f>
      </c>
      <c r="AC1007" s="56">
        <f>IF(AQ1007="1",BI1007,0)</f>
      </c>
      <c r="AD1007" s="56">
        <f>IF(AQ1007="7",BH1007,0)</f>
      </c>
      <c r="AE1007" s="56">
        <f>IF(AQ1007="7",BI1007,0)</f>
      </c>
      <c r="AF1007" s="56">
        <f>IF(AQ1007="2",BH1007,0)</f>
      </c>
      <c r="AG1007" s="56">
        <f>IF(AQ1007="2",BI1007,0)</f>
      </c>
      <c r="AH1007" s="56">
        <f>IF(AQ1007="0",BJ1007,0)</f>
      </c>
      <c r="AI1007" s="28" t="s">
        <v>1685</v>
      </c>
      <c r="AJ1007" s="56">
        <f>IF(AN1007=0,J1007,0)</f>
      </c>
      <c r="AK1007" s="56">
        <f>IF(AN1007=12,J1007,0)</f>
      </c>
      <c r="AL1007" s="56">
        <f>IF(AN1007=21,J1007,0)</f>
      </c>
      <c r="AN1007" s="56" t="n">
        <v>21</v>
      </c>
      <c r="AO1007" s="56">
        <f>G1007*0.013796317</f>
      </c>
      <c r="AP1007" s="56">
        <f>G1007*(1-0.013796317)</f>
      </c>
      <c r="AQ1007" s="57" t="s">
        <v>85</v>
      </c>
      <c r="AV1007" s="56">
        <f>AW1007+AX1007</f>
      </c>
      <c r="AW1007" s="56">
        <f>F1007*AO1007</f>
      </c>
      <c r="AX1007" s="56">
        <f>F1007*AP1007</f>
      </c>
      <c r="AY1007" s="57" t="s">
        <v>1750</v>
      </c>
      <c r="AZ1007" s="57" t="s">
        <v>1710</v>
      </c>
      <c r="BA1007" s="28" t="s">
        <v>1688</v>
      </c>
      <c r="BC1007" s="56">
        <f>AW1007+AX1007</f>
      </c>
      <c r="BD1007" s="56">
        <f>G1007/(100-BE1007)*100</f>
      </c>
      <c r="BE1007" s="56" t="n">
        <v>0</v>
      </c>
      <c r="BF1007" s="56">
        <f>1007</f>
      </c>
      <c r="BH1007" s="56">
        <f>F1007*AO1007</f>
      </c>
      <c r="BI1007" s="56">
        <f>F1007*AP1007</f>
      </c>
      <c r="BJ1007" s="56">
        <f>F1007*G1007</f>
      </c>
      <c r="BK1007" s="56"/>
      <c r="BL1007" s="56" t="n">
        <v>735</v>
      </c>
      <c r="BW1007" s="56" t="n">
        <v>21</v>
      </c>
      <c r="BX1007" s="14" t="s">
        <v>1756</v>
      </c>
    </row>
    <row r="1008">
      <c r="A1008" s="9" t="s">
        <v>1757</v>
      </c>
      <c r="B1008" s="10" t="s">
        <v>1758</v>
      </c>
      <c r="C1008" s="14" t="s">
        <v>1759</v>
      </c>
      <c r="D1008" s="10"/>
      <c r="E1008" s="10" t="s">
        <v>130</v>
      </c>
      <c r="F1008" s="56" t="n">
        <v>26.08</v>
      </c>
      <c r="G1008" s="56" t="n">
        <v>0</v>
      </c>
      <c r="H1008" s="56">
        <f>F1008*AO1008</f>
      </c>
      <c r="I1008" s="56">
        <f>F1008*AP1008</f>
      </c>
      <c r="J1008" s="56">
        <f>F1008*G1008</f>
      </c>
      <c r="K1008" s="111" t="s">
        <v>100</v>
      </c>
      <c r="Z1008" s="56">
        <f>IF(AQ1008="5",BJ1008,0)</f>
      </c>
      <c r="AB1008" s="56">
        <f>IF(AQ1008="1",BH1008,0)</f>
      </c>
      <c r="AC1008" s="56">
        <f>IF(AQ1008="1",BI1008,0)</f>
      </c>
      <c r="AD1008" s="56">
        <f>IF(AQ1008="7",BH1008,0)</f>
      </c>
      <c r="AE1008" s="56">
        <f>IF(AQ1008="7",BI1008,0)</f>
      </c>
      <c r="AF1008" s="56">
        <f>IF(AQ1008="2",BH1008,0)</f>
      </c>
      <c r="AG1008" s="56">
        <f>IF(AQ1008="2",BI1008,0)</f>
      </c>
      <c r="AH1008" s="56">
        <f>IF(AQ1008="0",BJ1008,0)</f>
      </c>
      <c r="AI1008" s="28" t="s">
        <v>1685</v>
      </c>
      <c r="AJ1008" s="56">
        <f>IF(AN1008=0,J1008,0)</f>
      </c>
      <c r="AK1008" s="56">
        <f>IF(AN1008=12,J1008,0)</f>
      </c>
      <c r="AL1008" s="56">
        <f>IF(AN1008=21,J1008,0)</f>
      </c>
      <c r="AN1008" s="56" t="n">
        <v>21</v>
      </c>
      <c r="AO1008" s="56">
        <f>G1008*0.383859112</f>
      </c>
      <c r="AP1008" s="56">
        <f>G1008*(1-0.383859112)</f>
      </c>
      <c r="AQ1008" s="57" t="s">
        <v>85</v>
      </c>
      <c r="AV1008" s="56">
        <f>AW1008+AX1008</f>
      </c>
      <c r="AW1008" s="56">
        <f>F1008*AO1008</f>
      </c>
      <c r="AX1008" s="56">
        <f>F1008*AP1008</f>
      </c>
      <c r="AY1008" s="57" t="s">
        <v>1750</v>
      </c>
      <c r="AZ1008" s="57" t="s">
        <v>1710</v>
      </c>
      <c r="BA1008" s="28" t="s">
        <v>1688</v>
      </c>
      <c r="BC1008" s="56">
        <f>AW1008+AX1008</f>
      </c>
      <c r="BD1008" s="56">
        <f>G1008/(100-BE1008)*100</f>
      </c>
      <c r="BE1008" s="56" t="n">
        <v>0</v>
      </c>
      <c r="BF1008" s="56">
        <f>1008</f>
      </c>
      <c r="BH1008" s="56">
        <f>F1008*AO1008</f>
      </c>
      <c r="BI1008" s="56">
        <f>F1008*AP1008</f>
      </c>
      <c r="BJ1008" s="56">
        <f>F1008*G1008</f>
      </c>
      <c r="BK1008" s="56"/>
      <c r="BL1008" s="56" t="n">
        <v>735</v>
      </c>
      <c r="BW1008" s="56" t="n">
        <v>21</v>
      </c>
      <c r="BX1008" s="14" t="s">
        <v>1759</v>
      </c>
    </row>
    <row r="1009">
      <c r="A1009" s="9" t="s">
        <v>1760</v>
      </c>
      <c r="B1009" s="10" t="s">
        <v>1761</v>
      </c>
      <c r="C1009" s="14" t="s">
        <v>1762</v>
      </c>
      <c r="D1009" s="10"/>
      <c r="E1009" s="10" t="s">
        <v>130</v>
      </c>
      <c r="F1009" s="56" t="n">
        <v>26.08</v>
      </c>
      <c r="G1009" s="56" t="n">
        <v>0</v>
      </c>
      <c r="H1009" s="56">
        <f>F1009*AO1009</f>
      </c>
      <c r="I1009" s="56">
        <f>F1009*AP1009</f>
      </c>
      <c r="J1009" s="56">
        <f>F1009*G1009</f>
      </c>
      <c r="K1009" s="111" t="s">
        <v>100</v>
      </c>
      <c r="Z1009" s="56">
        <f>IF(AQ1009="5",BJ1009,0)</f>
      </c>
      <c r="AB1009" s="56">
        <f>IF(AQ1009="1",BH1009,0)</f>
      </c>
      <c r="AC1009" s="56">
        <f>IF(AQ1009="1",BI1009,0)</f>
      </c>
      <c r="AD1009" s="56">
        <f>IF(AQ1009="7",BH1009,0)</f>
      </c>
      <c r="AE1009" s="56">
        <f>IF(AQ1009="7",BI1009,0)</f>
      </c>
      <c r="AF1009" s="56">
        <f>IF(AQ1009="2",BH1009,0)</f>
      </c>
      <c r="AG1009" s="56">
        <f>IF(AQ1009="2",BI1009,0)</f>
      </c>
      <c r="AH1009" s="56">
        <f>IF(AQ1009="0",BJ1009,0)</f>
      </c>
      <c r="AI1009" s="28" t="s">
        <v>1685</v>
      </c>
      <c r="AJ1009" s="56">
        <f>IF(AN1009=0,J1009,0)</f>
      </c>
      <c r="AK1009" s="56">
        <f>IF(AN1009=12,J1009,0)</f>
      </c>
      <c r="AL1009" s="56">
        <f>IF(AN1009=21,J1009,0)</f>
      </c>
      <c r="AN1009" s="56" t="n">
        <v>21</v>
      </c>
      <c r="AO1009" s="56">
        <f>G1009*0</f>
      </c>
      <c r="AP1009" s="56">
        <f>G1009*(1-0)</f>
      </c>
      <c r="AQ1009" s="57" t="s">
        <v>85</v>
      </c>
      <c r="AV1009" s="56">
        <f>AW1009+AX1009</f>
      </c>
      <c r="AW1009" s="56">
        <f>F1009*AO1009</f>
      </c>
      <c r="AX1009" s="56">
        <f>F1009*AP1009</f>
      </c>
      <c r="AY1009" s="57" t="s">
        <v>1750</v>
      </c>
      <c r="AZ1009" s="57" t="s">
        <v>1710</v>
      </c>
      <c r="BA1009" s="28" t="s">
        <v>1688</v>
      </c>
      <c r="BC1009" s="56">
        <f>AW1009+AX1009</f>
      </c>
      <c r="BD1009" s="56">
        <f>G1009/(100-BE1009)*100</f>
      </c>
      <c r="BE1009" s="56" t="n">
        <v>0</v>
      </c>
      <c r="BF1009" s="56">
        <f>1009</f>
      </c>
      <c r="BH1009" s="56">
        <f>F1009*AO1009</f>
      </c>
      <c r="BI1009" s="56">
        <f>F1009*AP1009</f>
      </c>
      <c r="BJ1009" s="56">
        <f>F1009*G1009</f>
      </c>
      <c r="BK1009" s="56"/>
      <c r="BL1009" s="56" t="n">
        <v>735</v>
      </c>
      <c r="BW1009" s="56" t="n">
        <v>21</v>
      </c>
      <c r="BX1009" s="14" t="s">
        <v>1762</v>
      </c>
    </row>
    <row r="1010">
      <c r="A1010" s="124" t="s">
        <v>53</v>
      </c>
      <c r="B1010" s="125" t="s">
        <v>1109</v>
      </c>
      <c r="C1010" s="126" t="s">
        <v>1110</v>
      </c>
      <c r="D1010" s="125"/>
      <c r="E1010" s="127" t="s">
        <v>34</v>
      </c>
      <c r="F1010" s="127" t="s">
        <v>34</v>
      </c>
      <c r="G1010" s="127" t="s">
        <v>34</v>
      </c>
      <c r="H1010" s="2">
        <f>SUM(H1011:H1012)</f>
      </c>
      <c r="I1010" s="2">
        <f>SUM(I1011:I1012)</f>
      </c>
      <c r="J1010" s="2">
        <f>SUM(J1011:J1012)</f>
      </c>
      <c r="K1010" s="128" t="s">
        <v>53</v>
      </c>
      <c r="AI1010" s="28" t="s">
        <v>1685</v>
      </c>
      <c r="AS1010" s="2">
        <f>SUM(AJ1011:AJ1012)</f>
      </c>
      <c r="AT1010" s="2">
        <f>SUM(AK1011:AK1012)</f>
      </c>
      <c r="AU1010" s="2">
        <f>SUM(AL1011:AL1012)</f>
      </c>
    </row>
    <row r="1011">
      <c r="A1011" s="9" t="s">
        <v>1763</v>
      </c>
      <c r="B1011" s="10" t="s">
        <v>1629</v>
      </c>
      <c r="C1011" s="14" t="s">
        <v>1630</v>
      </c>
      <c r="D1011" s="10"/>
      <c r="E1011" s="10" t="s">
        <v>303</v>
      </c>
      <c r="F1011" s="56" t="n">
        <v>80</v>
      </c>
      <c r="G1011" s="56" t="n">
        <v>0</v>
      </c>
      <c r="H1011" s="56">
        <f>F1011*AO1011</f>
      </c>
      <c r="I1011" s="56">
        <f>F1011*AP1011</f>
      </c>
      <c r="J1011" s="56">
        <f>F1011*G1011</f>
      </c>
      <c r="K1011" s="111" t="s">
        <v>100</v>
      </c>
      <c r="Z1011" s="56">
        <f>IF(AQ1011="5",BJ1011,0)</f>
      </c>
      <c r="AB1011" s="56">
        <f>IF(AQ1011="1",BH1011,0)</f>
      </c>
      <c r="AC1011" s="56">
        <f>IF(AQ1011="1",BI1011,0)</f>
      </c>
      <c r="AD1011" s="56">
        <f>IF(AQ1011="7",BH1011,0)</f>
      </c>
      <c r="AE1011" s="56">
        <f>IF(AQ1011="7",BI1011,0)</f>
      </c>
      <c r="AF1011" s="56">
        <f>IF(AQ1011="2",BH1011,0)</f>
      </c>
      <c r="AG1011" s="56">
        <f>IF(AQ1011="2",BI1011,0)</f>
      </c>
      <c r="AH1011" s="56">
        <f>IF(AQ1011="0",BJ1011,0)</f>
      </c>
      <c r="AI1011" s="28" t="s">
        <v>1685</v>
      </c>
      <c r="AJ1011" s="56">
        <f>IF(AN1011=0,J1011,0)</f>
      </c>
      <c r="AK1011" s="56">
        <f>IF(AN1011=12,J1011,0)</f>
      </c>
      <c r="AL1011" s="56">
        <f>IF(AN1011=21,J1011,0)</f>
      </c>
      <c r="AN1011" s="56" t="n">
        <v>21</v>
      </c>
      <c r="AO1011" s="56">
        <f>G1011*0.075286344</f>
      </c>
      <c r="AP1011" s="56">
        <f>G1011*(1-0.075286344)</f>
      </c>
      <c r="AQ1011" s="57" t="s">
        <v>85</v>
      </c>
      <c r="AV1011" s="56">
        <f>AW1011+AX1011</f>
      </c>
      <c r="AW1011" s="56">
        <f>F1011*AO1011</f>
      </c>
      <c r="AX1011" s="56">
        <f>F1011*AP1011</f>
      </c>
      <c r="AY1011" s="57" t="s">
        <v>1114</v>
      </c>
      <c r="AZ1011" s="57" t="s">
        <v>1764</v>
      </c>
      <c r="BA1011" s="28" t="s">
        <v>1688</v>
      </c>
      <c r="BC1011" s="56">
        <f>AW1011+AX1011</f>
      </c>
      <c r="BD1011" s="56">
        <f>G1011/(100-BE1011)*100</f>
      </c>
      <c r="BE1011" s="56" t="n">
        <v>0</v>
      </c>
      <c r="BF1011" s="56">
        <f>1011</f>
      </c>
      <c r="BH1011" s="56">
        <f>F1011*AO1011</f>
      </c>
      <c r="BI1011" s="56">
        <f>F1011*AP1011</f>
      </c>
      <c r="BJ1011" s="56">
        <f>F1011*G1011</f>
      </c>
      <c r="BK1011" s="56"/>
      <c r="BL1011" s="56" t="n">
        <v>767</v>
      </c>
      <c r="BW1011" s="56" t="n">
        <v>21</v>
      </c>
      <c r="BX1011" s="14" t="s">
        <v>1630</v>
      </c>
    </row>
    <row r="1012">
      <c r="A1012" s="9" t="s">
        <v>1765</v>
      </c>
      <c r="B1012" s="10" t="s">
        <v>1766</v>
      </c>
      <c r="C1012" s="14" t="s">
        <v>1767</v>
      </c>
      <c r="D1012" s="10"/>
      <c r="E1012" s="10" t="s">
        <v>303</v>
      </c>
      <c r="F1012" s="56" t="n">
        <v>80</v>
      </c>
      <c r="G1012" s="56" t="n">
        <v>0</v>
      </c>
      <c r="H1012" s="56">
        <f>F1012*AO1012</f>
      </c>
      <c r="I1012" s="56">
        <f>F1012*AP1012</f>
      </c>
      <c r="J1012" s="56">
        <f>F1012*G1012</f>
      </c>
      <c r="K1012" s="111" t="s">
        <v>100</v>
      </c>
      <c r="Z1012" s="56">
        <f>IF(AQ1012="5",BJ1012,0)</f>
      </c>
      <c r="AB1012" s="56">
        <f>IF(AQ1012="1",BH1012,0)</f>
      </c>
      <c r="AC1012" s="56">
        <f>IF(AQ1012="1",BI1012,0)</f>
      </c>
      <c r="AD1012" s="56">
        <f>IF(AQ1012="7",BH1012,0)</f>
      </c>
      <c r="AE1012" s="56">
        <f>IF(AQ1012="7",BI1012,0)</f>
      </c>
      <c r="AF1012" s="56">
        <f>IF(AQ1012="2",BH1012,0)</f>
      </c>
      <c r="AG1012" s="56">
        <f>IF(AQ1012="2",BI1012,0)</f>
      </c>
      <c r="AH1012" s="56">
        <f>IF(AQ1012="0",BJ1012,0)</f>
      </c>
      <c r="AI1012" s="28" t="s">
        <v>1685</v>
      </c>
      <c r="AJ1012" s="56">
        <f>IF(AN1012=0,J1012,0)</f>
      </c>
      <c r="AK1012" s="56">
        <f>IF(AN1012=12,J1012,0)</f>
      </c>
      <c r="AL1012" s="56">
        <f>IF(AN1012=21,J1012,0)</f>
      </c>
      <c r="AN1012" s="56" t="n">
        <v>21</v>
      </c>
      <c r="AO1012" s="56">
        <f>G1012*0</f>
      </c>
      <c r="AP1012" s="56">
        <f>G1012*(1-0)</f>
      </c>
      <c r="AQ1012" s="57" t="s">
        <v>85</v>
      </c>
      <c r="AV1012" s="56">
        <f>AW1012+AX1012</f>
      </c>
      <c r="AW1012" s="56">
        <f>F1012*AO1012</f>
      </c>
      <c r="AX1012" s="56">
        <f>F1012*AP1012</f>
      </c>
      <c r="AY1012" s="57" t="s">
        <v>1114</v>
      </c>
      <c r="AZ1012" s="57" t="s">
        <v>1764</v>
      </c>
      <c r="BA1012" s="28" t="s">
        <v>1688</v>
      </c>
      <c r="BC1012" s="56">
        <f>AW1012+AX1012</f>
      </c>
      <c r="BD1012" s="56">
        <f>G1012/(100-BE1012)*100</f>
      </c>
      <c r="BE1012" s="56" t="n">
        <v>0</v>
      </c>
      <c r="BF1012" s="56">
        <f>1012</f>
      </c>
      <c r="BH1012" s="56">
        <f>F1012*AO1012</f>
      </c>
      <c r="BI1012" s="56">
        <f>F1012*AP1012</f>
      </c>
      <c r="BJ1012" s="56">
        <f>F1012*G1012</f>
      </c>
      <c r="BK1012" s="56"/>
      <c r="BL1012" s="56" t="n">
        <v>767</v>
      </c>
      <c r="BW1012" s="56" t="n">
        <v>21</v>
      </c>
      <c r="BX1012" s="14" t="s">
        <v>1767</v>
      </c>
    </row>
    <row r="1013">
      <c r="A1013" s="124" t="s">
        <v>53</v>
      </c>
      <c r="B1013" s="125" t="s">
        <v>1318</v>
      </c>
      <c r="C1013" s="126" t="s">
        <v>1319</v>
      </c>
      <c r="D1013" s="125"/>
      <c r="E1013" s="127" t="s">
        <v>34</v>
      </c>
      <c r="F1013" s="127" t="s">
        <v>34</v>
      </c>
      <c r="G1013" s="127" t="s">
        <v>34</v>
      </c>
      <c r="H1013" s="2">
        <f>SUM(H1014:H1016)</f>
      </c>
      <c r="I1013" s="2">
        <f>SUM(I1014:I1016)</f>
      </c>
      <c r="J1013" s="2">
        <f>SUM(J1014:J1016)</f>
      </c>
      <c r="K1013" s="128" t="s">
        <v>53</v>
      </c>
      <c r="AI1013" s="28" t="s">
        <v>1685</v>
      </c>
      <c r="AS1013" s="2">
        <f>SUM(AJ1014:AJ1016)</f>
      </c>
      <c r="AT1013" s="2">
        <f>SUM(AK1014:AK1016)</f>
      </c>
      <c r="AU1013" s="2">
        <f>SUM(AL1014:AL1016)</f>
      </c>
    </row>
    <row r="1014">
      <c r="A1014" s="9" t="s">
        <v>1768</v>
      </c>
      <c r="B1014" s="10" t="s">
        <v>1321</v>
      </c>
      <c r="C1014" s="14" t="s">
        <v>1322</v>
      </c>
      <c r="D1014" s="10"/>
      <c r="E1014" s="10" t="s">
        <v>130</v>
      </c>
      <c r="F1014" s="56" t="n">
        <v>0.02</v>
      </c>
      <c r="G1014" s="56" t="n">
        <v>0</v>
      </c>
      <c r="H1014" s="56">
        <f>F1014*AO1014</f>
      </c>
      <c r="I1014" s="56">
        <f>F1014*AP1014</f>
      </c>
      <c r="J1014" s="56">
        <f>F1014*G1014</f>
      </c>
      <c r="K1014" s="111" t="s">
        <v>100</v>
      </c>
      <c r="Z1014" s="56">
        <f>IF(AQ1014="5",BJ1014,0)</f>
      </c>
      <c r="AB1014" s="56">
        <f>IF(AQ1014="1",BH1014,0)</f>
      </c>
      <c r="AC1014" s="56">
        <f>IF(AQ1014="1",BI1014,0)</f>
      </c>
      <c r="AD1014" s="56">
        <f>IF(AQ1014="7",BH1014,0)</f>
      </c>
      <c r="AE1014" s="56">
        <f>IF(AQ1014="7",BI1014,0)</f>
      </c>
      <c r="AF1014" s="56">
        <f>IF(AQ1014="2",BH1014,0)</f>
      </c>
      <c r="AG1014" s="56">
        <f>IF(AQ1014="2",BI1014,0)</f>
      </c>
      <c r="AH1014" s="56">
        <f>IF(AQ1014="0",BJ1014,0)</f>
      </c>
      <c r="AI1014" s="28" t="s">
        <v>1685</v>
      </c>
      <c r="AJ1014" s="56">
        <f>IF(AN1014=0,J1014,0)</f>
      </c>
      <c r="AK1014" s="56">
        <f>IF(AN1014=12,J1014,0)</f>
      </c>
      <c r="AL1014" s="56">
        <f>IF(AN1014=21,J1014,0)</f>
      </c>
      <c r="AN1014" s="56" t="n">
        <v>21</v>
      </c>
      <c r="AO1014" s="56">
        <f>G1014*0.176714579</f>
      </c>
      <c r="AP1014" s="56">
        <f>G1014*(1-0.176714579)</f>
      </c>
      <c r="AQ1014" s="57" t="s">
        <v>85</v>
      </c>
      <c r="AV1014" s="56">
        <f>AW1014+AX1014</f>
      </c>
      <c r="AW1014" s="56">
        <f>F1014*AO1014</f>
      </c>
      <c r="AX1014" s="56">
        <f>F1014*AP1014</f>
      </c>
      <c r="AY1014" s="57" t="s">
        <v>1323</v>
      </c>
      <c r="AZ1014" s="57" t="s">
        <v>1769</v>
      </c>
      <c r="BA1014" s="28" t="s">
        <v>1688</v>
      </c>
      <c r="BC1014" s="56">
        <f>AW1014+AX1014</f>
      </c>
      <c r="BD1014" s="56">
        <f>G1014/(100-BE1014)*100</f>
      </c>
      <c r="BE1014" s="56" t="n">
        <v>0</v>
      </c>
      <c r="BF1014" s="56">
        <f>1014</f>
      </c>
      <c r="BH1014" s="56">
        <f>F1014*AO1014</f>
      </c>
      <c r="BI1014" s="56">
        <f>F1014*AP1014</f>
      </c>
      <c r="BJ1014" s="56">
        <f>F1014*G1014</f>
      </c>
      <c r="BK1014" s="56"/>
      <c r="BL1014" s="56" t="n">
        <v>783</v>
      </c>
      <c r="BW1014" s="56" t="n">
        <v>21</v>
      </c>
      <c r="BX1014" s="14" t="s">
        <v>1322</v>
      </c>
    </row>
    <row r="1015">
      <c r="A1015" s="9" t="s">
        <v>1770</v>
      </c>
      <c r="B1015" s="10" t="s">
        <v>1771</v>
      </c>
      <c r="C1015" s="14" t="s">
        <v>1772</v>
      </c>
      <c r="D1015" s="10"/>
      <c r="E1015" s="10" t="s">
        <v>130</v>
      </c>
      <c r="F1015" s="56" t="n">
        <v>26.08</v>
      </c>
      <c r="G1015" s="56" t="n">
        <v>0</v>
      </c>
      <c r="H1015" s="56">
        <f>F1015*AO1015</f>
      </c>
      <c r="I1015" s="56">
        <f>F1015*AP1015</f>
      </c>
      <c r="J1015" s="56">
        <f>F1015*G1015</f>
      </c>
      <c r="K1015" s="111" t="s">
        <v>100</v>
      </c>
      <c r="Z1015" s="56">
        <f>IF(AQ1015="5",BJ1015,0)</f>
      </c>
      <c r="AB1015" s="56">
        <f>IF(AQ1015="1",BH1015,0)</f>
      </c>
      <c r="AC1015" s="56">
        <f>IF(AQ1015="1",BI1015,0)</f>
      </c>
      <c r="AD1015" s="56">
        <f>IF(AQ1015="7",BH1015,0)</f>
      </c>
      <c r="AE1015" s="56">
        <f>IF(AQ1015="7",BI1015,0)</f>
      </c>
      <c r="AF1015" s="56">
        <f>IF(AQ1015="2",BH1015,0)</f>
      </c>
      <c r="AG1015" s="56">
        <f>IF(AQ1015="2",BI1015,0)</f>
      </c>
      <c r="AH1015" s="56">
        <f>IF(AQ1015="0",BJ1015,0)</f>
      </c>
      <c r="AI1015" s="28" t="s">
        <v>1685</v>
      </c>
      <c r="AJ1015" s="56">
        <f>IF(AN1015=0,J1015,0)</f>
      </c>
      <c r="AK1015" s="56">
        <f>IF(AN1015=12,J1015,0)</f>
      </c>
      <c r="AL1015" s="56">
        <f>IF(AN1015=21,J1015,0)</f>
      </c>
      <c r="AN1015" s="56" t="n">
        <v>21</v>
      </c>
      <c r="AO1015" s="56">
        <f>G1015*0.422911978</f>
      </c>
      <c r="AP1015" s="56">
        <f>G1015*(1-0.422911978)</f>
      </c>
      <c r="AQ1015" s="57" t="s">
        <v>85</v>
      </c>
      <c r="AV1015" s="56">
        <f>AW1015+AX1015</f>
      </c>
      <c r="AW1015" s="56">
        <f>F1015*AO1015</f>
      </c>
      <c r="AX1015" s="56">
        <f>F1015*AP1015</f>
      </c>
      <c r="AY1015" s="57" t="s">
        <v>1323</v>
      </c>
      <c r="AZ1015" s="57" t="s">
        <v>1769</v>
      </c>
      <c r="BA1015" s="28" t="s">
        <v>1688</v>
      </c>
      <c r="BC1015" s="56">
        <f>AW1015+AX1015</f>
      </c>
      <c r="BD1015" s="56">
        <f>G1015/(100-BE1015)*100</f>
      </c>
      <c r="BE1015" s="56" t="n">
        <v>0</v>
      </c>
      <c r="BF1015" s="56">
        <f>1015</f>
      </c>
      <c r="BH1015" s="56">
        <f>F1015*AO1015</f>
      </c>
      <c r="BI1015" s="56">
        <f>F1015*AP1015</f>
      </c>
      <c r="BJ1015" s="56">
        <f>F1015*G1015</f>
      </c>
      <c r="BK1015" s="56"/>
      <c r="BL1015" s="56" t="n">
        <v>783</v>
      </c>
      <c r="BW1015" s="56" t="n">
        <v>21</v>
      </c>
      <c r="BX1015" s="14" t="s">
        <v>1772</v>
      </c>
    </row>
    <row r="1016">
      <c r="A1016" s="129" t="s">
        <v>1773</v>
      </c>
      <c r="B1016" s="130" t="s">
        <v>1774</v>
      </c>
      <c r="C1016" s="131" t="s">
        <v>1775</v>
      </c>
      <c r="D1016" s="130"/>
      <c r="E1016" s="130" t="s">
        <v>393</v>
      </c>
      <c r="F1016" s="132" t="n">
        <v>118</v>
      </c>
      <c r="G1016" s="132" t="n">
        <v>0</v>
      </c>
      <c r="H1016" s="132">
        <f>F1016*AO1016</f>
      </c>
      <c r="I1016" s="132">
        <f>F1016*AP1016</f>
      </c>
      <c r="J1016" s="132">
        <f>F1016*G1016</f>
      </c>
      <c r="K1016" s="133" t="s">
        <v>100</v>
      </c>
      <c r="Z1016" s="56">
        <f>IF(AQ1016="5",BJ1016,0)</f>
      </c>
      <c r="AB1016" s="56">
        <f>IF(AQ1016="1",BH1016,0)</f>
      </c>
      <c r="AC1016" s="56">
        <f>IF(AQ1016="1",BI1016,0)</f>
      </c>
      <c r="AD1016" s="56">
        <f>IF(AQ1016="7",BH1016,0)</f>
      </c>
      <c r="AE1016" s="56">
        <f>IF(AQ1016="7",BI1016,0)</f>
      </c>
      <c r="AF1016" s="56">
        <f>IF(AQ1016="2",BH1016,0)</f>
      </c>
      <c r="AG1016" s="56">
        <f>IF(AQ1016="2",BI1016,0)</f>
      </c>
      <c r="AH1016" s="56">
        <f>IF(AQ1016="0",BJ1016,0)</f>
      </c>
      <c r="AI1016" s="28" t="s">
        <v>1685</v>
      </c>
      <c r="AJ1016" s="56">
        <f>IF(AN1016=0,J1016,0)</f>
      </c>
      <c r="AK1016" s="56">
        <f>IF(AN1016=12,J1016,0)</f>
      </c>
      <c r="AL1016" s="56">
        <f>IF(AN1016=21,J1016,0)</f>
      </c>
      <c r="AN1016" s="56" t="n">
        <v>21</v>
      </c>
      <c r="AO1016" s="56">
        <f>G1016*0.212172775</f>
      </c>
      <c r="AP1016" s="56">
        <f>G1016*(1-0.212172775)</f>
      </c>
      <c r="AQ1016" s="57" t="s">
        <v>85</v>
      </c>
      <c r="AV1016" s="56">
        <f>AW1016+AX1016</f>
      </c>
      <c r="AW1016" s="56">
        <f>F1016*AO1016</f>
      </c>
      <c r="AX1016" s="56">
        <f>F1016*AP1016</f>
      </c>
      <c r="AY1016" s="57" t="s">
        <v>1323</v>
      </c>
      <c r="AZ1016" s="57" t="s">
        <v>1769</v>
      </c>
      <c r="BA1016" s="28" t="s">
        <v>1688</v>
      </c>
      <c r="BC1016" s="56">
        <f>AW1016+AX1016</f>
      </c>
      <c r="BD1016" s="56">
        <f>G1016/(100-BE1016)*100</f>
      </c>
      <c r="BE1016" s="56" t="n">
        <v>0</v>
      </c>
      <c r="BF1016" s="56">
        <f>1016</f>
      </c>
      <c r="BH1016" s="56">
        <f>F1016*AO1016</f>
      </c>
      <c r="BI1016" s="56">
        <f>F1016*AP1016</f>
      </c>
      <c r="BJ1016" s="56">
        <f>F1016*G1016</f>
      </c>
      <c r="BK1016" s="56"/>
      <c r="BL1016" s="56" t="n">
        <v>783</v>
      </c>
      <c r="BW1016" s="56" t="n">
        <v>21</v>
      </c>
      <c r="BX1016" s="14" t="s">
        <v>1775</v>
      </c>
    </row>
    <row r="1017">
      <c r="A1017" s="62" t="s">
        <v>53</v>
      </c>
      <c r="B1017" s="63" t="s">
        <v>1365</v>
      </c>
      <c r="C1017" s="64" t="s">
        <v>1366</v>
      </c>
      <c r="D1017" s="63"/>
      <c r="E1017" s="65" t="s">
        <v>34</v>
      </c>
      <c r="F1017" s="65" t="s">
        <v>34</v>
      </c>
      <c r="G1017" s="65" t="s">
        <v>34</v>
      </c>
      <c r="H1017" s="66">
        <f>SUM(H1018:H1018)</f>
      </c>
      <c r="I1017" s="66">
        <f>SUM(I1018:I1018)</f>
      </c>
      <c r="J1017" s="66">
        <f>SUM(J1018:J1018)</f>
      </c>
      <c r="K1017" s="67" t="s">
        <v>53</v>
      </c>
      <c r="AI1017" s="28" t="s">
        <v>1685</v>
      </c>
      <c r="AS1017" s="2">
        <f>SUM(AJ1018:AJ1018)</f>
      </c>
      <c r="AT1017" s="2">
        <f>SUM(AK1018:AK1018)</f>
      </c>
      <c r="AU1017" s="2">
        <f>SUM(AL1018:AL1018)</f>
      </c>
    </row>
    <row r="1018">
      <c r="A1018" s="51" t="s">
        <v>1776</v>
      </c>
      <c r="B1018" s="52" t="s">
        <v>1379</v>
      </c>
      <c r="C1018" s="53" t="s">
        <v>1777</v>
      </c>
      <c r="D1018" s="52"/>
      <c r="E1018" s="52" t="s">
        <v>130</v>
      </c>
      <c r="F1018" s="54" t="n">
        <v>33.85</v>
      </c>
      <c r="G1018" s="54" t="n">
        <v>0</v>
      </c>
      <c r="H1018" s="54">
        <f>F1018*AO1018</f>
      </c>
      <c r="I1018" s="54">
        <f>F1018*AP1018</f>
      </c>
      <c r="J1018" s="54">
        <f>F1018*G1018</f>
      </c>
      <c r="K1018" s="55" t="s">
        <v>100</v>
      </c>
      <c r="Z1018" s="56">
        <f>IF(AQ1018="5",BJ1018,0)</f>
      </c>
      <c r="AB1018" s="56">
        <f>IF(AQ1018="1",BH1018,0)</f>
      </c>
      <c r="AC1018" s="56">
        <f>IF(AQ1018="1",BI1018,0)</f>
      </c>
      <c r="AD1018" s="56">
        <f>IF(AQ1018="7",BH1018,0)</f>
      </c>
      <c r="AE1018" s="56">
        <f>IF(AQ1018="7",BI1018,0)</f>
      </c>
      <c r="AF1018" s="56">
        <f>IF(AQ1018="2",BH1018,0)</f>
      </c>
      <c r="AG1018" s="56">
        <f>IF(AQ1018="2",BI1018,0)</f>
      </c>
      <c r="AH1018" s="56">
        <f>IF(AQ1018="0",BJ1018,0)</f>
      </c>
      <c r="AI1018" s="28" t="s">
        <v>1685</v>
      </c>
      <c r="AJ1018" s="56">
        <f>IF(AN1018=0,J1018,0)</f>
      </c>
      <c r="AK1018" s="56">
        <f>IF(AN1018=12,J1018,0)</f>
      </c>
      <c r="AL1018" s="56">
        <f>IF(AN1018=21,J1018,0)</f>
      </c>
      <c r="AN1018" s="56" t="n">
        <v>21</v>
      </c>
      <c r="AO1018" s="56">
        <f>G1018*0.250330636</f>
      </c>
      <c r="AP1018" s="56">
        <f>G1018*(1-0.250330636)</f>
      </c>
      <c r="AQ1018" s="57" t="s">
        <v>85</v>
      </c>
      <c r="AV1018" s="56">
        <f>AW1018+AX1018</f>
      </c>
      <c r="AW1018" s="56">
        <f>F1018*AO1018</f>
      </c>
      <c r="AX1018" s="56">
        <f>F1018*AP1018</f>
      </c>
      <c r="AY1018" s="57" t="s">
        <v>1370</v>
      </c>
      <c r="AZ1018" s="57" t="s">
        <v>1769</v>
      </c>
      <c r="BA1018" s="28" t="s">
        <v>1688</v>
      </c>
      <c r="BC1018" s="56">
        <f>AW1018+AX1018</f>
      </c>
      <c r="BD1018" s="56">
        <f>G1018/(100-BE1018)*100</f>
      </c>
      <c r="BE1018" s="56" t="n">
        <v>0</v>
      </c>
      <c r="BF1018" s="56">
        <f>1018</f>
      </c>
      <c r="BH1018" s="56">
        <f>F1018*AO1018</f>
      </c>
      <c r="BI1018" s="56">
        <f>F1018*AP1018</f>
      </c>
      <c r="BJ1018" s="56">
        <f>F1018*G1018</f>
      </c>
      <c r="BK1018" s="56"/>
      <c r="BL1018" s="56" t="n">
        <v>784</v>
      </c>
      <c r="BW1018" s="56" t="n">
        <v>21</v>
      </c>
      <c r="BX1018" s="14" t="s">
        <v>1777</v>
      </c>
    </row>
    <row r="1019">
      <c r="A1019" s="74"/>
      <c r="B1019" s="75"/>
      <c r="C1019" s="76" t="s">
        <v>1778</v>
      </c>
      <c r="D1019" s="77" t="s">
        <v>1779</v>
      </c>
      <c r="E1019" s="75"/>
      <c r="F1019" s="78" t="n">
        <v>33.85</v>
      </c>
      <c r="G1019" s="75"/>
      <c r="H1019" s="75"/>
      <c r="I1019" s="75"/>
      <c r="J1019" s="75"/>
      <c r="K1019" s="79"/>
    </row>
    <row r="1020">
      <c r="A1020" s="58"/>
      <c r="B1020" s="80" t="s">
        <v>108</v>
      </c>
      <c r="C1020" s="59" t="s">
        <v>1383</v>
      </c>
      <c r="D1020" s="60"/>
      <c r="E1020" s="60"/>
      <c r="F1020" s="60"/>
      <c r="G1020" s="60"/>
      <c r="H1020" s="60"/>
      <c r="I1020" s="60"/>
      <c r="J1020" s="60"/>
      <c r="K1020" s="61"/>
      <c r="BX1020" s="81" t="s">
        <v>1383</v>
      </c>
    </row>
    <row r="1021">
      <c r="A1021" s="62" t="s">
        <v>53</v>
      </c>
      <c r="B1021" s="63" t="s">
        <v>706</v>
      </c>
      <c r="C1021" s="64" t="s">
        <v>1437</v>
      </c>
      <c r="D1021" s="63"/>
      <c r="E1021" s="65" t="s">
        <v>34</v>
      </c>
      <c r="F1021" s="65" t="s">
        <v>34</v>
      </c>
      <c r="G1021" s="65" t="s">
        <v>34</v>
      </c>
      <c r="H1021" s="66">
        <f>SUM(H1022:H1025)</f>
      </c>
      <c r="I1021" s="66">
        <f>SUM(I1022:I1025)</f>
      </c>
      <c r="J1021" s="66">
        <f>SUM(J1022:J1025)</f>
      </c>
      <c r="K1021" s="67" t="s">
        <v>53</v>
      </c>
      <c r="AI1021" s="28" t="s">
        <v>1685</v>
      </c>
      <c r="AS1021" s="2">
        <f>SUM(AJ1022:AJ1025)</f>
      </c>
      <c r="AT1021" s="2">
        <f>SUM(AK1022:AK1025)</f>
      </c>
      <c r="AU1021" s="2">
        <f>SUM(AL1022:AL1025)</f>
      </c>
    </row>
    <row r="1022">
      <c r="A1022" s="51" t="s">
        <v>1780</v>
      </c>
      <c r="B1022" s="52" t="s">
        <v>1647</v>
      </c>
      <c r="C1022" s="53" t="s">
        <v>1648</v>
      </c>
      <c r="D1022" s="52"/>
      <c r="E1022" s="52" t="s">
        <v>180</v>
      </c>
      <c r="F1022" s="54" t="n">
        <v>3</v>
      </c>
      <c r="G1022" s="54" t="n">
        <v>0</v>
      </c>
      <c r="H1022" s="54">
        <f>F1022*AO1022</f>
      </c>
      <c r="I1022" s="54">
        <f>F1022*AP1022</f>
      </c>
      <c r="J1022" s="54">
        <f>F1022*G1022</f>
      </c>
      <c r="K1022" s="55" t="s">
        <v>100</v>
      </c>
      <c r="Z1022" s="56">
        <f>IF(AQ1022="5",BJ1022,0)</f>
      </c>
      <c r="AB1022" s="56">
        <f>IF(AQ1022="1",BH1022,0)</f>
      </c>
      <c r="AC1022" s="56">
        <f>IF(AQ1022="1",BI1022,0)</f>
      </c>
      <c r="AD1022" s="56">
        <f>IF(AQ1022="7",BH1022,0)</f>
      </c>
      <c r="AE1022" s="56">
        <f>IF(AQ1022="7",BI1022,0)</f>
      </c>
      <c r="AF1022" s="56">
        <f>IF(AQ1022="2",BH1022,0)</f>
      </c>
      <c r="AG1022" s="56">
        <f>IF(AQ1022="2",BI1022,0)</f>
      </c>
      <c r="AH1022" s="56">
        <f>IF(AQ1022="0",BJ1022,0)</f>
      </c>
      <c r="AI1022" s="28" t="s">
        <v>1685</v>
      </c>
      <c r="AJ1022" s="56">
        <f>IF(AN1022=0,J1022,0)</f>
      </c>
      <c r="AK1022" s="56">
        <f>IF(AN1022=12,J1022,0)</f>
      </c>
      <c r="AL1022" s="56">
        <f>IF(AN1022=21,J1022,0)</f>
      </c>
      <c r="AN1022" s="56" t="n">
        <v>21</v>
      </c>
      <c r="AO1022" s="56">
        <f>G1022*0.248193109</f>
      </c>
      <c r="AP1022" s="56">
        <f>G1022*(1-0.248193109)</f>
      </c>
      <c r="AQ1022" s="57" t="s">
        <v>58</v>
      </c>
      <c r="AV1022" s="56">
        <f>AW1022+AX1022</f>
      </c>
      <c r="AW1022" s="56">
        <f>F1022*AO1022</f>
      </c>
      <c r="AX1022" s="56">
        <f>F1022*AP1022</f>
      </c>
      <c r="AY1022" s="57" t="s">
        <v>1441</v>
      </c>
      <c r="AZ1022" s="57" t="s">
        <v>1781</v>
      </c>
      <c r="BA1022" s="28" t="s">
        <v>1688</v>
      </c>
      <c r="BC1022" s="56">
        <f>AW1022+AX1022</f>
      </c>
      <c r="BD1022" s="56">
        <f>G1022/(100-BE1022)*100</f>
      </c>
      <c r="BE1022" s="56" t="n">
        <v>0</v>
      </c>
      <c r="BF1022" s="56">
        <f>1022</f>
      </c>
      <c r="BH1022" s="56">
        <f>F1022*AO1022</f>
      </c>
      <c r="BI1022" s="56">
        <f>F1022*AP1022</f>
      </c>
      <c r="BJ1022" s="56">
        <f>F1022*G1022</f>
      </c>
      <c r="BK1022" s="56"/>
      <c r="BL1022" s="56" t="n">
        <v>97</v>
      </c>
      <c r="BW1022" s="56" t="n">
        <v>21</v>
      </c>
      <c r="BX1022" s="14" t="s">
        <v>1648</v>
      </c>
    </row>
    <row r="1023">
      <c r="A1023" s="74"/>
      <c r="B1023" s="75"/>
      <c r="C1023" s="76" t="s">
        <v>73</v>
      </c>
      <c r="D1023" s="77" t="s">
        <v>1782</v>
      </c>
      <c r="E1023" s="75"/>
      <c r="F1023" s="78" t="n">
        <v>3</v>
      </c>
      <c r="G1023" s="75"/>
      <c r="H1023" s="75"/>
      <c r="I1023" s="75"/>
      <c r="J1023" s="75"/>
      <c r="K1023" s="79"/>
    </row>
    <row r="1024">
      <c r="A1024" s="58"/>
      <c r="B1024" s="80" t="s">
        <v>108</v>
      </c>
      <c r="C1024" s="59" t="s">
        <v>1406</v>
      </c>
      <c r="D1024" s="60"/>
      <c r="E1024" s="60"/>
      <c r="F1024" s="60"/>
      <c r="G1024" s="60"/>
      <c r="H1024" s="60"/>
      <c r="I1024" s="60"/>
      <c r="J1024" s="60"/>
      <c r="K1024" s="61"/>
      <c r="BX1024" s="81" t="s">
        <v>1406</v>
      </c>
    </row>
    <row r="1025">
      <c r="A1025" s="82" t="s">
        <v>1783</v>
      </c>
      <c r="B1025" s="83" t="s">
        <v>1784</v>
      </c>
      <c r="C1025" s="84" t="s">
        <v>1785</v>
      </c>
      <c r="D1025" s="83"/>
      <c r="E1025" s="83" t="s">
        <v>180</v>
      </c>
      <c r="F1025" s="85" t="n">
        <v>2</v>
      </c>
      <c r="G1025" s="85" t="n">
        <v>0</v>
      </c>
      <c r="H1025" s="85">
        <f>F1025*AO1025</f>
      </c>
      <c r="I1025" s="85">
        <f>F1025*AP1025</f>
      </c>
      <c r="J1025" s="85">
        <f>F1025*G1025</f>
      </c>
      <c r="K1025" s="86" t="s">
        <v>100</v>
      </c>
      <c r="Z1025" s="56">
        <f>IF(AQ1025="5",BJ1025,0)</f>
      </c>
      <c r="AB1025" s="56">
        <f>IF(AQ1025="1",BH1025,0)</f>
      </c>
      <c r="AC1025" s="56">
        <f>IF(AQ1025="1",BI1025,0)</f>
      </c>
      <c r="AD1025" s="56">
        <f>IF(AQ1025="7",BH1025,0)</f>
      </c>
      <c r="AE1025" s="56">
        <f>IF(AQ1025="7",BI1025,0)</f>
      </c>
      <c r="AF1025" s="56">
        <f>IF(AQ1025="2",BH1025,0)</f>
      </c>
      <c r="AG1025" s="56">
        <f>IF(AQ1025="2",BI1025,0)</f>
      </c>
      <c r="AH1025" s="56">
        <f>IF(AQ1025="0",BJ1025,0)</f>
      </c>
      <c r="AI1025" s="28" t="s">
        <v>1685</v>
      </c>
      <c r="AJ1025" s="56">
        <f>IF(AN1025=0,J1025,0)</f>
      </c>
      <c r="AK1025" s="56">
        <f>IF(AN1025=12,J1025,0)</f>
      </c>
      <c r="AL1025" s="56">
        <f>IF(AN1025=21,J1025,0)</f>
      </c>
      <c r="AN1025" s="56" t="n">
        <v>21</v>
      </c>
      <c r="AO1025" s="56">
        <f>G1025*0</f>
      </c>
      <c r="AP1025" s="56">
        <f>G1025*(1-0)</f>
      </c>
      <c r="AQ1025" s="57" t="s">
        <v>58</v>
      </c>
      <c r="AV1025" s="56">
        <f>AW1025+AX1025</f>
      </c>
      <c r="AW1025" s="56">
        <f>F1025*AO1025</f>
      </c>
      <c r="AX1025" s="56">
        <f>F1025*AP1025</f>
      </c>
      <c r="AY1025" s="57" t="s">
        <v>1441</v>
      </c>
      <c r="AZ1025" s="57" t="s">
        <v>1781</v>
      </c>
      <c r="BA1025" s="28" t="s">
        <v>1688</v>
      </c>
      <c r="BC1025" s="56">
        <f>AW1025+AX1025</f>
      </c>
      <c r="BD1025" s="56">
        <f>G1025/(100-BE1025)*100</f>
      </c>
      <c r="BE1025" s="56" t="n">
        <v>0</v>
      </c>
      <c r="BF1025" s="56">
        <f>1025</f>
      </c>
      <c r="BH1025" s="56">
        <f>F1025*AO1025</f>
      </c>
      <c r="BI1025" s="56">
        <f>F1025*AP1025</f>
      </c>
      <c r="BJ1025" s="56">
        <f>F1025*G1025</f>
      </c>
      <c r="BK1025" s="56"/>
      <c r="BL1025" s="56" t="n">
        <v>97</v>
      </c>
      <c r="BW1025" s="56" t="n">
        <v>21</v>
      </c>
      <c r="BX1025" s="14" t="s">
        <v>1785</v>
      </c>
    </row>
    <row r="1026">
      <c r="A1026" s="74"/>
      <c r="B1026" s="75"/>
      <c r="C1026" s="76" t="s">
        <v>61</v>
      </c>
      <c r="D1026" s="77" t="s">
        <v>1786</v>
      </c>
      <c r="E1026" s="75"/>
      <c r="F1026" s="78" t="n">
        <v>2</v>
      </c>
      <c r="G1026" s="75"/>
      <c r="H1026" s="75"/>
      <c r="I1026" s="75"/>
      <c r="J1026" s="75"/>
      <c r="K1026" s="79"/>
    </row>
    <row r="1027">
      <c r="A1027" s="101"/>
      <c r="B1027" s="102" t="s">
        <v>108</v>
      </c>
      <c r="C1027" s="103" t="s">
        <v>1406</v>
      </c>
      <c r="D1027" s="104"/>
      <c r="E1027" s="104"/>
      <c r="F1027" s="104"/>
      <c r="G1027" s="104"/>
      <c r="H1027" s="104"/>
      <c r="I1027" s="104"/>
      <c r="J1027" s="104"/>
      <c r="K1027" s="105"/>
      <c r="BX1027" s="81" t="s">
        <v>1406</v>
      </c>
    </row>
    <row r="1028">
      <c r="A1028" s="124" t="s">
        <v>53</v>
      </c>
      <c r="B1028" s="125" t="s">
        <v>1787</v>
      </c>
      <c r="C1028" s="126" t="s">
        <v>382</v>
      </c>
      <c r="D1028" s="125"/>
      <c r="E1028" s="127" t="s">
        <v>34</v>
      </c>
      <c r="F1028" s="127" t="s">
        <v>34</v>
      </c>
      <c r="G1028" s="127" t="s">
        <v>34</v>
      </c>
      <c r="H1028" s="2">
        <f>SUM(H1029:H1029)</f>
      </c>
      <c r="I1028" s="2">
        <f>SUM(I1029:I1029)</f>
      </c>
      <c r="J1028" s="2">
        <f>SUM(J1029:J1029)</f>
      </c>
      <c r="K1028" s="128" t="s">
        <v>53</v>
      </c>
      <c r="AI1028" s="28" t="s">
        <v>1685</v>
      </c>
      <c r="AS1028" s="2">
        <f>SUM(AJ1029:AJ1029)</f>
      </c>
      <c r="AT1028" s="2">
        <f>SUM(AK1029:AK1029)</f>
      </c>
      <c r="AU1028" s="2">
        <f>SUM(AL1029:AL1029)</f>
      </c>
    </row>
    <row r="1029">
      <c r="A1029" s="9" t="s">
        <v>1788</v>
      </c>
      <c r="B1029" s="10" t="s">
        <v>528</v>
      </c>
      <c r="C1029" s="14" t="s">
        <v>529</v>
      </c>
      <c r="D1029" s="10"/>
      <c r="E1029" s="10" t="s">
        <v>242</v>
      </c>
      <c r="F1029" s="56" t="n">
        <v>0.00036</v>
      </c>
      <c r="G1029" s="56" t="n">
        <v>0</v>
      </c>
      <c r="H1029" s="56">
        <f>F1029*AO1029</f>
      </c>
      <c r="I1029" s="56">
        <f>F1029*AP1029</f>
      </c>
      <c r="J1029" s="56">
        <f>F1029*G1029</f>
      </c>
      <c r="K1029" s="111" t="s">
        <v>100</v>
      </c>
      <c r="Z1029" s="56">
        <f>IF(AQ1029="5",BJ1029,0)</f>
      </c>
      <c r="AB1029" s="56">
        <f>IF(AQ1029="1",BH1029,0)</f>
      </c>
      <c r="AC1029" s="56">
        <f>IF(AQ1029="1",BI1029,0)</f>
      </c>
      <c r="AD1029" s="56">
        <f>IF(AQ1029="7",BH1029,0)</f>
      </c>
      <c r="AE1029" s="56">
        <f>IF(AQ1029="7",BI1029,0)</f>
      </c>
      <c r="AF1029" s="56">
        <f>IF(AQ1029="2",BH1029,0)</f>
      </c>
      <c r="AG1029" s="56">
        <f>IF(AQ1029="2",BI1029,0)</f>
      </c>
      <c r="AH1029" s="56">
        <f>IF(AQ1029="0",BJ1029,0)</f>
      </c>
      <c r="AI1029" s="28" t="s">
        <v>1685</v>
      </c>
      <c r="AJ1029" s="56">
        <f>IF(AN1029=0,J1029,0)</f>
      </c>
      <c r="AK1029" s="56">
        <f>IF(AN1029=12,J1029,0)</f>
      </c>
      <c r="AL1029" s="56">
        <f>IF(AN1029=21,J1029,0)</f>
      </c>
      <c r="AN1029" s="56" t="n">
        <v>21</v>
      </c>
      <c r="AO1029" s="56">
        <f>G1029*0</f>
      </c>
      <c r="AP1029" s="56">
        <f>G1029*(1-0)</f>
      </c>
      <c r="AQ1029" s="57" t="s">
        <v>79</v>
      </c>
      <c r="AV1029" s="56">
        <f>AW1029+AX1029</f>
      </c>
      <c r="AW1029" s="56">
        <f>F1029*AO1029</f>
      </c>
      <c r="AX1029" s="56">
        <f>F1029*AP1029</f>
      </c>
      <c r="AY1029" s="57" t="s">
        <v>1789</v>
      </c>
      <c r="AZ1029" s="57" t="s">
        <v>1781</v>
      </c>
      <c r="BA1029" s="28" t="s">
        <v>1688</v>
      </c>
      <c r="BC1029" s="56">
        <f>AW1029+AX1029</f>
      </c>
      <c r="BD1029" s="56">
        <f>G1029/(100-BE1029)*100</f>
      </c>
      <c r="BE1029" s="56" t="n">
        <v>0</v>
      </c>
      <c r="BF1029" s="56">
        <f>1029</f>
      </c>
      <c r="BH1029" s="56">
        <f>F1029*AO1029</f>
      </c>
      <c r="BI1029" s="56">
        <f>F1029*AP1029</f>
      </c>
      <c r="BJ1029" s="56">
        <f>F1029*G1029</f>
      </c>
      <c r="BK1029" s="56"/>
      <c r="BL1029" s="56"/>
      <c r="BW1029" s="56" t="n">
        <v>21</v>
      </c>
      <c r="BX1029" s="14" t="s">
        <v>529</v>
      </c>
    </row>
    <row r="1030">
      <c r="A1030" s="124" t="s">
        <v>53</v>
      </c>
      <c r="B1030" s="125" t="s">
        <v>1790</v>
      </c>
      <c r="C1030" s="126" t="s">
        <v>1705</v>
      </c>
      <c r="D1030" s="125"/>
      <c r="E1030" s="127" t="s">
        <v>34</v>
      </c>
      <c r="F1030" s="127" t="s">
        <v>34</v>
      </c>
      <c r="G1030" s="127" t="s">
        <v>34</v>
      </c>
      <c r="H1030" s="2">
        <f>SUM(H1031:H1031)</f>
      </c>
      <c r="I1030" s="2">
        <f>SUM(I1031:I1031)</f>
      </c>
      <c r="J1030" s="2">
        <f>SUM(J1031:J1031)</f>
      </c>
      <c r="K1030" s="128" t="s">
        <v>53</v>
      </c>
      <c r="AI1030" s="28" t="s">
        <v>1685</v>
      </c>
      <c r="AS1030" s="2">
        <f>SUM(AJ1031:AJ1031)</f>
      </c>
      <c r="AT1030" s="2">
        <f>SUM(AK1031:AK1031)</f>
      </c>
      <c r="AU1030" s="2">
        <f>SUM(AL1031:AL1031)</f>
      </c>
    </row>
    <row r="1031">
      <c r="A1031" s="9" t="s">
        <v>1791</v>
      </c>
      <c r="B1031" s="10" t="s">
        <v>1792</v>
      </c>
      <c r="C1031" s="14" t="s">
        <v>1793</v>
      </c>
      <c r="D1031" s="10"/>
      <c r="E1031" s="10" t="s">
        <v>242</v>
      </c>
      <c r="F1031" s="56" t="n">
        <v>0.7979</v>
      </c>
      <c r="G1031" s="56" t="n">
        <v>0</v>
      </c>
      <c r="H1031" s="56">
        <f>F1031*AO1031</f>
      </c>
      <c r="I1031" s="56">
        <f>F1031*AP1031</f>
      </c>
      <c r="J1031" s="56">
        <f>F1031*G1031</f>
      </c>
      <c r="K1031" s="111" t="s">
        <v>100</v>
      </c>
      <c r="Z1031" s="56">
        <f>IF(AQ1031="5",BJ1031,0)</f>
      </c>
      <c r="AB1031" s="56">
        <f>IF(AQ1031="1",BH1031,0)</f>
      </c>
      <c r="AC1031" s="56">
        <f>IF(AQ1031="1",BI1031,0)</f>
      </c>
      <c r="AD1031" s="56">
        <f>IF(AQ1031="7",BH1031,0)</f>
      </c>
      <c r="AE1031" s="56">
        <f>IF(AQ1031="7",BI1031,0)</f>
      </c>
      <c r="AF1031" s="56">
        <f>IF(AQ1031="2",BH1031,0)</f>
      </c>
      <c r="AG1031" s="56">
        <f>IF(AQ1031="2",BI1031,0)</f>
      </c>
      <c r="AH1031" s="56">
        <f>IF(AQ1031="0",BJ1031,0)</f>
      </c>
      <c r="AI1031" s="28" t="s">
        <v>1685</v>
      </c>
      <c r="AJ1031" s="56">
        <f>IF(AN1031=0,J1031,0)</f>
      </c>
      <c r="AK1031" s="56">
        <f>IF(AN1031=12,J1031,0)</f>
      </c>
      <c r="AL1031" s="56">
        <f>IF(AN1031=21,J1031,0)</f>
      </c>
      <c r="AN1031" s="56" t="n">
        <v>21</v>
      </c>
      <c r="AO1031" s="56">
        <f>G1031*0</f>
      </c>
      <c r="AP1031" s="56">
        <f>G1031*(1-0)</f>
      </c>
      <c r="AQ1031" s="57" t="s">
        <v>79</v>
      </c>
      <c r="AV1031" s="56">
        <f>AW1031+AX1031</f>
      </c>
      <c r="AW1031" s="56">
        <f>F1031*AO1031</f>
      </c>
      <c r="AX1031" s="56">
        <f>F1031*AP1031</f>
      </c>
      <c r="AY1031" s="57" t="s">
        <v>1794</v>
      </c>
      <c r="AZ1031" s="57" t="s">
        <v>1781</v>
      </c>
      <c r="BA1031" s="28" t="s">
        <v>1688</v>
      </c>
      <c r="BC1031" s="56">
        <f>AW1031+AX1031</f>
      </c>
      <c r="BD1031" s="56">
        <f>G1031/(100-BE1031)*100</f>
      </c>
      <c r="BE1031" s="56" t="n">
        <v>0</v>
      </c>
      <c r="BF1031" s="56">
        <f>1031</f>
      </c>
      <c r="BH1031" s="56">
        <f>F1031*AO1031</f>
      </c>
      <c r="BI1031" s="56">
        <f>F1031*AP1031</f>
      </c>
      <c r="BJ1031" s="56">
        <f>F1031*G1031</f>
      </c>
      <c r="BK1031" s="56"/>
      <c r="BL1031" s="56"/>
      <c r="BW1031" s="56" t="n">
        <v>21</v>
      </c>
      <c r="BX1031" s="14" t="s">
        <v>1793</v>
      </c>
    </row>
    <row r="1032">
      <c r="A1032" s="124" t="s">
        <v>53</v>
      </c>
      <c r="B1032" s="125" t="s">
        <v>1795</v>
      </c>
      <c r="C1032" s="126" t="s">
        <v>1724</v>
      </c>
      <c r="D1032" s="125"/>
      <c r="E1032" s="127" t="s">
        <v>34</v>
      </c>
      <c r="F1032" s="127" t="s">
        <v>34</v>
      </c>
      <c r="G1032" s="127" t="s">
        <v>34</v>
      </c>
      <c r="H1032" s="2">
        <f>SUM(H1033:H1033)</f>
      </c>
      <c r="I1032" s="2">
        <f>SUM(I1033:I1033)</f>
      </c>
      <c r="J1032" s="2">
        <f>SUM(J1033:J1033)</f>
      </c>
      <c r="K1032" s="128" t="s">
        <v>53</v>
      </c>
      <c r="AI1032" s="28" t="s">
        <v>1685</v>
      </c>
      <c r="AS1032" s="2">
        <f>SUM(AJ1033:AJ1033)</f>
      </c>
      <c r="AT1032" s="2">
        <f>SUM(AK1033:AK1033)</f>
      </c>
      <c r="AU1032" s="2">
        <f>SUM(AL1033:AL1033)</f>
      </c>
    </row>
    <row r="1033">
      <c r="A1033" s="9" t="s">
        <v>1796</v>
      </c>
      <c r="B1033" s="10" t="s">
        <v>1797</v>
      </c>
      <c r="C1033" s="14" t="s">
        <v>1798</v>
      </c>
      <c r="D1033" s="10"/>
      <c r="E1033" s="10" t="s">
        <v>242</v>
      </c>
      <c r="F1033" s="56" t="n">
        <v>0.01568</v>
      </c>
      <c r="G1033" s="56" t="n">
        <v>0</v>
      </c>
      <c r="H1033" s="56">
        <f>F1033*AO1033</f>
      </c>
      <c r="I1033" s="56">
        <f>F1033*AP1033</f>
      </c>
      <c r="J1033" s="56">
        <f>F1033*G1033</f>
      </c>
      <c r="K1033" s="111" t="s">
        <v>100</v>
      </c>
      <c r="Z1033" s="56">
        <f>IF(AQ1033="5",BJ1033,0)</f>
      </c>
      <c r="AB1033" s="56">
        <f>IF(AQ1033="1",BH1033,0)</f>
      </c>
      <c r="AC1033" s="56">
        <f>IF(AQ1033="1",BI1033,0)</f>
      </c>
      <c r="AD1033" s="56">
        <f>IF(AQ1033="7",BH1033,0)</f>
      </c>
      <c r="AE1033" s="56">
        <f>IF(AQ1033="7",BI1033,0)</f>
      </c>
      <c r="AF1033" s="56">
        <f>IF(AQ1033="2",BH1033,0)</f>
      </c>
      <c r="AG1033" s="56">
        <f>IF(AQ1033="2",BI1033,0)</f>
      </c>
      <c r="AH1033" s="56">
        <f>IF(AQ1033="0",BJ1033,0)</f>
      </c>
      <c r="AI1033" s="28" t="s">
        <v>1685</v>
      </c>
      <c r="AJ1033" s="56">
        <f>IF(AN1033=0,J1033,0)</f>
      </c>
      <c r="AK1033" s="56">
        <f>IF(AN1033=12,J1033,0)</f>
      </c>
      <c r="AL1033" s="56">
        <f>IF(AN1033=21,J1033,0)</f>
      </c>
      <c r="AN1033" s="56" t="n">
        <v>21</v>
      </c>
      <c r="AO1033" s="56">
        <f>G1033*0</f>
      </c>
      <c r="AP1033" s="56">
        <f>G1033*(1-0)</f>
      </c>
      <c r="AQ1033" s="57" t="s">
        <v>79</v>
      </c>
      <c r="AV1033" s="56">
        <f>AW1033+AX1033</f>
      </c>
      <c r="AW1033" s="56">
        <f>F1033*AO1033</f>
      </c>
      <c r="AX1033" s="56">
        <f>F1033*AP1033</f>
      </c>
      <c r="AY1033" s="57" t="s">
        <v>1799</v>
      </c>
      <c r="AZ1033" s="57" t="s">
        <v>1781</v>
      </c>
      <c r="BA1033" s="28" t="s">
        <v>1688</v>
      </c>
      <c r="BC1033" s="56">
        <f>AW1033+AX1033</f>
      </c>
      <c r="BD1033" s="56">
        <f>G1033/(100-BE1033)*100</f>
      </c>
      <c r="BE1033" s="56" t="n">
        <v>0</v>
      </c>
      <c r="BF1033" s="56">
        <f>1033</f>
      </c>
      <c r="BH1033" s="56">
        <f>F1033*AO1033</f>
      </c>
      <c r="BI1033" s="56">
        <f>F1033*AP1033</f>
      </c>
      <c r="BJ1033" s="56">
        <f>F1033*G1033</f>
      </c>
      <c r="BK1033" s="56"/>
      <c r="BL1033" s="56"/>
      <c r="BW1033" s="56" t="n">
        <v>21</v>
      </c>
      <c r="BX1033" s="14" t="s">
        <v>1798</v>
      </c>
    </row>
    <row r="1034">
      <c r="A1034" s="124" t="s">
        <v>53</v>
      </c>
      <c r="B1034" s="125" t="s">
        <v>1800</v>
      </c>
      <c r="C1034" s="126" t="s">
        <v>1746</v>
      </c>
      <c r="D1034" s="125"/>
      <c r="E1034" s="127" t="s">
        <v>34</v>
      </c>
      <c r="F1034" s="127" t="s">
        <v>34</v>
      </c>
      <c r="G1034" s="127" t="s">
        <v>34</v>
      </c>
      <c r="H1034" s="2">
        <f>SUM(H1035:H1035)</f>
      </c>
      <c r="I1034" s="2">
        <f>SUM(I1035:I1035)</f>
      </c>
      <c r="J1034" s="2">
        <f>SUM(J1035:J1035)</f>
      </c>
      <c r="K1034" s="128" t="s">
        <v>53</v>
      </c>
      <c r="AI1034" s="28" t="s">
        <v>1685</v>
      </c>
      <c r="AS1034" s="2">
        <f>SUM(AJ1035:AJ1035)</f>
      </c>
      <c r="AT1034" s="2">
        <f>SUM(AK1035:AK1035)</f>
      </c>
      <c r="AU1034" s="2">
        <f>SUM(AL1035:AL1035)</f>
      </c>
    </row>
    <row r="1035">
      <c r="A1035" s="9" t="s">
        <v>1801</v>
      </c>
      <c r="B1035" s="10" t="s">
        <v>1802</v>
      </c>
      <c r="C1035" s="14" t="s">
        <v>1803</v>
      </c>
      <c r="D1035" s="10"/>
      <c r="E1035" s="10" t="s">
        <v>242</v>
      </c>
      <c r="F1035" s="56" t="n">
        <v>1.05155</v>
      </c>
      <c r="G1035" s="56" t="n">
        <v>0</v>
      </c>
      <c r="H1035" s="56">
        <f>F1035*AO1035</f>
      </c>
      <c r="I1035" s="56">
        <f>F1035*AP1035</f>
      </c>
      <c r="J1035" s="56">
        <f>F1035*G1035</f>
      </c>
      <c r="K1035" s="111" t="s">
        <v>100</v>
      </c>
      <c r="Z1035" s="56">
        <f>IF(AQ1035="5",BJ1035,0)</f>
      </c>
      <c r="AB1035" s="56">
        <f>IF(AQ1035="1",BH1035,0)</f>
      </c>
      <c r="AC1035" s="56">
        <f>IF(AQ1035="1",BI1035,0)</f>
      </c>
      <c r="AD1035" s="56">
        <f>IF(AQ1035="7",BH1035,0)</f>
      </c>
      <c r="AE1035" s="56">
        <f>IF(AQ1035="7",BI1035,0)</f>
      </c>
      <c r="AF1035" s="56">
        <f>IF(AQ1035="2",BH1035,0)</f>
      </c>
      <c r="AG1035" s="56">
        <f>IF(AQ1035="2",BI1035,0)</f>
      </c>
      <c r="AH1035" s="56">
        <f>IF(AQ1035="0",BJ1035,0)</f>
      </c>
      <c r="AI1035" s="28" t="s">
        <v>1685</v>
      </c>
      <c r="AJ1035" s="56">
        <f>IF(AN1035=0,J1035,0)</f>
      </c>
      <c r="AK1035" s="56">
        <f>IF(AN1035=12,J1035,0)</f>
      </c>
      <c r="AL1035" s="56">
        <f>IF(AN1035=21,J1035,0)</f>
      </c>
      <c r="AN1035" s="56" t="n">
        <v>21</v>
      </c>
      <c r="AO1035" s="56">
        <f>G1035*0</f>
      </c>
      <c r="AP1035" s="56">
        <f>G1035*(1-0)</f>
      </c>
      <c r="AQ1035" s="57" t="s">
        <v>79</v>
      </c>
      <c r="AV1035" s="56">
        <f>AW1035+AX1035</f>
      </c>
      <c r="AW1035" s="56">
        <f>F1035*AO1035</f>
      </c>
      <c r="AX1035" s="56">
        <f>F1035*AP1035</f>
      </c>
      <c r="AY1035" s="57" t="s">
        <v>1804</v>
      </c>
      <c r="AZ1035" s="57" t="s">
        <v>1781</v>
      </c>
      <c r="BA1035" s="28" t="s">
        <v>1688</v>
      </c>
      <c r="BC1035" s="56">
        <f>AW1035+AX1035</f>
      </c>
      <c r="BD1035" s="56">
        <f>G1035/(100-BE1035)*100</f>
      </c>
      <c r="BE1035" s="56" t="n">
        <v>0</v>
      </c>
      <c r="BF1035" s="56">
        <f>1035</f>
      </c>
      <c r="BH1035" s="56">
        <f>F1035*AO1035</f>
      </c>
      <c r="BI1035" s="56">
        <f>F1035*AP1035</f>
      </c>
      <c r="BJ1035" s="56">
        <f>F1035*G1035</f>
      </c>
      <c r="BK1035" s="56"/>
      <c r="BL1035" s="56"/>
      <c r="BW1035" s="56" t="n">
        <v>21</v>
      </c>
      <c r="BX1035" s="14" t="s">
        <v>1803</v>
      </c>
    </row>
    <row r="1036">
      <c r="A1036" s="124" t="s">
        <v>53</v>
      </c>
      <c r="B1036" s="125" t="s">
        <v>1666</v>
      </c>
      <c r="C1036" s="126" t="s">
        <v>1110</v>
      </c>
      <c r="D1036" s="125"/>
      <c r="E1036" s="127" t="s">
        <v>34</v>
      </c>
      <c r="F1036" s="127" t="s">
        <v>34</v>
      </c>
      <c r="G1036" s="127" t="s">
        <v>34</v>
      </c>
      <c r="H1036" s="2">
        <f>SUM(H1037:H1037)</f>
      </c>
      <c r="I1036" s="2">
        <f>SUM(I1037:I1037)</f>
      </c>
      <c r="J1036" s="2">
        <f>SUM(J1037:J1037)</f>
      </c>
      <c r="K1036" s="128" t="s">
        <v>53</v>
      </c>
      <c r="AI1036" s="28" t="s">
        <v>1685</v>
      </c>
      <c r="AS1036" s="2">
        <f>SUM(AJ1037:AJ1037)</f>
      </c>
      <c r="AT1036" s="2">
        <f>SUM(AK1037:AK1037)</f>
      </c>
      <c r="AU1036" s="2">
        <f>SUM(AL1037:AL1037)</f>
      </c>
    </row>
    <row r="1037">
      <c r="A1037" s="9" t="s">
        <v>1805</v>
      </c>
      <c r="B1037" s="10" t="s">
        <v>1157</v>
      </c>
      <c r="C1037" s="14" t="s">
        <v>1158</v>
      </c>
      <c r="D1037" s="10"/>
      <c r="E1037" s="10" t="s">
        <v>242</v>
      </c>
      <c r="F1037" s="56" t="n">
        <v>0.0848</v>
      </c>
      <c r="G1037" s="56" t="n">
        <v>0</v>
      </c>
      <c r="H1037" s="56">
        <f>F1037*AO1037</f>
      </c>
      <c r="I1037" s="56">
        <f>F1037*AP1037</f>
      </c>
      <c r="J1037" s="56">
        <f>F1037*G1037</f>
      </c>
      <c r="K1037" s="111" t="s">
        <v>100</v>
      </c>
      <c r="Z1037" s="56">
        <f>IF(AQ1037="5",BJ1037,0)</f>
      </c>
      <c r="AB1037" s="56">
        <f>IF(AQ1037="1",BH1037,0)</f>
      </c>
      <c r="AC1037" s="56">
        <f>IF(AQ1037="1",BI1037,0)</f>
      </c>
      <c r="AD1037" s="56">
        <f>IF(AQ1037="7",BH1037,0)</f>
      </c>
      <c r="AE1037" s="56">
        <f>IF(AQ1037="7",BI1037,0)</f>
      </c>
      <c r="AF1037" s="56">
        <f>IF(AQ1037="2",BH1037,0)</f>
      </c>
      <c r="AG1037" s="56">
        <f>IF(AQ1037="2",BI1037,0)</f>
      </c>
      <c r="AH1037" s="56">
        <f>IF(AQ1037="0",BJ1037,0)</f>
      </c>
      <c r="AI1037" s="28" t="s">
        <v>1685</v>
      </c>
      <c r="AJ1037" s="56">
        <f>IF(AN1037=0,J1037,0)</f>
      </c>
      <c r="AK1037" s="56">
        <f>IF(AN1037=12,J1037,0)</f>
      </c>
      <c r="AL1037" s="56">
        <f>IF(AN1037=21,J1037,0)</f>
      </c>
      <c r="AN1037" s="56" t="n">
        <v>21</v>
      </c>
      <c r="AO1037" s="56">
        <f>G1037*0</f>
      </c>
      <c r="AP1037" s="56">
        <f>G1037*(1-0)</f>
      </c>
      <c r="AQ1037" s="57" t="s">
        <v>79</v>
      </c>
      <c r="AV1037" s="56">
        <f>AW1037+AX1037</f>
      </c>
      <c r="AW1037" s="56">
        <f>F1037*AO1037</f>
      </c>
      <c r="AX1037" s="56">
        <f>F1037*AP1037</f>
      </c>
      <c r="AY1037" s="57" t="s">
        <v>1668</v>
      </c>
      <c r="AZ1037" s="57" t="s">
        <v>1781</v>
      </c>
      <c r="BA1037" s="28" t="s">
        <v>1688</v>
      </c>
      <c r="BC1037" s="56">
        <f>AW1037+AX1037</f>
      </c>
      <c r="BD1037" s="56">
        <f>G1037/(100-BE1037)*100</f>
      </c>
      <c r="BE1037" s="56" t="n">
        <v>0</v>
      </c>
      <c r="BF1037" s="56">
        <f>1037</f>
      </c>
      <c r="BH1037" s="56">
        <f>F1037*AO1037</f>
      </c>
      <c r="BI1037" s="56">
        <f>F1037*AP1037</f>
      </c>
      <c r="BJ1037" s="56">
        <f>F1037*G1037</f>
      </c>
      <c r="BK1037" s="56"/>
      <c r="BL1037" s="56"/>
      <c r="BW1037" s="56" t="n">
        <v>21</v>
      </c>
      <c r="BX1037" s="14" t="s">
        <v>1158</v>
      </c>
    </row>
    <row r="1038">
      <c r="A1038" s="124" t="s">
        <v>53</v>
      </c>
      <c r="B1038" s="125" t="s">
        <v>53</v>
      </c>
      <c r="C1038" s="126" t="s">
        <v>1669</v>
      </c>
      <c r="D1038" s="125"/>
      <c r="E1038" s="127" t="s">
        <v>34</v>
      </c>
      <c r="F1038" s="127" t="s">
        <v>34</v>
      </c>
      <c r="G1038" s="127" t="s">
        <v>34</v>
      </c>
      <c r="H1038" s="2">
        <f>SUM(H1039:H1043)</f>
      </c>
      <c r="I1038" s="2">
        <f>SUM(I1039:I1043)</f>
      </c>
      <c r="J1038" s="2">
        <f>SUM(J1039:J1043)</f>
      </c>
      <c r="K1038" s="128" t="s">
        <v>53</v>
      </c>
      <c r="AI1038" s="28" t="s">
        <v>1685</v>
      </c>
      <c r="AS1038" s="2">
        <f>SUM(AJ1039:AJ1043)</f>
      </c>
      <c r="AT1038" s="2">
        <f>SUM(AK1039:AK1043)</f>
      </c>
      <c r="AU1038" s="2">
        <f>SUM(AL1039:AL1043)</f>
      </c>
    </row>
    <row r="1039" ht="24.75">
      <c r="A1039" s="9" t="s">
        <v>1806</v>
      </c>
      <c r="B1039" s="10" t="s">
        <v>1671</v>
      </c>
      <c r="C1039" s="14" t="s">
        <v>1807</v>
      </c>
      <c r="D1039" s="10"/>
      <c r="E1039" s="10" t="s">
        <v>1454</v>
      </c>
      <c r="F1039" s="56" t="n">
        <v>72</v>
      </c>
      <c r="G1039" s="56" t="n">
        <v>0</v>
      </c>
      <c r="H1039" s="56">
        <f>F1039*AO1039</f>
      </c>
      <c r="I1039" s="56">
        <f>F1039*AP1039</f>
      </c>
      <c r="J1039" s="56">
        <f>F1039*G1039</f>
      </c>
      <c r="K1039" s="111" t="s">
        <v>100</v>
      </c>
      <c r="Z1039" s="56">
        <f>IF(AQ1039="5",BJ1039,0)</f>
      </c>
      <c r="AB1039" s="56">
        <f>IF(AQ1039="1",BH1039,0)</f>
      </c>
      <c r="AC1039" s="56">
        <f>IF(AQ1039="1",BI1039,0)</f>
      </c>
      <c r="AD1039" s="56">
        <f>IF(AQ1039="7",BH1039,0)</f>
      </c>
      <c r="AE1039" s="56">
        <f>IF(AQ1039="7",BI1039,0)</f>
      </c>
      <c r="AF1039" s="56">
        <f>IF(AQ1039="2",BH1039,0)</f>
      </c>
      <c r="AG1039" s="56">
        <f>IF(AQ1039="2",BI1039,0)</f>
      </c>
      <c r="AH1039" s="56">
        <f>IF(AQ1039="0",BJ1039,0)</f>
      </c>
      <c r="AI1039" s="28" t="s">
        <v>1685</v>
      </c>
      <c r="AJ1039" s="56">
        <f>IF(AN1039=0,J1039,0)</f>
      </c>
      <c r="AK1039" s="56">
        <f>IF(AN1039=12,J1039,0)</f>
      </c>
      <c r="AL1039" s="56">
        <f>IF(AN1039=21,J1039,0)</f>
      </c>
      <c r="AN1039" s="56" t="n">
        <v>21</v>
      </c>
      <c r="AO1039" s="56">
        <f>G1039*0</f>
      </c>
      <c r="AP1039" s="56">
        <f>G1039*(1-0)</f>
      </c>
      <c r="AQ1039" s="57" t="s">
        <v>58</v>
      </c>
      <c r="AV1039" s="56">
        <f>AW1039+AX1039</f>
      </c>
      <c r="AW1039" s="56">
        <f>F1039*AO1039</f>
      </c>
      <c r="AX1039" s="56">
        <f>F1039*AP1039</f>
      </c>
      <c r="AY1039" s="57" t="s">
        <v>1673</v>
      </c>
      <c r="AZ1039" s="57" t="s">
        <v>1808</v>
      </c>
      <c r="BA1039" s="28" t="s">
        <v>1688</v>
      </c>
      <c r="BC1039" s="56">
        <f>AW1039+AX1039</f>
      </c>
      <c r="BD1039" s="56">
        <f>G1039/(100-BE1039)*100</f>
      </c>
      <c r="BE1039" s="56" t="n">
        <v>0</v>
      </c>
      <c r="BF1039" s="56">
        <f>1039</f>
      </c>
      <c r="BH1039" s="56">
        <f>F1039*AO1039</f>
      </c>
      <c r="BI1039" s="56">
        <f>F1039*AP1039</f>
      </c>
      <c r="BJ1039" s="56">
        <f>F1039*G1039</f>
      </c>
      <c r="BK1039" s="56"/>
      <c r="BL1039" s="56"/>
      <c r="BW1039" s="56" t="n">
        <v>21</v>
      </c>
      <c r="BX1039" s="14" t="s">
        <v>1807</v>
      </c>
    </row>
    <row r="1040">
      <c r="A1040" s="9" t="s">
        <v>1809</v>
      </c>
      <c r="B1040" s="10" t="s">
        <v>1676</v>
      </c>
      <c r="C1040" s="14" t="s">
        <v>1810</v>
      </c>
      <c r="D1040" s="10"/>
      <c r="E1040" s="10" t="s">
        <v>1454</v>
      </c>
      <c r="F1040" s="56" t="n">
        <v>32</v>
      </c>
      <c r="G1040" s="56" t="n">
        <v>0</v>
      </c>
      <c r="H1040" s="56">
        <f>F1040*AO1040</f>
      </c>
      <c r="I1040" s="56">
        <f>F1040*AP1040</f>
      </c>
      <c r="J1040" s="56">
        <f>F1040*G1040</f>
      </c>
      <c r="K1040" s="111" t="s">
        <v>100</v>
      </c>
      <c r="Z1040" s="56">
        <f>IF(AQ1040="5",BJ1040,0)</f>
      </c>
      <c r="AB1040" s="56">
        <f>IF(AQ1040="1",BH1040,0)</f>
      </c>
      <c r="AC1040" s="56">
        <f>IF(AQ1040="1",BI1040,0)</f>
      </c>
      <c r="AD1040" s="56">
        <f>IF(AQ1040="7",BH1040,0)</f>
      </c>
      <c r="AE1040" s="56">
        <f>IF(AQ1040="7",BI1040,0)</f>
      </c>
      <c r="AF1040" s="56">
        <f>IF(AQ1040="2",BH1040,0)</f>
      </c>
      <c r="AG1040" s="56">
        <f>IF(AQ1040="2",BI1040,0)</f>
      </c>
      <c r="AH1040" s="56">
        <f>IF(AQ1040="0",BJ1040,0)</f>
      </c>
      <c r="AI1040" s="28" t="s">
        <v>1685</v>
      </c>
      <c r="AJ1040" s="56">
        <f>IF(AN1040=0,J1040,0)</f>
      </c>
      <c r="AK1040" s="56">
        <f>IF(AN1040=12,J1040,0)</f>
      </c>
      <c r="AL1040" s="56">
        <f>IF(AN1040=21,J1040,0)</f>
      </c>
      <c r="AN1040" s="56" t="n">
        <v>21</v>
      </c>
      <c r="AO1040" s="56">
        <f>G1040*0</f>
      </c>
      <c r="AP1040" s="56">
        <f>G1040*(1-0)</f>
      </c>
      <c r="AQ1040" s="57" t="s">
        <v>58</v>
      </c>
      <c r="AV1040" s="56">
        <f>AW1040+AX1040</f>
      </c>
      <c r="AW1040" s="56">
        <f>F1040*AO1040</f>
      </c>
      <c r="AX1040" s="56">
        <f>F1040*AP1040</f>
      </c>
      <c r="AY1040" s="57" t="s">
        <v>1673</v>
      </c>
      <c r="AZ1040" s="57" t="s">
        <v>1808</v>
      </c>
      <c r="BA1040" s="28" t="s">
        <v>1688</v>
      </c>
      <c r="BC1040" s="56">
        <f>AW1040+AX1040</f>
      </c>
      <c r="BD1040" s="56">
        <f>G1040/(100-BE1040)*100</f>
      </c>
      <c r="BE1040" s="56" t="n">
        <v>0</v>
      </c>
      <c r="BF1040" s="56">
        <f>1040</f>
      </c>
      <c r="BH1040" s="56">
        <f>F1040*AO1040</f>
      </c>
      <c r="BI1040" s="56">
        <f>F1040*AP1040</f>
      </c>
      <c r="BJ1040" s="56">
        <f>F1040*G1040</f>
      </c>
      <c r="BK1040" s="56"/>
      <c r="BL1040" s="56"/>
      <c r="BW1040" s="56" t="n">
        <v>21</v>
      </c>
      <c r="BX1040" s="14" t="s">
        <v>1810</v>
      </c>
    </row>
    <row r="1041">
      <c r="A1041" s="9" t="s">
        <v>1811</v>
      </c>
      <c r="B1041" s="10" t="s">
        <v>1679</v>
      </c>
      <c r="C1041" s="14" t="s">
        <v>1812</v>
      </c>
      <c r="D1041" s="10"/>
      <c r="E1041" s="10" t="s">
        <v>1454</v>
      </c>
      <c r="F1041" s="56" t="n">
        <v>8</v>
      </c>
      <c r="G1041" s="56" t="n">
        <v>0</v>
      </c>
      <c r="H1041" s="56">
        <f>F1041*AO1041</f>
      </c>
      <c r="I1041" s="56">
        <f>F1041*AP1041</f>
      </c>
      <c r="J1041" s="56">
        <f>F1041*G1041</f>
      </c>
      <c r="K1041" s="111" t="s">
        <v>100</v>
      </c>
      <c r="Z1041" s="56">
        <f>IF(AQ1041="5",BJ1041,0)</f>
      </c>
      <c r="AB1041" s="56">
        <f>IF(AQ1041="1",BH1041,0)</f>
      </c>
      <c r="AC1041" s="56">
        <f>IF(AQ1041="1",BI1041,0)</f>
      </c>
      <c r="AD1041" s="56">
        <f>IF(AQ1041="7",BH1041,0)</f>
      </c>
      <c r="AE1041" s="56">
        <f>IF(AQ1041="7",BI1041,0)</f>
      </c>
      <c r="AF1041" s="56">
        <f>IF(AQ1041="2",BH1041,0)</f>
      </c>
      <c r="AG1041" s="56">
        <f>IF(AQ1041="2",BI1041,0)</f>
      </c>
      <c r="AH1041" s="56">
        <f>IF(AQ1041="0",BJ1041,0)</f>
      </c>
      <c r="AI1041" s="28" t="s">
        <v>1685</v>
      </c>
      <c r="AJ1041" s="56">
        <f>IF(AN1041=0,J1041,0)</f>
      </c>
      <c r="AK1041" s="56">
        <f>IF(AN1041=12,J1041,0)</f>
      </c>
      <c r="AL1041" s="56">
        <f>IF(AN1041=21,J1041,0)</f>
      </c>
      <c r="AN1041" s="56" t="n">
        <v>21</v>
      </c>
      <c r="AO1041" s="56">
        <f>G1041*0</f>
      </c>
      <c r="AP1041" s="56">
        <f>G1041*(1-0)</f>
      </c>
      <c r="AQ1041" s="57" t="s">
        <v>58</v>
      </c>
      <c r="AV1041" s="56">
        <f>AW1041+AX1041</f>
      </c>
      <c r="AW1041" s="56">
        <f>F1041*AO1041</f>
      </c>
      <c r="AX1041" s="56">
        <f>F1041*AP1041</f>
      </c>
      <c r="AY1041" s="57" t="s">
        <v>1673</v>
      </c>
      <c r="AZ1041" s="57" t="s">
        <v>1808</v>
      </c>
      <c r="BA1041" s="28" t="s">
        <v>1688</v>
      </c>
      <c r="BC1041" s="56">
        <f>AW1041+AX1041</f>
      </c>
      <c r="BD1041" s="56">
        <f>G1041/(100-BE1041)*100</f>
      </c>
      <c r="BE1041" s="56" t="n">
        <v>0</v>
      </c>
      <c r="BF1041" s="56">
        <f>1041</f>
      </c>
      <c r="BH1041" s="56">
        <f>F1041*AO1041</f>
      </c>
      <c r="BI1041" s="56">
        <f>F1041*AP1041</f>
      </c>
      <c r="BJ1041" s="56">
        <f>F1041*G1041</f>
      </c>
      <c r="BK1041" s="56"/>
      <c r="BL1041" s="56"/>
      <c r="BW1041" s="56" t="n">
        <v>21</v>
      </c>
      <c r="BX1041" s="14" t="s">
        <v>1812</v>
      </c>
    </row>
    <row r="1042">
      <c r="A1042" s="9" t="s">
        <v>1813</v>
      </c>
      <c r="B1042" s="10" t="s">
        <v>1682</v>
      </c>
      <c r="C1042" s="14" t="s">
        <v>1814</v>
      </c>
      <c r="D1042" s="10"/>
      <c r="E1042" s="10" t="s">
        <v>1454</v>
      </c>
      <c r="F1042" s="56" t="n">
        <v>8</v>
      </c>
      <c r="G1042" s="56" t="n">
        <v>0</v>
      </c>
      <c r="H1042" s="56">
        <f>F1042*AO1042</f>
      </c>
      <c r="I1042" s="56">
        <f>F1042*AP1042</f>
      </c>
      <c r="J1042" s="56">
        <f>F1042*G1042</f>
      </c>
      <c r="K1042" s="111" t="s">
        <v>100</v>
      </c>
      <c r="Z1042" s="56">
        <f>IF(AQ1042="5",BJ1042,0)</f>
      </c>
      <c r="AB1042" s="56">
        <f>IF(AQ1042="1",BH1042,0)</f>
      </c>
      <c r="AC1042" s="56">
        <f>IF(AQ1042="1",BI1042,0)</f>
      </c>
      <c r="AD1042" s="56">
        <f>IF(AQ1042="7",BH1042,0)</f>
      </c>
      <c r="AE1042" s="56">
        <f>IF(AQ1042="7",BI1042,0)</f>
      </c>
      <c r="AF1042" s="56">
        <f>IF(AQ1042="2",BH1042,0)</f>
      </c>
      <c r="AG1042" s="56">
        <f>IF(AQ1042="2",BI1042,0)</f>
      </c>
      <c r="AH1042" s="56">
        <f>IF(AQ1042="0",BJ1042,0)</f>
      </c>
      <c r="AI1042" s="28" t="s">
        <v>1685</v>
      </c>
      <c r="AJ1042" s="56">
        <f>IF(AN1042=0,J1042,0)</f>
      </c>
      <c r="AK1042" s="56">
        <f>IF(AN1042=12,J1042,0)</f>
      </c>
      <c r="AL1042" s="56">
        <f>IF(AN1042=21,J1042,0)</f>
      </c>
      <c r="AN1042" s="56" t="n">
        <v>21</v>
      </c>
      <c r="AO1042" s="56">
        <f>G1042*0</f>
      </c>
      <c r="AP1042" s="56">
        <f>G1042*(1-0)</f>
      </c>
      <c r="AQ1042" s="57" t="s">
        <v>58</v>
      </c>
      <c r="AV1042" s="56">
        <f>AW1042+AX1042</f>
      </c>
      <c r="AW1042" s="56">
        <f>F1042*AO1042</f>
      </c>
      <c r="AX1042" s="56">
        <f>F1042*AP1042</f>
      </c>
      <c r="AY1042" s="57" t="s">
        <v>1673</v>
      </c>
      <c r="AZ1042" s="57" t="s">
        <v>1808</v>
      </c>
      <c r="BA1042" s="28" t="s">
        <v>1688</v>
      </c>
      <c r="BC1042" s="56">
        <f>AW1042+AX1042</f>
      </c>
      <c r="BD1042" s="56">
        <f>G1042/(100-BE1042)*100</f>
      </c>
      <c r="BE1042" s="56" t="n">
        <v>0</v>
      </c>
      <c r="BF1042" s="56">
        <f>1042</f>
      </c>
      <c r="BH1042" s="56">
        <f>F1042*AO1042</f>
      </c>
      <c r="BI1042" s="56">
        <f>F1042*AP1042</f>
      </c>
      <c r="BJ1042" s="56">
        <f>F1042*G1042</f>
      </c>
      <c r="BK1042" s="56"/>
      <c r="BL1042" s="56"/>
      <c r="BW1042" s="56" t="n">
        <v>21</v>
      </c>
      <c r="BX1042" s="14" t="s">
        <v>1814</v>
      </c>
    </row>
    <row r="1043">
      <c r="A1043" s="9" t="s">
        <v>1815</v>
      </c>
      <c r="B1043" s="10" t="s">
        <v>1816</v>
      </c>
      <c r="C1043" s="14" t="s">
        <v>90</v>
      </c>
      <c r="D1043" s="10"/>
      <c r="E1043" s="10" t="s">
        <v>1454</v>
      </c>
      <c r="F1043" s="56" t="n">
        <v>16</v>
      </c>
      <c r="G1043" s="56" t="n">
        <v>0</v>
      </c>
      <c r="H1043" s="56">
        <f>F1043*AO1043</f>
      </c>
      <c r="I1043" s="56">
        <f>F1043*AP1043</f>
      </c>
      <c r="J1043" s="56">
        <f>F1043*G1043</f>
      </c>
      <c r="K1043" s="111" t="s">
        <v>100</v>
      </c>
      <c r="Z1043" s="56">
        <f>IF(AQ1043="5",BJ1043,0)</f>
      </c>
      <c r="AB1043" s="56">
        <f>IF(AQ1043="1",BH1043,0)</f>
      </c>
      <c r="AC1043" s="56">
        <f>IF(AQ1043="1",BI1043,0)</f>
      </c>
      <c r="AD1043" s="56">
        <f>IF(AQ1043="7",BH1043,0)</f>
      </c>
      <c r="AE1043" s="56">
        <f>IF(AQ1043="7",BI1043,0)</f>
      </c>
      <c r="AF1043" s="56">
        <f>IF(AQ1043="2",BH1043,0)</f>
      </c>
      <c r="AG1043" s="56">
        <f>IF(AQ1043="2",BI1043,0)</f>
      </c>
      <c r="AH1043" s="56">
        <f>IF(AQ1043="0",BJ1043,0)</f>
      </c>
      <c r="AI1043" s="28" t="s">
        <v>1685</v>
      </c>
      <c r="AJ1043" s="56">
        <f>IF(AN1043=0,J1043,0)</f>
      </c>
      <c r="AK1043" s="56">
        <f>IF(AN1043=12,J1043,0)</f>
      </c>
      <c r="AL1043" s="56">
        <f>IF(AN1043=21,J1043,0)</f>
      </c>
      <c r="AN1043" s="56" t="n">
        <v>21</v>
      </c>
      <c r="AO1043" s="56">
        <f>G1043*0</f>
      </c>
      <c r="AP1043" s="56">
        <f>G1043*(1-0)</f>
      </c>
      <c r="AQ1043" s="57" t="s">
        <v>58</v>
      </c>
      <c r="AV1043" s="56">
        <f>AW1043+AX1043</f>
      </c>
      <c r="AW1043" s="56">
        <f>F1043*AO1043</f>
      </c>
      <c r="AX1043" s="56">
        <f>F1043*AP1043</f>
      </c>
      <c r="AY1043" s="57" t="s">
        <v>1673</v>
      </c>
      <c r="AZ1043" s="57" t="s">
        <v>1808</v>
      </c>
      <c r="BA1043" s="28" t="s">
        <v>1688</v>
      </c>
      <c r="BC1043" s="56">
        <f>AW1043+AX1043</f>
      </c>
      <c r="BD1043" s="56">
        <f>G1043/(100-BE1043)*100</f>
      </c>
      <c r="BE1043" s="56" t="n">
        <v>0</v>
      </c>
      <c r="BF1043" s="56">
        <f>1043</f>
      </c>
      <c r="BH1043" s="56">
        <f>F1043*AO1043</f>
      </c>
      <c r="BI1043" s="56">
        <f>F1043*AP1043</f>
      </c>
      <c r="BJ1043" s="56">
        <f>F1043*G1043</f>
      </c>
      <c r="BK1043" s="56"/>
      <c r="BL1043" s="56"/>
      <c r="BW1043" s="56" t="n">
        <v>21</v>
      </c>
      <c r="BX1043" s="14" t="s">
        <v>90</v>
      </c>
    </row>
    <row r="1044">
      <c r="A1044" s="124" t="s">
        <v>53</v>
      </c>
      <c r="B1044" s="125" t="s">
        <v>53</v>
      </c>
      <c r="C1044" s="126" t="s">
        <v>1817</v>
      </c>
      <c r="D1044" s="125"/>
      <c r="E1044" s="127" t="s">
        <v>34</v>
      </c>
      <c r="F1044" s="127" t="s">
        <v>34</v>
      </c>
      <c r="G1044" s="127" t="s">
        <v>34</v>
      </c>
      <c r="H1044" s="2">
        <f>H1045+H1078+H1186</f>
      </c>
      <c r="I1044" s="2">
        <f>I1045+I1078+I1186</f>
      </c>
      <c r="J1044" s="2">
        <f>J1045+J1078+J1186</f>
      </c>
      <c r="K1044" s="128" t="s">
        <v>53</v>
      </c>
    </row>
    <row r="1045">
      <c r="A1045" s="124" t="s">
        <v>53</v>
      </c>
      <c r="B1045" s="125" t="s">
        <v>1818</v>
      </c>
      <c r="C1045" s="126" t="s">
        <v>1819</v>
      </c>
      <c r="D1045" s="125"/>
      <c r="E1045" s="127" t="s">
        <v>34</v>
      </c>
      <c r="F1045" s="127" t="s">
        <v>34</v>
      </c>
      <c r="G1045" s="127" t="s">
        <v>34</v>
      </c>
      <c r="H1045" s="2">
        <f>SUM(H1046:H1076)</f>
      </c>
      <c r="I1045" s="2">
        <f>SUM(I1046:I1076)</f>
      </c>
      <c r="J1045" s="2">
        <f>SUM(J1046:J1076)</f>
      </c>
      <c r="K1045" s="128" t="s">
        <v>53</v>
      </c>
      <c r="AI1045" s="28" t="s">
        <v>1820</v>
      </c>
      <c r="AS1045" s="2">
        <f>SUM(AJ1046:AJ1076)</f>
      </c>
      <c r="AT1045" s="2">
        <f>SUM(AK1046:AK1076)</f>
      </c>
      <c r="AU1045" s="2">
        <f>SUM(AL1046:AL1076)</f>
      </c>
    </row>
    <row r="1046">
      <c r="A1046" s="9" t="s">
        <v>1821</v>
      </c>
      <c r="B1046" s="10" t="s">
        <v>1822</v>
      </c>
      <c r="C1046" s="14" t="s">
        <v>1823</v>
      </c>
      <c r="D1046" s="10"/>
      <c r="E1046" s="10" t="s">
        <v>273</v>
      </c>
      <c r="F1046" s="56" t="n">
        <v>11</v>
      </c>
      <c r="G1046" s="56" t="n">
        <v>0</v>
      </c>
      <c r="H1046" s="56">
        <f>F1046*AO1046</f>
      </c>
      <c r="I1046" s="56">
        <f>F1046*AP1046</f>
      </c>
      <c r="J1046" s="56">
        <f>F1046*G1046</f>
      </c>
      <c r="K1046" s="111" t="s">
        <v>71</v>
      </c>
      <c r="Z1046" s="56">
        <f>IF(AQ1046="5",BJ1046,0)</f>
      </c>
      <c r="AB1046" s="56">
        <f>IF(AQ1046="1",BH1046,0)</f>
      </c>
      <c r="AC1046" s="56">
        <f>IF(AQ1046="1",BI1046,0)</f>
      </c>
      <c r="AD1046" s="56">
        <f>IF(AQ1046="7",BH1046,0)</f>
      </c>
      <c r="AE1046" s="56">
        <f>IF(AQ1046="7",BI1046,0)</f>
      </c>
      <c r="AF1046" s="56">
        <f>IF(AQ1046="2",BH1046,0)</f>
      </c>
      <c r="AG1046" s="56">
        <f>IF(AQ1046="2",BI1046,0)</f>
      </c>
      <c r="AH1046" s="56">
        <f>IF(AQ1046="0",BJ1046,0)</f>
      </c>
      <c r="AI1046" s="28" t="s">
        <v>1820</v>
      </c>
      <c r="AJ1046" s="56">
        <f>IF(AN1046=0,J1046,0)</f>
      </c>
      <c r="AK1046" s="56">
        <f>IF(AN1046=12,J1046,0)</f>
      </c>
      <c r="AL1046" s="56">
        <f>IF(AN1046=21,J1046,0)</f>
      </c>
      <c r="AN1046" s="56" t="n">
        <v>21</v>
      </c>
      <c r="AO1046" s="56">
        <f>G1046*0.204705882</f>
      </c>
      <c r="AP1046" s="56">
        <f>G1046*(1-0.204705882)</f>
      </c>
      <c r="AQ1046" s="57" t="s">
        <v>61</v>
      </c>
      <c r="AV1046" s="56">
        <f>AW1046+AX1046</f>
      </c>
      <c r="AW1046" s="56">
        <f>F1046*AO1046</f>
      </c>
      <c r="AX1046" s="56">
        <f>F1046*AP1046</f>
      </c>
      <c r="AY1046" s="57" t="s">
        <v>1824</v>
      </c>
      <c r="AZ1046" s="57" t="s">
        <v>1825</v>
      </c>
      <c r="BA1046" s="28" t="s">
        <v>1826</v>
      </c>
      <c r="BC1046" s="56">
        <f>AW1046+AX1046</f>
      </c>
      <c r="BD1046" s="56">
        <f>G1046/(100-BE1046)*100</f>
      </c>
      <c r="BE1046" s="56" t="n">
        <v>0</v>
      </c>
      <c r="BF1046" s="56">
        <f>1046</f>
      </c>
      <c r="BH1046" s="56">
        <f>F1046*AO1046</f>
      </c>
      <c r="BI1046" s="56">
        <f>F1046*AP1046</f>
      </c>
      <c r="BJ1046" s="56">
        <f>F1046*G1046</f>
      </c>
      <c r="BK1046" s="56"/>
      <c r="BL1046" s="56"/>
      <c r="BW1046" s="56" t="n">
        <v>21</v>
      </c>
      <c r="BX1046" s="14" t="s">
        <v>1823</v>
      </c>
    </row>
    <row r="1047" customHeight="true" ht="13.5">
      <c r="A1047" s="112"/>
      <c r="C1047" s="81" t="s">
        <v>1827</v>
      </c>
      <c r="D1047" s="113"/>
      <c r="E1047" s="113"/>
      <c r="F1047" s="113"/>
      <c r="G1047" s="113"/>
      <c r="H1047" s="113"/>
      <c r="I1047" s="113"/>
      <c r="J1047" s="113"/>
      <c r="K1047" s="114"/>
    </row>
    <row r="1048">
      <c r="A1048" s="112"/>
      <c r="C1048" s="140" t="s">
        <v>110</v>
      </c>
      <c r="D1048" s="113" t="s">
        <v>53</v>
      </c>
      <c r="F1048" s="141" t="n">
        <v>11</v>
      </c>
      <c r="K1048" s="142"/>
    </row>
    <row r="1049">
      <c r="A1049" s="9" t="s">
        <v>1828</v>
      </c>
      <c r="B1049" s="10" t="s">
        <v>1829</v>
      </c>
      <c r="C1049" s="14" t="s">
        <v>1823</v>
      </c>
      <c r="D1049" s="10"/>
      <c r="E1049" s="10" t="s">
        <v>273</v>
      </c>
      <c r="F1049" s="56" t="n">
        <v>66</v>
      </c>
      <c r="G1049" s="56" t="n">
        <v>0</v>
      </c>
      <c r="H1049" s="56">
        <f>F1049*AO1049</f>
      </c>
      <c r="I1049" s="56">
        <f>F1049*AP1049</f>
      </c>
      <c r="J1049" s="56">
        <f>F1049*G1049</f>
      </c>
      <c r="K1049" s="111" t="s">
        <v>71</v>
      </c>
      <c r="Z1049" s="56">
        <f>IF(AQ1049="5",BJ1049,0)</f>
      </c>
      <c r="AB1049" s="56">
        <f>IF(AQ1049="1",BH1049,0)</f>
      </c>
      <c r="AC1049" s="56">
        <f>IF(AQ1049="1",BI1049,0)</f>
      </c>
      <c r="AD1049" s="56">
        <f>IF(AQ1049="7",BH1049,0)</f>
      </c>
      <c r="AE1049" s="56">
        <f>IF(AQ1049="7",BI1049,0)</f>
      </c>
      <c r="AF1049" s="56">
        <f>IF(AQ1049="2",BH1049,0)</f>
      </c>
      <c r="AG1049" s="56">
        <f>IF(AQ1049="2",BI1049,0)</f>
      </c>
      <c r="AH1049" s="56">
        <f>IF(AQ1049="0",BJ1049,0)</f>
      </c>
      <c r="AI1049" s="28" t="s">
        <v>1820</v>
      </c>
      <c r="AJ1049" s="56">
        <f>IF(AN1049=0,J1049,0)</f>
      </c>
      <c r="AK1049" s="56">
        <f>IF(AN1049=12,J1049,0)</f>
      </c>
      <c r="AL1049" s="56">
        <f>IF(AN1049=21,J1049,0)</f>
      </c>
      <c r="AN1049" s="56" t="n">
        <v>21</v>
      </c>
      <c r="AO1049" s="56">
        <f>G1049*0.204728682</f>
      </c>
      <c r="AP1049" s="56">
        <f>G1049*(1-0.204728682)</f>
      </c>
      <c r="AQ1049" s="57" t="s">
        <v>61</v>
      </c>
      <c r="AV1049" s="56">
        <f>AW1049+AX1049</f>
      </c>
      <c r="AW1049" s="56">
        <f>F1049*AO1049</f>
      </c>
      <c r="AX1049" s="56">
        <f>F1049*AP1049</f>
      </c>
      <c r="AY1049" s="57" t="s">
        <v>1824</v>
      </c>
      <c r="AZ1049" s="57" t="s">
        <v>1825</v>
      </c>
      <c r="BA1049" s="28" t="s">
        <v>1826</v>
      </c>
      <c r="BC1049" s="56">
        <f>AW1049+AX1049</f>
      </c>
      <c r="BD1049" s="56">
        <f>G1049/(100-BE1049)*100</f>
      </c>
      <c r="BE1049" s="56" t="n">
        <v>0</v>
      </c>
      <c r="BF1049" s="56">
        <f>1049</f>
      </c>
      <c r="BH1049" s="56">
        <f>F1049*AO1049</f>
      </c>
      <c r="BI1049" s="56">
        <f>F1049*AP1049</f>
      </c>
      <c r="BJ1049" s="56">
        <f>F1049*G1049</f>
      </c>
      <c r="BK1049" s="56"/>
      <c r="BL1049" s="56"/>
      <c r="BW1049" s="56" t="n">
        <v>21</v>
      </c>
      <c r="BX1049" s="14" t="s">
        <v>1823</v>
      </c>
    </row>
    <row r="1050" customHeight="true" ht="13.5">
      <c r="A1050" s="112"/>
      <c r="C1050" s="81" t="s">
        <v>1830</v>
      </c>
      <c r="D1050" s="113"/>
      <c r="E1050" s="113"/>
      <c r="F1050" s="113"/>
      <c r="G1050" s="113"/>
      <c r="H1050" s="113"/>
      <c r="I1050" s="113"/>
      <c r="J1050" s="113"/>
      <c r="K1050" s="114"/>
    </row>
    <row r="1051">
      <c r="A1051" s="112"/>
      <c r="C1051" s="140" t="s">
        <v>493</v>
      </c>
      <c r="D1051" s="113" t="s">
        <v>53</v>
      </c>
      <c r="F1051" s="141" t="n">
        <v>66</v>
      </c>
      <c r="K1051" s="142"/>
    </row>
    <row r="1052">
      <c r="A1052" s="9" t="s">
        <v>1831</v>
      </c>
      <c r="B1052" s="10" t="s">
        <v>1832</v>
      </c>
      <c r="C1052" s="14" t="s">
        <v>1823</v>
      </c>
      <c r="D1052" s="10"/>
      <c r="E1052" s="10" t="s">
        <v>273</v>
      </c>
      <c r="F1052" s="56" t="n">
        <v>4</v>
      </c>
      <c r="G1052" s="56" t="n">
        <v>0</v>
      </c>
      <c r="H1052" s="56">
        <f>F1052*AO1052</f>
      </c>
      <c r="I1052" s="56">
        <f>F1052*AP1052</f>
      </c>
      <c r="J1052" s="56">
        <f>F1052*G1052</f>
      </c>
      <c r="K1052" s="111" t="s">
        <v>71</v>
      </c>
      <c r="Z1052" s="56">
        <f>IF(AQ1052="5",BJ1052,0)</f>
      </c>
      <c r="AB1052" s="56">
        <f>IF(AQ1052="1",BH1052,0)</f>
      </c>
      <c r="AC1052" s="56">
        <f>IF(AQ1052="1",BI1052,0)</f>
      </c>
      <c r="AD1052" s="56">
        <f>IF(AQ1052="7",BH1052,0)</f>
      </c>
      <c r="AE1052" s="56">
        <f>IF(AQ1052="7",BI1052,0)</f>
      </c>
      <c r="AF1052" s="56">
        <f>IF(AQ1052="2",BH1052,0)</f>
      </c>
      <c r="AG1052" s="56">
        <f>IF(AQ1052="2",BI1052,0)</f>
      </c>
      <c r="AH1052" s="56">
        <f>IF(AQ1052="0",BJ1052,0)</f>
      </c>
      <c r="AI1052" s="28" t="s">
        <v>1820</v>
      </c>
      <c r="AJ1052" s="56">
        <f>IF(AN1052=0,J1052,0)</f>
      </c>
      <c r="AK1052" s="56">
        <f>IF(AN1052=12,J1052,0)</f>
      </c>
      <c r="AL1052" s="56">
        <f>IF(AN1052=21,J1052,0)</f>
      </c>
      <c r="AN1052" s="56" t="n">
        <v>21</v>
      </c>
      <c r="AO1052" s="56">
        <f>G1052*0.204705882</f>
      </c>
      <c r="AP1052" s="56">
        <f>G1052*(1-0.204705882)</f>
      </c>
      <c r="AQ1052" s="57" t="s">
        <v>61</v>
      </c>
      <c r="AV1052" s="56">
        <f>AW1052+AX1052</f>
      </c>
      <c r="AW1052" s="56">
        <f>F1052*AO1052</f>
      </c>
      <c r="AX1052" s="56">
        <f>F1052*AP1052</f>
      </c>
      <c r="AY1052" s="57" t="s">
        <v>1824</v>
      </c>
      <c r="AZ1052" s="57" t="s">
        <v>1825</v>
      </c>
      <c r="BA1052" s="28" t="s">
        <v>1826</v>
      </c>
      <c r="BC1052" s="56">
        <f>AW1052+AX1052</f>
      </c>
      <c r="BD1052" s="56">
        <f>G1052/(100-BE1052)*100</f>
      </c>
      <c r="BE1052" s="56" t="n">
        <v>0</v>
      </c>
      <c r="BF1052" s="56">
        <f>1052</f>
      </c>
      <c r="BH1052" s="56">
        <f>F1052*AO1052</f>
      </c>
      <c r="BI1052" s="56">
        <f>F1052*AP1052</f>
      </c>
      <c r="BJ1052" s="56">
        <f>F1052*G1052</f>
      </c>
      <c r="BK1052" s="56"/>
      <c r="BL1052" s="56"/>
      <c r="BW1052" s="56" t="n">
        <v>21</v>
      </c>
      <c r="BX1052" s="14" t="s">
        <v>1823</v>
      </c>
    </row>
    <row r="1053" customHeight="true" ht="13.5">
      <c r="A1053" s="112"/>
      <c r="C1053" s="81" t="s">
        <v>1833</v>
      </c>
      <c r="D1053" s="113"/>
      <c r="E1053" s="113"/>
      <c r="F1053" s="113"/>
      <c r="G1053" s="113"/>
      <c r="H1053" s="113"/>
      <c r="I1053" s="113"/>
      <c r="J1053" s="113"/>
      <c r="K1053" s="114"/>
    </row>
    <row r="1054">
      <c r="A1054" s="112"/>
      <c r="C1054" s="140" t="s">
        <v>76</v>
      </c>
      <c r="D1054" s="113" t="s">
        <v>53</v>
      </c>
      <c r="F1054" s="141" t="n">
        <v>4</v>
      </c>
      <c r="K1054" s="142"/>
    </row>
    <row r="1055">
      <c r="A1055" s="9" t="s">
        <v>1834</v>
      </c>
      <c r="B1055" s="10" t="s">
        <v>1835</v>
      </c>
      <c r="C1055" s="14" t="s">
        <v>1823</v>
      </c>
      <c r="D1055" s="10"/>
      <c r="E1055" s="10" t="s">
        <v>273</v>
      </c>
      <c r="F1055" s="56" t="n">
        <v>6</v>
      </c>
      <c r="G1055" s="56" t="n">
        <v>0</v>
      </c>
      <c r="H1055" s="56">
        <f>F1055*AO1055</f>
      </c>
      <c r="I1055" s="56">
        <f>F1055*AP1055</f>
      </c>
      <c r="J1055" s="56">
        <f>F1055*G1055</f>
      </c>
      <c r="K1055" s="111" t="s">
        <v>71</v>
      </c>
      <c r="Z1055" s="56">
        <f>IF(AQ1055="5",BJ1055,0)</f>
      </c>
      <c r="AB1055" s="56">
        <f>IF(AQ1055="1",BH1055,0)</f>
      </c>
      <c r="AC1055" s="56">
        <f>IF(AQ1055="1",BI1055,0)</f>
      </c>
      <c r="AD1055" s="56">
        <f>IF(AQ1055="7",BH1055,0)</f>
      </c>
      <c r="AE1055" s="56">
        <f>IF(AQ1055="7",BI1055,0)</f>
      </c>
      <c r="AF1055" s="56">
        <f>IF(AQ1055="2",BH1055,0)</f>
      </c>
      <c r="AG1055" s="56">
        <f>IF(AQ1055="2",BI1055,0)</f>
      </c>
      <c r="AH1055" s="56">
        <f>IF(AQ1055="0",BJ1055,0)</f>
      </c>
      <c r="AI1055" s="28" t="s">
        <v>1820</v>
      </c>
      <c r="AJ1055" s="56">
        <f>IF(AN1055=0,J1055,0)</f>
      </c>
      <c r="AK1055" s="56">
        <f>IF(AN1055=12,J1055,0)</f>
      </c>
      <c r="AL1055" s="56">
        <f>IF(AN1055=21,J1055,0)</f>
      </c>
      <c r="AN1055" s="56" t="n">
        <v>21</v>
      </c>
      <c r="AO1055" s="56">
        <f>G1055*0.204736842</f>
      </c>
      <c r="AP1055" s="56">
        <f>G1055*(1-0.204736842)</f>
      </c>
      <c r="AQ1055" s="57" t="s">
        <v>61</v>
      </c>
      <c r="AV1055" s="56">
        <f>AW1055+AX1055</f>
      </c>
      <c r="AW1055" s="56">
        <f>F1055*AO1055</f>
      </c>
      <c r="AX1055" s="56">
        <f>F1055*AP1055</f>
      </c>
      <c r="AY1055" s="57" t="s">
        <v>1824</v>
      </c>
      <c r="AZ1055" s="57" t="s">
        <v>1825</v>
      </c>
      <c r="BA1055" s="28" t="s">
        <v>1826</v>
      </c>
      <c r="BC1055" s="56">
        <f>AW1055+AX1055</f>
      </c>
      <c r="BD1055" s="56">
        <f>G1055/(100-BE1055)*100</f>
      </c>
      <c r="BE1055" s="56" t="n">
        <v>0</v>
      </c>
      <c r="BF1055" s="56">
        <f>1055</f>
      </c>
      <c r="BH1055" s="56">
        <f>F1055*AO1055</f>
      </c>
      <c r="BI1055" s="56">
        <f>F1055*AP1055</f>
      </c>
      <c r="BJ1055" s="56">
        <f>F1055*G1055</f>
      </c>
      <c r="BK1055" s="56"/>
      <c r="BL1055" s="56"/>
      <c r="BW1055" s="56" t="n">
        <v>21</v>
      </c>
      <c r="BX1055" s="14" t="s">
        <v>1823</v>
      </c>
    </row>
    <row r="1056" customHeight="true" ht="13.5">
      <c r="A1056" s="112"/>
      <c r="C1056" s="81" t="s">
        <v>1836</v>
      </c>
      <c r="D1056" s="113"/>
      <c r="E1056" s="113"/>
      <c r="F1056" s="113"/>
      <c r="G1056" s="113"/>
      <c r="H1056" s="113"/>
      <c r="I1056" s="113"/>
      <c r="J1056" s="113"/>
      <c r="K1056" s="114"/>
    </row>
    <row r="1057">
      <c r="A1057" s="112"/>
      <c r="C1057" s="140" t="s">
        <v>82</v>
      </c>
      <c r="D1057" s="113" t="s">
        <v>53</v>
      </c>
      <c r="F1057" s="141" t="n">
        <v>6</v>
      </c>
      <c r="K1057" s="142"/>
    </row>
    <row r="1058">
      <c r="A1058" s="9" t="s">
        <v>1837</v>
      </c>
      <c r="B1058" s="10" t="s">
        <v>1838</v>
      </c>
      <c r="C1058" s="14" t="s">
        <v>1823</v>
      </c>
      <c r="D1058" s="10"/>
      <c r="E1058" s="10" t="s">
        <v>273</v>
      </c>
      <c r="F1058" s="56" t="n">
        <v>60</v>
      </c>
      <c r="G1058" s="56" t="n">
        <v>0</v>
      </c>
      <c r="H1058" s="56">
        <f>F1058*AO1058</f>
      </c>
      <c r="I1058" s="56">
        <f>F1058*AP1058</f>
      </c>
      <c r="J1058" s="56">
        <f>F1058*G1058</f>
      </c>
      <c r="K1058" s="111" t="s">
        <v>71</v>
      </c>
      <c r="Z1058" s="56">
        <f>IF(AQ1058="5",BJ1058,0)</f>
      </c>
      <c r="AB1058" s="56">
        <f>IF(AQ1058="1",BH1058,0)</f>
      </c>
      <c r="AC1058" s="56">
        <f>IF(AQ1058="1",BI1058,0)</f>
      </c>
      <c r="AD1058" s="56">
        <f>IF(AQ1058="7",BH1058,0)</f>
      </c>
      <c r="AE1058" s="56">
        <f>IF(AQ1058="7",BI1058,0)</f>
      </c>
      <c r="AF1058" s="56">
        <f>IF(AQ1058="2",BH1058,0)</f>
      </c>
      <c r="AG1058" s="56">
        <f>IF(AQ1058="2",BI1058,0)</f>
      </c>
      <c r="AH1058" s="56">
        <f>IF(AQ1058="0",BJ1058,0)</f>
      </c>
      <c r="AI1058" s="28" t="s">
        <v>1820</v>
      </c>
      <c r="AJ1058" s="56">
        <f>IF(AN1058=0,J1058,0)</f>
      </c>
      <c r="AK1058" s="56">
        <f>IF(AN1058=12,J1058,0)</f>
      </c>
      <c r="AL1058" s="56">
        <f>IF(AN1058=21,J1058,0)</f>
      </c>
      <c r="AN1058" s="56" t="n">
        <v>21</v>
      </c>
      <c r="AO1058" s="56">
        <f>G1058*0.204728682</f>
      </c>
      <c r="AP1058" s="56">
        <f>G1058*(1-0.204728682)</f>
      </c>
      <c r="AQ1058" s="57" t="s">
        <v>61</v>
      </c>
      <c r="AV1058" s="56">
        <f>AW1058+AX1058</f>
      </c>
      <c r="AW1058" s="56">
        <f>F1058*AO1058</f>
      </c>
      <c r="AX1058" s="56">
        <f>F1058*AP1058</f>
      </c>
      <c r="AY1058" s="57" t="s">
        <v>1824</v>
      </c>
      <c r="AZ1058" s="57" t="s">
        <v>1825</v>
      </c>
      <c r="BA1058" s="28" t="s">
        <v>1826</v>
      </c>
      <c r="BC1058" s="56">
        <f>AW1058+AX1058</f>
      </c>
      <c r="BD1058" s="56">
        <f>G1058/(100-BE1058)*100</f>
      </c>
      <c r="BE1058" s="56" t="n">
        <v>0</v>
      </c>
      <c r="BF1058" s="56">
        <f>1058</f>
      </c>
      <c r="BH1058" s="56">
        <f>F1058*AO1058</f>
      </c>
      <c r="BI1058" s="56">
        <f>F1058*AP1058</f>
      </c>
      <c r="BJ1058" s="56">
        <f>F1058*G1058</f>
      </c>
      <c r="BK1058" s="56"/>
      <c r="BL1058" s="56"/>
      <c r="BW1058" s="56" t="n">
        <v>21</v>
      </c>
      <c r="BX1058" s="14" t="s">
        <v>1823</v>
      </c>
    </row>
    <row r="1059" customHeight="true" ht="13.5">
      <c r="A1059" s="112"/>
      <c r="C1059" s="81" t="s">
        <v>1839</v>
      </c>
      <c r="D1059" s="113"/>
      <c r="E1059" s="113"/>
      <c r="F1059" s="113"/>
      <c r="G1059" s="113"/>
      <c r="H1059" s="113"/>
      <c r="I1059" s="113"/>
      <c r="J1059" s="113"/>
      <c r="K1059" s="114"/>
    </row>
    <row r="1060">
      <c r="A1060" s="112"/>
      <c r="C1060" s="140" t="s">
        <v>287</v>
      </c>
      <c r="D1060" s="113" t="s">
        <v>53</v>
      </c>
      <c r="F1060" s="141" t="n">
        <v>60</v>
      </c>
      <c r="K1060" s="142"/>
    </row>
    <row r="1061">
      <c r="A1061" s="9" t="s">
        <v>1840</v>
      </c>
      <c r="B1061" s="10" t="s">
        <v>1841</v>
      </c>
      <c r="C1061" s="14" t="s">
        <v>1823</v>
      </c>
      <c r="D1061" s="10"/>
      <c r="E1061" s="10" t="s">
        <v>273</v>
      </c>
      <c r="F1061" s="56" t="n">
        <v>4</v>
      </c>
      <c r="G1061" s="56" t="n">
        <v>0</v>
      </c>
      <c r="H1061" s="56">
        <f>F1061*AO1061</f>
      </c>
      <c r="I1061" s="56">
        <f>F1061*AP1061</f>
      </c>
      <c r="J1061" s="56">
        <f>F1061*G1061</f>
      </c>
      <c r="K1061" s="111" t="s">
        <v>71</v>
      </c>
      <c r="Z1061" s="56">
        <f>IF(AQ1061="5",BJ1061,0)</f>
      </c>
      <c r="AB1061" s="56">
        <f>IF(AQ1061="1",BH1061,0)</f>
      </c>
      <c r="AC1061" s="56">
        <f>IF(AQ1061="1",BI1061,0)</f>
      </c>
      <c r="AD1061" s="56">
        <f>IF(AQ1061="7",BH1061,0)</f>
      </c>
      <c r="AE1061" s="56">
        <f>IF(AQ1061="7",BI1061,0)</f>
      </c>
      <c r="AF1061" s="56">
        <f>IF(AQ1061="2",BH1061,0)</f>
      </c>
      <c r="AG1061" s="56">
        <f>IF(AQ1061="2",BI1061,0)</f>
      </c>
      <c r="AH1061" s="56">
        <f>IF(AQ1061="0",BJ1061,0)</f>
      </c>
      <c r="AI1061" s="28" t="s">
        <v>1820</v>
      </c>
      <c r="AJ1061" s="56">
        <f>IF(AN1061=0,J1061,0)</f>
      </c>
      <c r="AK1061" s="56">
        <f>IF(AN1061=12,J1061,0)</f>
      </c>
      <c r="AL1061" s="56">
        <f>IF(AN1061=21,J1061,0)</f>
      </c>
      <c r="AN1061" s="56" t="n">
        <v>21</v>
      </c>
      <c r="AO1061" s="56">
        <f>G1061*0.204722222</f>
      </c>
      <c r="AP1061" s="56">
        <f>G1061*(1-0.204722222)</f>
      </c>
      <c r="AQ1061" s="57" t="s">
        <v>61</v>
      </c>
      <c r="AV1061" s="56">
        <f>AW1061+AX1061</f>
      </c>
      <c r="AW1061" s="56">
        <f>F1061*AO1061</f>
      </c>
      <c r="AX1061" s="56">
        <f>F1061*AP1061</f>
      </c>
      <c r="AY1061" s="57" t="s">
        <v>1824</v>
      </c>
      <c r="AZ1061" s="57" t="s">
        <v>1825</v>
      </c>
      <c r="BA1061" s="28" t="s">
        <v>1826</v>
      </c>
      <c r="BC1061" s="56">
        <f>AW1061+AX1061</f>
      </c>
      <c r="BD1061" s="56">
        <f>G1061/(100-BE1061)*100</f>
      </c>
      <c r="BE1061" s="56" t="n">
        <v>0</v>
      </c>
      <c r="BF1061" s="56">
        <f>1061</f>
      </c>
      <c r="BH1061" s="56">
        <f>F1061*AO1061</f>
      </c>
      <c r="BI1061" s="56">
        <f>F1061*AP1061</f>
      </c>
      <c r="BJ1061" s="56">
        <f>F1061*G1061</f>
      </c>
      <c r="BK1061" s="56"/>
      <c r="BL1061" s="56"/>
      <c r="BW1061" s="56" t="n">
        <v>21</v>
      </c>
      <c r="BX1061" s="14" t="s">
        <v>1823</v>
      </c>
    </row>
    <row r="1062" customHeight="true" ht="13.5">
      <c r="A1062" s="112"/>
      <c r="C1062" s="81" t="s">
        <v>1842</v>
      </c>
      <c r="D1062" s="113"/>
      <c r="E1062" s="113"/>
      <c r="F1062" s="113"/>
      <c r="G1062" s="113"/>
      <c r="H1062" s="113"/>
      <c r="I1062" s="113"/>
      <c r="J1062" s="113"/>
      <c r="K1062" s="114"/>
    </row>
    <row r="1063">
      <c r="A1063" s="112"/>
      <c r="C1063" s="140" t="s">
        <v>76</v>
      </c>
      <c r="D1063" s="113" t="s">
        <v>53</v>
      </c>
      <c r="F1063" s="141" t="n">
        <v>4</v>
      </c>
      <c r="K1063" s="142"/>
    </row>
    <row r="1064">
      <c r="A1064" s="9" t="s">
        <v>1843</v>
      </c>
      <c r="B1064" s="10" t="s">
        <v>1844</v>
      </c>
      <c r="C1064" s="14" t="s">
        <v>1823</v>
      </c>
      <c r="D1064" s="10"/>
      <c r="E1064" s="10" t="s">
        <v>273</v>
      </c>
      <c r="F1064" s="56" t="n">
        <v>4</v>
      </c>
      <c r="G1064" s="56" t="n">
        <v>0</v>
      </c>
      <c r="H1064" s="56">
        <f>F1064*AO1064</f>
      </c>
      <c r="I1064" s="56">
        <f>F1064*AP1064</f>
      </c>
      <c r="J1064" s="56">
        <f>F1064*G1064</f>
      </c>
      <c r="K1064" s="111" t="s">
        <v>71</v>
      </c>
      <c r="Z1064" s="56">
        <f>IF(AQ1064="5",BJ1064,0)</f>
      </c>
      <c r="AB1064" s="56">
        <f>IF(AQ1064="1",BH1064,0)</f>
      </c>
      <c r="AC1064" s="56">
        <f>IF(AQ1064="1",BI1064,0)</f>
      </c>
      <c r="AD1064" s="56">
        <f>IF(AQ1064="7",BH1064,0)</f>
      </c>
      <c r="AE1064" s="56">
        <f>IF(AQ1064="7",BI1064,0)</f>
      </c>
      <c r="AF1064" s="56">
        <f>IF(AQ1064="2",BH1064,0)</f>
      </c>
      <c r="AG1064" s="56">
        <f>IF(AQ1064="2",BI1064,0)</f>
      </c>
      <c r="AH1064" s="56">
        <f>IF(AQ1064="0",BJ1064,0)</f>
      </c>
      <c r="AI1064" s="28" t="s">
        <v>1820</v>
      </c>
      <c r="AJ1064" s="56">
        <f>IF(AN1064=0,J1064,0)</f>
      </c>
      <c r="AK1064" s="56">
        <f>IF(AN1064=12,J1064,0)</f>
      </c>
      <c r="AL1064" s="56">
        <f>IF(AN1064=21,J1064,0)</f>
      </c>
      <c r="AN1064" s="56" t="n">
        <v>21</v>
      </c>
      <c r="AO1064" s="56">
        <f>G1064*0.204755245</f>
      </c>
      <c r="AP1064" s="56">
        <f>G1064*(1-0.204755245)</f>
      </c>
      <c r="AQ1064" s="57" t="s">
        <v>61</v>
      </c>
      <c r="AV1064" s="56">
        <f>AW1064+AX1064</f>
      </c>
      <c r="AW1064" s="56">
        <f>F1064*AO1064</f>
      </c>
      <c r="AX1064" s="56">
        <f>F1064*AP1064</f>
      </c>
      <c r="AY1064" s="57" t="s">
        <v>1824</v>
      </c>
      <c r="AZ1064" s="57" t="s">
        <v>1825</v>
      </c>
      <c r="BA1064" s="28" t="s">
        <v>1826</v>
      </c>
      <c r="BC1064" s="56">
        <f>AW1064+AX1064</f>
      </c>
      <c r="BD1064" s="56">
        <f>G1064/(100-BE1064)*100</f>
      </c>
      <c r="BE1064" s="56" t="n">
        <v>0</v>
      </c>
      <c r="BF1064" s="56">
        <f>1064</f>
      </c>
      <c r="BH1064" s="56">
        <f>F1064*AO1064</f>
      </c>
      <c r="BI1064" s="56">
        <f>F1064*AP1064</f>
      </c>
      <c r="BJ1064" s="56">
        <f>F1064*G1064</f>
      </c>
      <c r="BK1064" s="56"/>
      <c r="BL1064" s="56"/>
      <c r="BW1064" s="56" t="n">
        <v>21</v>
      </c>
      <c r="BX1064" s="14" t="s">
        <v>1823</v>
      </c>
    </row>
    <row r="1065" customHeight="true" ht="13.5">
      <c r="A1065" s="112"/>
      <c r="C1065" s="81" t="s">
        <v>1845</v>
      </c>
      <c r="D1065" s="113"/>
      <c r="E1065" s="113"/>
      <c r="F1065" s="113"/>
      <c r="G1065" s="113"/>
      <c r="H1065" s="113"/>
      <c r="I1065" s="113"/>
      <c r="J1065" s="113"/>
      <c r="K1065" s="114"/>
    </row>
    <row r="1066">
      <c r="A1066" s="112"/>
      <c r="C1066" s="140" t="s">
        <v>76</v>
      </c>
      <c r="D1066" s="113" t="s">
        <v>53</v>
      </c>
      <c r="F1066" s="141" t="n">
        <v>4</v>
      </c>
      <c r="K1066" s="142"/>
    </row>
    <row r="1067">
      <c r="A1067" s="9" t="s">
        <v>1846</v>
      </c>
      <c r="B1067" s="10" t="s">
        <v>1847</v>
      </c>
      <c r="C1067" s="14" t="s">
        <v>1823</v>
      </c>
      <c r="D1067" s="10"/>
      <c r="E1067" s="10" t="s">
        <v>393</v>
      </c>
      <c r="F1067" s="56" t="n">
        <v>70</v>
      </c>
      <c r="G1067" s="56" t="n">
        <v>0</v>
      </c>
      <c r="H1067" s="56">
        <f>F1067*AO1067</f>
      </c>
      <c r="I1067" s="56">
        <f>F1067*AP1067</f>
      </c>
      <c r="J1067" s="56">
        <f>F1067*G1067</f>
      </c>
      <c r="K1067" s="111" t="s">
        <v>71</v>
      </c>
      <c r="Z1067" s="56">
        <f>IF(AQ1067="5",BJ1067,0)</f>
      </c>
      <c r="AB1067" s="56">
        <f>IF(AQ1067="1",BH1067,0)</f>
      </c>
      <c r="AC1067" s="56">
        <f>IF(AQ1067="1",BI1067,0)</f>
      </c>
      <c r="AD1067" s="56">
        <f>IF(AQ1067="7",BH1067,0)</f>
      </c>
      <c r="AE1067" s="56">
        <f>IF(AQ1067="7",BI1067,0)</f>
      </c>
      <c r="AF1067" s="56">
        <f>IF(AQ1067="2",BH1067,0)</f>
      </c>
      <c r="AG1067" s="56">
        <f>IF(AQ1067="2",BI1067,0)</f>
      </c>
      <c r="AH1067" s="56">
        <f>IF(AQ1067="0",BJ1067,0)</f>
      </c>
      <c r="AI1067" s="28" t="s">
        <v>1820</v>
      </c>
      <c r="AJ1067" s="56">
        <f>IF(AN1067=0,J1067,0)</f>
      </c>
      <c r="AK1067" s="56">
        <f>IF(AN1067=12,J1067,0)</f>
      </c>
      <c r="AL1067" s="56">
        <f>IF(AN1067=21,J1067,0)</f>
      </c>
      <c r="AN1067" s="56" t="n">
        <v>21</v>
      </c>
      <c r="AO1067" s="56">
        <f>G1067*0.204754098</f>
      </c>
      <c r="AP1067" s="56">
        <f>G1067*(1-0.204754098)</f>
      </c>
      <c r="AQ1067" s="57" t="s">
        <v>61</v>
      </c>
      <c r="AV1067" s="56">
        <f>AW1067+AX1067</f>
      </c>
      <c r="AW1067" s="56">
        <f>F1067*AO1067</f>
      </c>
      <c r="AX1067" s="56">
        <f>F1067*AP1067</f>
      </c>
      <c r="AY1067" s="57" t="s">
        <v>1824</v>
      </c>
      <c r="AZ1067" s="57" t="s">
        <v>1825</v>
      </c>
      <c r="BA1067" s="28" t="s">
        <v>1826</v>
      </c>
      <c r="BC1067" s="56">
        <f>AW1067+AX1067</f>
      </c>
      <c r="BD1067" s="56">
        <f>G1067/(100-BE1067)*100</f>
      </c>
      <c r="BE1067" s="56" t="n">
        <v>0</v>
      </c>
      <c r="BF1067" s="56">
        <f>1067</f>
      </c>
      <c r="BH1067" s="56">
        <f>F1067*AO1067</f>
      </c>
      <c r="BI1067" s="56">
        <f>F1067*AP1067</f>
      </c>
      <c r="BJ1067" s="56">
        <f>F1067*G1067</f>
      </c>
      <c r="BK1067" s="56"/>
      <c r="BL1067" s="56"/>
      <c r="BW1067" s="56" t="n">
        <v>21</v>
      </c>
      <c r="BX1067" s="14" t="s">
        <v>1823</v>
      </c>
    </row>
    <row r="1068" customHeight="true" ht="13.5">
      <c r="A1068" s="112"/>
      <c r="C1068" s="81" t="s">
        <v>1848</v>
      </c>
      <c r="D1068" s="113"/>
      <c r="E1068" s="113"/>
      <c r="F1068" s="113"/>
      <c r="G1068" s="113"/>
      <c r="H1068" s="113"/>
      <c r="I1068" s="113"/>
      <c r="J1068" s="113"/>
      <c r="K1068" s="114"/>
    </row>
    <row r="1069">
      <c r="A1069" s="112"/>
      <c r="C1069" s="140" t="s">
        <v>518</v>
      </c>
      <c r="D1069" s="113" t="s">
        <v>53</v>
      </c>
      <c r="F1069" s="141" t="n">
        <v>70</v>
      </c>
      <c r="K1069" s="142"/>
    </row>
    <row r="1070">
      <c r="A1070" s="9" t="s">
        <v>1849</v>
      </c>
      <c r="B1070" s="10" t="s">
        <v>1850</v>
      </c>
      <c r="C1070" s="14" t="s">
        <v>1823</v>
      </c>
      <c r="D1070" s="10"/>
      <c r="E1070" s="10" t="s">
        <v>1454</v>
      </c>
      <c r="F1070" s="56" t="n">
        <v>30</v>
      </c>
      <c r="G1070" s="56" t="n">
        <v>0</v>
      </c>
      <c r="H1070" s="56">
        <f>F1070*AO1070</f>
      </c>
      <c r="I1070" s="56">
        <f>F1070*AP1070</f>
      </c>
      <c r="J1070" s="56">
        <f>F1070*G1070</f>
      </c>
      <c r="K1070" s="111" t="s">
        <v>71</v>
      </c>
      <c r="Z1070" s="56">
        <f>IF(AQ1070="5",BJ1070,0)</f>
      </c>
      <c r="AB1070" s="56">
        <f>IF(AQ1070="1",BH1070,0)</f>
      </c>
      <c r="AC1070" s="56">
        <f>IF(AQ1070="1",BI1070,0)</f>
      </c>
      <c r="AD1070" s="56">
        <f>IF(AQ1070="7",BH1070,0)</f>
      </c>
      <c r="AE1070" s="56">
        <f>IF(AQ1070="7",BI1070,0)</f>
      </c>
      <c r="AF1070" s="56">
        <f>IF(AQ1070="2",BH1070,0)</f>
      </c>
      <c r="AG1070" s="56">
        <f>IF(AQ1070="2",BI1070,0)</f>
      </c>
      <c r="AH1070" s="56">
        <f>IF(AQ1070="0",BJ1070,0)</f>
      </c>
      <c r="AI1070" s="28" t="s">
        <v>1820</v>
      </c>
      <c r="AJ1070" s="56">
        <f>IF(AN1070=0,J1070,0)</f>
      </c>
      <c r="AK1070" s="56">
        <f>IF(AN1070=12,J1070,0)</f>
      </c>
      <c r="AL1070" s="56">
        <f>IF(AN1070=21,J1070,0)</f>
      </c>
      <c r="AN1070" s="56" t="n">
        <v>21</v>
      </c>
      <c r="AO1070" s="56">
        <f>G1070*0.20475</f>
      </c>
      <c r="AP1070" s="56">
        <f>G1070*(1-0.20475)</f>
      </c>
      <c r="AQ1070" s="57" t="s">
        <v>61</v>
      </c>
      <c r="AV1070" s="56">
        <f>AW1070+AX1070</f>
      </c>
      <c r="AW1070" s="56">
        <f>F1070*AO1070</f>
      </c>
      <c r="AX1070" s="56">
        <f>F1070*AP1070</f>
      </c>
      <c r="AY1070" s="57" t="s">
        <v>1824</v>
      </c>
      <c r="AZ1070" s="57" t="s">
        <v>1825</v>
      </c>
      <c r="BA1070" s="28" t="s">
        <v>1826</v>
      </c>
      <c r="BC1070" s="56">
        <f>AW1070+AX1070</f>
      </c>
      <c r="BD1070" s="56">
        <f>G1070/(100-BE1070)*100</f>
      </c>
      <c r="BE1070" s="56" t="n">
        <v>0</v>
      </c>
      <c r="BF1070" s="56">
        <f>1070</f>
      </c>
      <c r="BH1070" s="56">
        <f>F1070*AO1070</f>
      </c>
      <c r="BI1070" s="56">
        <f>F1070*AP1070</f>
      </c>
      <c r="BJ1070" s="56">
        <f>F1070*G1070</f>
      </c>
      <c r="BK1070" s="56"/>
      <c r="BL1070" s="56"/>
      <c r="BW1070" s="56" t="n">
        <v>21</v>
      </c>
      <c r="BX1070" s="14" t="s">
        <v>1823</v>
      </c>
    </row>
    <row r="1071" customHeight="true" ht="13.5">
      <c r="A1071" s="112"/>
      <c r="C1071" s="81" t="s">
        <v>1851</v>
      </c>
      <c r="D1071" s="113"/>
      <c r="E1071" s="113"/>
      <c r="F1071" s="113"/>
      <c r="G1071" s="113"/>
      <c r="H1071" s="113"/>
      <c r="I1071" s="113"/>
      <c r="J1071" s="113"/>
      <c r="K1071" s="114"/>
    </row>
    <row r="1072">
      <c r="A1072" s="112"/>
      <c r="C1072" s="140" t="s">
        <v>252</v>
      </c>
      <c r="D1072" s="113" t="s">
        <v>53</v>
      </c>
      <c r="F1072" s="141" t="n">
        <v>30</v>
      </c>
      <c r="K1072" s="142"/>
    </row>
    <row r="1073">
      <c r="A1073" s="9" t="s">
        <v>1852</v>
      </c>
      <c r="B1073" s="10" t="s">
        <v>1853</v>
      </c>
      <c r="C1073" s="14" t="s">
        <v>1823</v>
      </c>
      <c r="D1073" s="10"/>
      <c r="E1073" s="10" t="s">
        <v>1454</v>
      </c>
      <c r="F1073" s="56" t="n">
        <v>3</v>
      </c>
      <c r="G1073" s="56" t="n">
        <v>0</v>
      </c>
      <c r="H1073" s="56">
        <f>F1073*AO1073</f>
      </c>
      <c r="I1073" s="56">
        <f>F1073*AP1073</f>
      </c>
      <c r="J1073" s="56">
        <f>F1073*G1073</f>
      </c>
      <c r="K1073" s="111" t="s">
        <v>71</v>
      </c>
      <c r="Z1073" s="56">
        <f>IF(AQ1073="5",BJ1073,0)</f>
      </c>
      <c r="AB1073" s="56">
        <f>IF(AQ1073="1",BH1073,0)</f>
      </c>
      <c r="AC1073" s="56">
        <f>IF(AQ1073="1",BI1073,0)</f>
      </c>
      <c r="AD1073" s="56">
        <f>IF(AQ1073="7",BH1073,0)</f>
      </c>
      <c r="AE1073" s="56">
        <f>IF(AQ1073="7",BI1073,0)</f>
      </c>
      <c r="AF1073" s="56">
        <f>IF(AQ1073="2",BH1073,0)</f>
      </c>
      <c r="AG1073" s="56">
        <f>IF(AQ1073="2",BI1073,0)</f>
      </c>
      <c r="AH1073" s="56">
        <f>IF(AQ1073="0",BJ1073,0)</f>
      </c>
      <c r="AI1073" s="28" t="s">
        <v>1820</v>
      </c>
      <c r="AJ1073" s="56">
        <f>IF(AN1073=0,J1073,0)</f>
      </c>
      <c r="AK1073" s="56">
        <f>IF(AN1073=12,J1073,0)</f>
      </c>
      <c r="AL1073" s="56">
        <f>IF(AN1073=21,J1073,0)</f>
      </c>
      <c r="AN1073" s="56" t="n">
        <v>21</v>
      </c>
      <c r="AO1073" s="56">
        <f>G1073*0.203339286</f>
      </c>
      <c r="AP1073" s="56">
        <f>G1073*(1-0.203339286)</f>
      </c>
      <c r="AQ1073" s="57" t="s">
        <v>61</v>
      </c>
      <c r="AV1073" s="56">
        <f>AW1073+AX1073</f>
      </c>
      <c r="AW1073" s="56">
        <f>F1073*AO1073</f>
      </c>
      <c r="AX1073" s="56">
        <f>F1073*AP1073</f>
      </c>
      <c r="AY1073" s="57" t="s">
        <v>1824</v>
      </c>
      <c r="AZ1073" s="57" t="s">
        <v>1825</v>
      </c>
      <c r="BA1073" s="28" t="s">
        <v>1826</v>
      </c>
      <c r="BC1073" s="56">
        <f>AW1073+AX1073</f>
      </c>
      <c r="BD1073" s="56">
        <f>G1073/(100-BE1073)*100</f>
      </c>
      <c r="BE1073" s="56" t="n">
        <v>0</v>
      </c>
      <c r="BF1073" s="56">
        <f>1073</f>
      </c>
      <c r="BH1073" s="56">
        <f>F1073*AO1073</f>
      </c>
      <c r="BI1073" s="56">
        <f>F1073*AP1073</f>
      </c>
      <c r="BJ1073" s="56">
        <f>F1073*G1073</f>
      </c>
      <c r="BK1073" s="56"/>
      <c r="BL1073" s="56"/>
      <c r="BW1073" s="56" t="n">
        <v>21</v>
      </c>
      <c r="BX1073" s="14" t="s">
        <v>1823</v>
      </c>
    </row>
    <row r="1074" customHeight="true" ht="13.5">
      <c r="A1074" s="112"/>
      <c r="C1074" s="81" t="s">
        <v>1854</v>
      </c>
      <c r="D1074" s="113"/>
      <c r="E1074" s="113"/>
      <c r="F1074" s="113"/>
      <c r="G1074" s="113"/>
      <c r="H1074" s="113"/>
      <c r="I1074" s="113"/>
      <c r="J1074" s="113"/>
      <c r="K1074" s="114"/>
    </row>
    <row r="1075">
      <c r="A1075" s="112"/>
      <c r="C1075" s="140" t="s">
        <v>73</v>
      </c>
      <c r="D1075" s="113" t="s">
        <v>53</v>
      </c>
      <c r="F1075" s="141" t="n">
        <v>3</v>
      </c>
      <c r="K1075" s="142"/>
    </row>
    <row r="1076">
      <c r="A1076" s="9" t="s">
        <v>1855</v>
      </c>
      <c r="B1076" s="10" t="s">
        <v>1856</v>
      </c>
      <c r="C1076" s="14" t="s">
        <v>1857</v>
      </c>
      <c r="D1076" s="10"/>
      <c r="E1076" s="10" t="s">
        <v>1454</v>
      </c>
      <c r="F1076" s="56" t="n">
        <v>16</v>
      </c>
      <c r="G1076" s="56" t="n">
        <v>0</v>
      </c>
      <c r="H1076" s="56">
        <f>F1076*AO1076</f>
      </c>
      <c r="I1076" s="56">
        <f>F1076*AP1076</f>
      </c>
      <c r="J1076" s="56">
        <f>F1076*G1076</f>
      </c>
      <c r="K1076" s="111" t="s">
        <v>71</v>
      </c>
      <c r="Z1076" s="56">
        <f>IF(AQ1076="5",BJ1076,0)</f>
      </c>
      <c r="AB1076" s="56">
        <f>IF(AQ1076="1",BH1076,0)</f>
      </c>
      <c r="AC1076" s="56">
        <f>IF(AQ1076="1",BI1076,0)</f>
      </c>
      <c r="AD1076" s="56">
        <f>IF(AQ1076="7",BH1076,0)</f>
      </c>
      <c r="AE1076" s="56">
        <f>IF(AQ1076="7",BI1076,0)</f>
      </c>
      <c r="AF1076" s="56">
        <f>IF(AQ1076="2",BH1076,0)</f>
      </c>
      <c r="AG1076" s="56">
        <f>IF(AQ1076="2",BI1076,0)</f>
      </c>
      <c r="AH1076" s="56">
        <f>IF(AQ1076="0",BJ1076,0)</f>
      </c>
      <c r="AI1076" s="28" t="s">
        <v>1820</v>
      </c>
      <c r="AJ1076" s="56">
        <f>IF(AN1076=0,J1076,0)</f>
      </c>
      <c r="AK1076" s="56">
        <f>IF(AN1076=12,J1076,0)</f>
      </c>
      <c r="AL1076" s="56">
        <f>IF(AN1076=21,J1076,0)</f>
      </c>
      <c r="AN1076" s="56" t="n">
        <v>21</v>
      </c>
      <c r="AO1076" s="56">
        <f>G1076*0.203339286</f>
      </c>
      <c r="AP1076" s="56">
        <f>G1076*(1-0.203339286)</f>
      </c>
      <c r="AQ1076" s="57" t="s">
        <v>61</v>
      </c>
      <c r="AV1076" s="56">
        <f>AW1076+AX1076</f>
      </c>
      <c r="AW1076" s="56">
        <f>F1076*AO1076</f>
      </c>
      <c r="AX1076" s="56">
        <f>F1076*AP1076</f>
      </c>
      <c r="AY1076" s="57" t="s">
        <v>1824</v>
      </c>
      <c r="AZ1076" s="57" t="s">
        <v>1825</v>
      </c>
      <c r="BA1076" s="28" t="s">
        <v>1826</v>
      </c>
      <c r="BC1076" s="56">
        <f>AW1076+AX1076</f>
      </c>
      <c r="BD1076" s="56">
        <f>G1076/(100-BE1076)*100</f>
      </c>
      <c r="BE1076" s="56" t="n">
        <v>0</v>
      </c>
      <c r="BF1076" s="56">
        <f>1076</f>
      </c>
      <c r="BH1076" s="56">
        <f>F1076*AO1076</f>
      </c>
      <c r="BI1076" s="56">
        <f>F1076*AP1076</f>
      </c>
      <c r="BJ1076" s="56">
        <f>F1076*G1076</f>
      </c>
      <c r="BK1076" s="56"/>
      <c r="BL1076" s="56"/>
      <c r="BW1076" s="56" t="n">
        <v>21</v>
      </c>
      <c r="BX1076" s="14" t="s">
        <v>1857</v>
      </c>
    </row>
    <row r="1077">
      <c r="A1077" s="112"/>
      <c r="C1077" s="140" t="s">
        <v>143</v>
      </c>
      <c r="D1077" s="113" t="s">
        <v>53</v>
      </c>
      <c r="F1077" s="141" t="n">
        <v>16</v>
      </c>
      <c r="K1077" s="142"/>
    </row>
    <row r="1078">
      <c r="A1078" s="124" t="s">
        <v>53</v>
      </c>
      <c r="B1078" s="125" t="s">
        <v>1858</v>
      </c>
      <c r="C1078" s="126" t="s">
        <v>1859</v>
      </c>
      <c r="D1078" s="125"/>
      <c r="E1078" s="127" t="s">
        <v>34</v>
      </c>
      <c r="F1078" s="127" t="s">
        <v>34</v>
      </c>
      <c r="G1078" s="127" t="s">
        <v>34</v>
      </c>
      <c r="H1078" s="2">
        <f>SUM(H1079:H1184)</f>
      </c>
      <c r="I1078" s="2">
        <f>SUM(I1079:I1184)</f>
      </c>
      <c r="J1078" s="2">
        <f>SUM(J1079:J1184)</f>
      </c>
      <c r="K1078" s="128" t="s">
        <v>53</v>
      </c>
      <c r="AI1078" s="28" t="s">
        <v>1820</v>
      </c>
      <c r="AS1078" s="2">
        <f>SUM(AJ1079:AJ1184)</f>
      </c>
      <c r="AT1078" s="2">
        <f>SUM(AK1079:AK1184)</f>
      </c>
      <c r="AU1078" s="2">
        <f>SUM(AL1079:AL1184)</f>
      </c>
    </row>
    <row r="1079">
      <c r="A1079" s="9" t="s">
        <v>1860</v>
      </c>
      <c r="B1079" s="10" t="s">
        <v>1861</v>
      </c>
      <c r="C1079" s="14" t="s">
        <v>1862</v>
      </c>
      <c r="D1079" s="10"/>
      <c r="E1079" s="10" t="s">
        <v>180</v>
      </c>
      <c r="F1079" s="56" t="n">
        <v>1</v>
      </c>
      <c r="G1079" s="56" t="n">
        <v>0</v>
      </c>
      <c r="H1079" s="56">
        <f>F1079*AO1079</f>
      </c>
      <c r="I1079" s="56">
        <f>F1079*AP1079</f>
      </c>
      <c r="J1079" s="56">
        <f>F1079*G1079</f>
      </c>
      <c r="K1079" s="111" t="s">
        <v>71</v>
      </c>
      <c r="Z1079" s="56">
        <f>IF(AQ1079="5",BJ1079,0)</f>
      </c>
      <c r="AB1079" s="56">
        <f>IF(AQ1079="1",BH1079,0)</f>
      </c>
      <c r="AC1079" s="56">
        <f>IF(AQ1079="1",BI1079,0)</f>
      </c>
      <c r="AD1079" s="56">
        <f>IF(AQ1079="7",BH1079,0)</f>
      </c>
      <c r="AE1079" s="56">
        <f>IF(AQ1079="7",BI1079,0)</f>
      </c>
      <c r="AF1079" s="56">
        <f>IF(AQ1079="2",BH1079,0)</f>
      </c>
      <c r="AG1079" s="56">
        <f>IF(AQ1079="2",BI1079,0)</f>
      </c>
      <c r="AH1079" s="56">
        <f>IF(AQ1079="0",BJ1079,0)</f>
      </c>
      <c r="AI1079" s="28" t="s">
        <v>1820</v>
      </c>
      <c r="AJ1079" s="56">
        <f>IF(AN1079=0,J1079,0)</f>
      </c>
      <c r="AK1079" s="56">
        <f>IF(AN1079=12,J1079,0)</f>
      </c>
      <c r="AL1079" s="56">
        <f>IF(AN1079=21,J1079,0)</f>
      </c>
      <c r="AN1079" s="56" t="n">
        <v>21</v>
      </c>
      <c r="AO1079" s="56">
        <f>G1079*0</f>
      </c>
      <c r="AP1079" s="56">
        <f>G1079*(1-0)</f>
      </c>
      <c r="AQ1079" s="57" t="s">
        <v>61</v>
      </c>
      <c r="AV1079" s="56">
        <f>AW1079+AX1079</f>
      </c>
      <c r="AW1079" s="56">
        <f>F1079*AO1079</f>
      </c>
      <c r="AX1079" s="56">
        <f>F1079*AP1079</f>
      </c>
      <c r="AY1079" s="57" t="s">
        <v>1863</v>
      </c>
      <c r="AZ1079" s="57" t="s">
        <v>1825</v>
      </c>
      <c r="BA1079" s="28" t="s">
        <v>1826</v>
      </c>
      <c r="BC1079" s="56">
        <f>AW1079+AX1079</f>
      </c>
      <c r="BD1079" s="56">
        <f>G1079/(100-BE1079)*100</f>
      </c>
      <c r="BE1079" s="56" t="n">
        <v>0</v>
      </c>
      <c r="BF1079" s="56">
        <f>1079</f>
      </c>
      <c r="BH1079" s="56">
        <f>F1079*AO1079</f>
      </c>
      <c r="BI1079" s="56">
        <f>F1079*AP1079</f>
      </c>
      <c r="BJ1079" s="56">
        <f>F1079*G1079</f>
      </c>
      <c r="BK1079" s="56"/>
      <c r="BL1079" s="56"/>
      <c r="BW1079" s="56" t="n">
        <v>21</v>
      </c>
      <c r="BX1079" s="14" t="s">
        <v>1862</v>
      </c>
    </row>
    <row r="1080" customHeight="true" ht="13.5">
      <c r="A1080" s="112"/>
      <c r="C1080" s="81" t="s">
        <v>1864</v>
      </c>
      <c r="D1080" s="113"/>
      <c r="E1080" s="113"/>
      <c r="F1080" s="113"/>
      <c r="G1080" s="113"/>
      <c r="H1080" s="113"/>
      <c r="I1080" s="113"/>
      <c r="J1080" s="113"/>
      <c r="K1080" s="114"/>
    </row>
    <row r="1081">
      <c r="A1081" s="112"/>
      <c r="C1081" s="140" t="s">
        <v>58</v>
      </c>
      <c r="D1081" s="113" t="s">
        <v>53</v>
      </c>
      <c r="F1081" s="141" t="n">
        <v>1</v>
      </c>
      <c r="K1081" s="142"/>
    </row>
    <row r="1082">
      <c r="A1082" s="9" t="s">
        <v>1865</v>
      </c>
      <c r="B1082" s="10" t="s">
        <v>1866</v>
      </c>
      <c r="C1082" s="14" t="s">
        <v>1862</v>
      </c>
      <c r="D1082" s="10"/>
      <c r="E1082" s="10" t="s">
        <v>180</v>
      </c>
      <c r="F1082" s="56" t="n">
        <v>1</v>
      </c>
      <c r="G1082" s="56" t="n">
        <v>0</v>
      </c>
      <c r="H1082" s="56">
        <f>F1082*AO1082</f>
      </c>
      <c r="I1082" s="56">
        <f>F1082*AP1082</f>
      </c>
      <c r="J1082" s="56">
        <f>F1082*G1082</f>
      </c>
      <c r="K1082" s="111" t="s">
        <v>71</v>
      </c>
      <c r="Z1082" s="56">
        <f>IF(AQ1082="5",BJ1082,0)</f>
      </c>
      <c r="AB1082" s="56">
        <f>IF(AQ1082="1",BH1082,0)</f>
      </c>
      <c r="AC1082" s="56">
        <f>IF(AQ1082="1",BI1082,0)</f>
      </c>
      <c r="AD1082" s="56">
        <f>IF(AQ1082="7",BH1082,0)</f>
      </c>
      <c r="AE1082" s="56">
        <f>IF(AQ1082="7",BI1082,0)</f>
      </c>
      <c r="AF1082" s="56">
        <f>IF(AQ1082="2",BH1082,0)</f>
      </c>
      <c r="AG1082" s="56">
        <f>IF(AQ1082="2",BI1082,0)</f>
      </c>
      <c r="AH1082" s="56">
        <f>IF(AQ1082="0",BJ1082,0)</f>
      </c>
      <c r="AI1082" s="28" t="s">
        <v>1820</v>
      </c>
      <c r="AJ1082" s="56">
        <f>IF(AN1082=0,J1082,0)</f>
      </c>
      <c r="AK1082" s="56">
        <f>IF(AN1082=12,J1082,0)</f>
      </c>
      <c r="AL1082" s="56">
        <f>IF(AN1082=21,J1082,0)</f>
      </c>
      <c r="AN1082" s="56" t="n">
        <v>21</v>
      </c>
      <c r="AO1082" s="56">
        <f>G1082*0</f>
      </c>
      <c r="AP1082" s="56">
        <f>G1082*(1-0)</f>
      </c>
      <c r="AQ1082" s="57" t="s">
        <v>61</v>
      </c>
      <c r="AV1082" s="56">
        <f>AW1082+AX1082</f>
      </c>
      <c r="AW1082" s="56">
        <f>F1082*AO1082</f>
      </c>
      <c r="AX1082" s="56">
        <f>F1082*AP1082</f>
      </c>
      <c r="AY1082" s="57" t="s">
        <v>1863</v>
      </c>
      <c r="AZ1082" s="57" t="s">
        <v>1825</v>
      </c>
      <c r="BA1082" s="28" t="s">
        <v>1826</v>
      </c>
      <c r="BC1082" s="56">
        <f>AW1082+AX1082</f>
      </c>
      <c r="BD1082" s="56">
        <f>G1082/(100-BE1082)*100</f>
      </c>
      <c r="BE1082" s="56" t="n">
        <v>0</v>
      </c>
      <c r="BF1082" s="56">
        <f>1082</f>
      </c>
      <c r="BH1082" s="56">
        <f>F1082*AO1082</f>
      </c>
      <c r="BI1082" s="56">
        <f>F1082*AP1082</f>
      </c>
      <c r="BJ1082" s="56">
        <f>F1082*G1082</f>
      </c>
      <c r="BK1082" s="56"/>
      <c r="BL1082" s="56"/>
      <c r="BW1082" s="56" t="n">
        <v>21</v>
      </c>
      <c r="BX1082" s="14" t="s">
        <v>1862</v>
      </c>
    </row>
    <row r="1083" customHeight="true" ht="13.5">
      <c r="A1083" s="112"/>
      <c r="C1083" s="81" t="s">
        <v>1867</v>
      </c>
      <c r="D1083" s="113"/>
      <c r="E1083" s="113"/>
      <c r="F1083" s="113"/>
      <c r="G1083" s="113"/>
      <c r="H1083" s="113"/>
      <c r="I1083" s="113"/>
      <c r="J1083" s="113"/>
      <c r="K1083" s="114"/>
    </row>
    <row r="1084">
      <c r="A1084" s="112"/>
      <c r="C1084" s="140" t="s">
        <v>58</v>
      </c>
      <c r="D1084" s="113" t="s">
        <v>53</v>
      </c>
      <c r="F1084" s="141" t="n">
        <v>1</v>
      </c>
      <c r="K1084" s="142"/>
    </row>
    <row r="1085">
      <c r="A1085" s="9" t="s">
        <v>1868</v>
      </c>
      <c r="B1085" s="10" t="s">
        <v>1869</v>
      </c>
      <c r="C1085" s="14" t="s">
        <v>1862</v>
      </c>
      <c r="D1085" s="10"/>
      <c r="E1085" s="10" t="s">
        <v>180</v>
      </c>
      <c r="F1085" s="56" t="n">
        <v>2</v>
      </c>
      <c r="G1085" s="56" t="n">
        <v>0</v>
      </c>
      <c r="H1085" s="56">
        <f>F1085*AO1085</f>
      </c>
      <c r="I1085" s="56">
        <f>F1085*AP1085</f>
      </c>
      <c r="J1085" s="56">
        <f>F1085*G1085</f>
      </c>
      <c r="K1085" s="111" t="s">
        <v>71</v>
      </c>
      <c r="Z1085" s="56">
        <f>IF(AQ1085="5",BJ1085,0)</f>
      </c>
      <c r="AB1085" s="56">
        <f>IF(AQ1085="1",BH1085,0)</f>
      </c>
      <c r="AC1085" s="56">
        <f>IF(AQ1085="1",BI1085,0)</f>
      </c>
      <c r="AD1085" s="56">
        <f>IF(AQ1085="7",BH1085,0)</f>
      </c>
      <c r="AE1085" s="56">
        <f>IF(AQ1085="7",BI1085,0)</f>
      </c>
      <c r="AF1085" s="56">
        <f>IF(AQ1085="2",BH1085,0)</f>
      </c>
      <c r="AG1085" s="56">
        <f>IF(AQ1085="2",BI1085,0)</f>
      </c>
      <c r="AH1085" s="56">
        <f>IF(AQ1085="0",BJ1085,0)</f>
      </c>
      <c r="AI1085" s="28" t="s">
        <v>1820</v>
      </c>
      <c r="AJ1085" s="56">
        <f>IF(AN1085=0,J1085,0)</f>
      </c>
      <c r="AK1085" s="56">
        <f>IF(AN1085=12,J1085,0)</f>
      </c>
      <c r="AL1085" s="56">
        <f>IF(AN1085=21,J1085,0)</f>
      </c>
      <c r="AN1085" s="56" t="n">
        <v>21</v>
      </c>
      <c r="AO1085" s="56">
        <f>G1085*0</f>
      </c>
      <c r="AP1085" s="56">
        <f>G1085*(1-0)</f>
      </c>
      <c r="AQ1085" s="57" t="s">
        <v>61</v>
      </c>
      <c r="AV1085" s="56">
        <f>AW1085+AX1085</f>
      </c>
      <c r="AW1085" s="56">
        <f>F1085*AO1085</f>
      </c>
      <c r="AX1085" s="56">
        <f>F1085*AP1085</f>
      </c>
      <c r="AY1085" s="57" t="s">
        <v>1863</v>
      </c>
      <c r="AZ1085" s="57" t="s">
        <v>1825</v>
      </c>
      <c r="BA1085" s="28" t="s">
        <v>1826</v>
      </c>
      <c r="BC1085" s="56">
        <f>AW1085+AX1085</f>
      </c>
      <c r="BD1085" s="56">
        <f>G1085/(100-BE1085)*100</f>
      </c>
      <c r="BE1085" s="56" t="n">
        <v>0</v>
      </c>
      <c r="BF1085" s="56">
        <f>1085</f>
      </c>
      <c r="BH1085" s="56">
        <f>F1085*AO1085</f>
      </c>
      <c r="BI1085" s="56">
        <f>F1085*AP1085</f>
      </c>
      <c r="BJ1085" s="56">
        <f>F1085*G1085</f>
      </c>
      <c r="BK1085" s="56"/>
      <c r="BL1085" s="56"/>
      <c r="BW1085" s="56" t="n">
        <v>21</v>
      </c>
      <c r="BX1085" s="14" t="s">
        <v>1862</v>
      </c>
    </row>
    <row r="1086" customHeight="true" ht="13.5">
      <c r="A1086" s="112"/>
      <c r="C1086" s="81" t="s">
        <v>1870</v>
      </c>
      <c r="D1086" s="113"/>
      <c r="E1086" s="113"/>
      <c r="F1086" s="113"/>
      <c r="G1086" s="113"/>
      <c r="H1086" s="113"/>
      <c r="I1086" s="113"/>
      <c r="J1086" s="113"/>
      <c r="K1086" s="114"/>
    </row>
    <row r="1087">
      <c r="A1087" s="112"/>
      <c r="C1087" s="140" t="s">
        <v>61</v>
      </c>
      <c r="D1087" s="113" t="s">
        <v>53</v>
      </c>
      <c r="F1087" s="141" t="n">
        <v>2</v>
      </c>
      <c r="K1087" s="142"/>
    </row>
    <row r="1088">
      <c r="A1088" s="9" t="s">
        <v>1871</v>
      </c>
      <c r="B1088" s="10" t="s">
        <v>1872</v>
      </c>
      <c r="C1088" s="14" t="s">
        <v>1862</v>
      </c>
      <c r="D1088" s="10"/>
      <c r="E1088" s="10" t="s">
        <v>180</v>
      </c>
      <c r="F1088" s="56" t="n">
        <v>1</v>
      </c>
      <c r="G1088" s="56" t="n">
        <v>0</v>
      </c>
      <c r="H1088" s="56">
        <f>F1088*AO1088</f>
      </c>
      <c r="I1088" s="56">
        <f>F1088*AP1088</f>
      </c>
      <c r="J1088" s="56">
        <f>F1088*G1088</f>
      </c>
      <c r="K1088" s="111" t="s">
        <v>71</v>
      </c>
      <c r="Z1088" s="56">
        <f>IF(AQ1088="5",BJ1088,0)</f>
      </c>
      <c r="AB1088" s="56">
        <f>IF(AQ1088="1",BH1088,0)</f>
      </c>
      <c r="AC1088" s="56">
        <f>IF(AQ1088="1",BI1088,0)</f>
      </c>
      <c r="AD1088" s="56">
        <f>IF(AQ1088="7",BH1088,0)</f>
      </c>
      <c r="AE1088" s="56">
        <f>IF(AQ1088="7",BI1088,0)</f>
      </c>
      <c r="AF1088" s="56">
        <f>IF(AQ1088="2",BH1088,0)</f>
      </c>
      <c r="AG1088" s="56">
        <f>IF(AQ1088="2",BI1088,0)</f>
      </c>
      <c r="AH1088" s="56">
        <f>IF(AQ1088="0",BJ1088,0)</f>
      </c>
      <c r="AI1088" s="28" t="s">
        <v>1820</v>
      </c>
      <c r="AJ1088" s="56">
        <f>IF(AN1088=0,J1088,0)</f>
      </c>
      <c r="AK1088" s="56">
        <f>IF(AN1088=12,J1088,0)</f>
      </c>
      <c r="AL1088" s="56">
        <f>IF(AN1088=21,J1088,0)</f>
      </c>
      <c r="AN1088" s="56" t="n">
        <v>21</v>
      </c>
      <c r="AO1088" s="56">
        <f>G1088*0</f>
      </c>
      <c r="AP1088" s="56">
        <f>G1088*(1-0)</f>
      </c>
      <c r="AQ1088" s="57" t="s">
        <v>61</v>
      </c>
      <c r="AV1088" s="56">
        <f>AW1088+AX1088</f>
      </c>
      <c r="AW1088" s="56">
        <f>F1088*AO1088</f>
      </c>
      <c r="AX1088" s="56">
        <f>F1088*AP1088</f>
      </c>
      <c r="AY1088" s="57" t="s">
        <v>1863</v>
      </c>
      <c r="AZ1088" s="57" t="s">
        <v>1825</v>
      </c>
      <c r="BA1088" s="28" t="s">
        <v>1826</v>
      </c>
      <c r="BC1088" s="56">
        <f>AW1088+AX1088</f>
      </c>
      <c r="BD1088" s="56">
        <f>G1088/(100-BE1088)*100</f>
      </c>
      <c r="BE1088" s="56" t="n">
        <v>0</v>
      </c>
      <c r="BF1088" s="56">
        <f>1088</f>
      </c>
      <c r="BH1088" s="56">
        <f>F1088*AO1088</f>
      </c>
      <c r="BI1088" s="56">
        <f>F1088*AP1088</f>
      </c>
      <c r="BJ1088" s="56">
        <f>F1088*G1088</f>
      </c>
      <c r="BK1088" s="56"/>
      <c r="BL1088" s="56"/>
      <c r="BW1088" s="56" t="n">
        <v>21</v>
      </c>
      <c r="BX1088" s="14" t="s">
        <v>1862</v>
      </c>
    </row>
    <row r="1089" customHeight="true" ht="13.5">
      <c r="A1089" s="112"/>
      <c r="C1089" s="81" t="s">
        <v>1873</v>
      </c>
      <c r="D1089" s="113"/>
      <c r="E1089" s="113"/>
      <c r="F1089" s="113"/>
      <c r="G1089" s="113"/>
      <c r="H1089" s="113"/>
      <c r="I1089" s="113"/>
      <c r="J1089" s="113"/>
      <c r="K1089" s="114"/>
    </row>
    <row r="1090">
      <c r="A1090" s="112"/>
      <c r="C1090" s="140" t="s">
        <v>58</v>
      </c>
      <c r="D1090" s="113" t="s">
        <v>53</v>
      </c>
      <c r="F1090" s="141" t="n">
        <v>1</v>
      </c>
      <c r="K1090" s="142"/>
    </row>
    <row r="1091">
      <c r="A1091" s="9" t="s">
        <v>1874</v>
      </c>
      <c r="B1091" s="10" t="s">
        <v>1875</v>
      </c>
      <c r="C1091" s="14" t="s">
        <v>1862</v>
      </c>
      <c r="D1091" s="10"/>
      <c r="E1091" s="10" t="s">
        <v>180</v>
      </c>
      <c r="F1091" s="56" t="n">
        <v>1</v>
      </c>
      <c r="G1091" s="56" t="n">
        <v>0</v>
      </c>
      <c r="H1091" s="56">
        <f>F1091*AO1091</f>
      </c>
      <c r="I1091" s="56">
        <f>F1091*AP1091</f>
      </c>
      <c r="J1091" s="56">
        <f>F1091*G1091</f>
      </c>
      <c r="K1091" s="111" t="s">
        <v>71</v>
      </c>
      <c r="Z1091" s="56">
        <f>IF(AQ1091="5",BJ1091,0)</f>
      </c>
      <c r="AB1091" s="56">
        <f>IF(AQ1091="1",BH1091,0)</f>
      </c>
      <c r="AC1091" s="56">
        <f>IF(AQ1091="1",BI1091,0)</f>
      </c>
      <c r="AD1091" s="56">
        <f>IF(AQ1091="7",BH1091,0)</f>
      </c>
      <c r="AE1091" s="56">
        <f>IF(AQ1091="7",BI1091,0)</f>
      </c>
      <c r="AF1091" s="56">
        <f>IF(AQ1091="2",BH1091,0)</f>
      </c>
      <c r="AG1091" s="56">
        <f>IF(AQ1091="2",BI1091,0)</f>
      </c>
      <c r="AH1091" s="56">
        <f>IF(AQ1091="0",BJ1091,0)</f>
      </c>
      <c r="AI1091" s="28" t="s">
        <v>1820</v>
      </c>
      <c r="AJ1091" s="56">
        <f>IF(AN1091=0,J1091,0)</f>
      </c>
      <c r="AK1091" s="56">
        <f>IF(AN1091=12,J1091,0)</f>
      </c>
      <c r="AL1091" s="56">
        <f>IF(AN1091=21,J1091,0)</f>
      </c>
      <c r="AN1091" s="56" t="n">
        <v>21</v>
      </c>
      <c r="AO1091" s="56">
        <f>G1091*0</f>
      </c>
      <c r="AP1091" s="56">
        <f>G1091*(1-0)</f>
      </c>
      <c r="AQ1091" s="57" t="s">
        <v>61</v>
      </c>
      <c r="AV1091" s="56">
        <f>AW1091+AX1091</f>
      </c>
      <c r="AW1091" s="56">
        <f>F1091*AO1091</f>
      </c>
      <c r="AX1091" s="56">
        <f>F1091*AP1091</f>
      </c>
      <c r="AY1091" s="57" t="s">
        <v>1863</v>
      </c>
      <c r="AZ1091" s="57" t="s">
        <v>1825</v>
      </c>
      <c r="BA1091" s="28" t="s">
        <v>1826</v>
      </c>
      <c r="BC1091" s="56">
        <f>AW1091+AX1091</f>
      </c>
      <c r="BD1091" s="56">
        <f>G1091/(100-BE1091)*100</f>
      </c>
      <c r="BE1091" s="56" t="n">
        <v>0</v>
      </c>
      <c r="BF1091" s="56">
        <f>1091</f>
      </c>
      <c r="BH1091" s="56">
        <f>F1091*AO1091</f>
      </c>
      <c r="BI1091" s="56">
        <f>F1091*AP1091</f>
      </c>
      <c r="BJ1091" s="56">
        <f>F1091*G1091</f>
      </c>
      <c r="BK1091" s="56"/>
      <c r="BL1091" s="56"/>
      <c r="BW1091" s="56" t="n">
        <v>21</v>
      </c>
      <c r="BX1091" s="14" t="s">
        <v>1862</v>
      </c>
    </row>
    <row r="1092" customHeight="true" ht="13.5">
      <c r="A1092" s="112"/>
      <c r="C1092" s="81" t="s">
        <v>1876</v>
      </c>
      <c r="D1092" s="113"/>
      <c r="E1092" s="113"/>
      <c r="F1092" s="113"/>
      <c r="G1092" s="113"/>
      <c r="H1092" s="113"/>
      <c r="I1092" s="113"/>
      <c r="J1092" s="113"/>
      <c r="K1092" s="114"/>
    </row>
    <row r="1093">
      <c r="A1093" s="112"/>
      <c r="C1093" s="140" t="s">
        <v>58</v>
      </c>
      <c r="D1093" s="113" t="s">
        <v>53</v>
      </c>
      <c r="F1093" s="141" t="n">
        <v>1</v>
      </c>
      <c r="K1093" s="142"/>
    </row>
    <row r="1094">
      <c r="A1094" s="9" t="s">
        <v>1877</v>
      </c>
      <c r="B1094" s="10" t="s">
        <v>1878</v>
      </c>
      <c r="C1094" s="14" t="s">
        <v>1862</v>
      </c>
      <c r="D1094" s="10"/>
      <c r="E1094" s="10" t="s">
        <v>180</v>
      </c>
      <c r="F1094" s="56" t="n">
        <v>24</v>
      </c>
      <c r="G1094" s="56" t="n">
        <v>0</v>
      </c>
      <c r="H1094" s="56">
        <f>F1094*AO1094</f>
      </c>
      <c r="I1094" s="56">
        <f>F1094*AP1094</f>
      </c>
      <c r="J1094" s="56">
        <f>F1094*G1094</f>
      </c>
      <c r="K1094" s="111" t="s">
        <v>71</v>
      </c>
      <c r="Z1094" s="56">
        <f>IF(AQ1094="5",BJ1094,0)</f>
      </c>
      <c r="AB1094" s="56">
        <f>IF(AQ1094="1",BH1094,0)</f>
      </c>
      <c r="AC1094" s="56">
        <f>IF(AQ1094="1",BI1094,0)</f>
      </c>
      <c r="AD1094" s="56">
        <f>IF(AQ1094="7",BH1094,0)</f>
      </c>
      <c r="AE1094" s="56">
        <f>IF(AQ1094="7",BI1094,0)</f>
      </c>
      <c r="AF1094" s="56">
        <f>IF(AQ1094="2",BH1094,0)</f>
      </c>
      <c r="AG1094" s="56">
        <f>IF(AQ1094="2",BI1094,0)</f>
      </c>
      <c r="AH1094" s="56">
        <f>IF(AQ1094="0",BJ1094,0)</f>
      </c>
      <c r="AI1094" s="28" t="s">
        <v>1820</v>
      </c>
      <c r="AJ1094" s="56">
        <f>IF(AN1094=0,J1094,0)</f>
      </c>
      <c r="AK1094" s="56">
        <f>IF(AN1094=12,J1094,0)</f>
      </c>
      <c r="AL1094" s="56">
        <f>IF(AN1094=21,J1094,0)</f>
      </c>
      <c r="AN1094" s="56" t="n">
        <v>21</v>
      </c>
      <c r="AO1094" s="56">
        <f>G1094*0</f>
      </c>
      <c r="AP1094" s="56">
        <f>G1094*(1-0)</f>
      </c>
      <c r="AQ1094" s="57" t="s">
        <v>61</v>
      </c>
      <c r="AV1094" s="56">
        <f>AW1094+AX1094</f>
      </c>
      <c r="AW1094" s="56">
        <f>F1094*AO1094</f>
      </c>
      <c r="AX1094" s="56">
        <f>F1094*AP1094</f>
      </c>
      <c r="AY1094" s="57" t="s">
        <v>1863</v>
      </c>
      <c r="AZ1094" s="57" t="s">
        <v>1825</v>
      </c>
      <c r="BA1094" s="28" t="s">
        <v>1826</v>
      </c>
      <c r="BC1094" s="56">
        <f>AW1094+AX1094</f>
      </c>
      <c r="BD1094" s="56">
        <f>G1094/(100-BE1094)*100</f>
      </c>
      <c r="BE1094" s="56" t="n">
        <v>0</v>
      </c>
      <c r="BF1094" s="56">
        <f>1094</f>
      </c>
      <c r="BH1094" s="56">
        <f>F1094*AO1094</f>
      </c>
      <c r="BI1094" s="56">
        <f>F1094*AP1094</f>
      </c>
      <c r="BJ1094" s="56">
        <f>F1094*G1094</f>
      </c>
      <c r="BK1094" s="56"/>
      <c r="BL1094" s="56"/>
      <c r="BW1094" s="56" t="n">
        <v>21</v>
      </c>
      <c r="BX1094" s="14" t="s">
        <v>1862</v>
      </c>
    </row>
    <row r="1095" customHeight="true" ht="13.5">
      <c r="A1095" s="112"/>
      <c r="C1095" s="81" t="s">
        <v>1879</v>
      </c>
      <c r="D1095" s="113"/>
      <c r="E1095" s="113"/>
      <c r="F1095" s="113"/>
      <c r="G1095" s="113"/>
      <c r="H1095" s="113"/>
      <c r="I1095" s="113"/>
      <c r="J1095" s="113"/>
      <c r="K1095" s="114"/>
    </row>
    <row r="1096">
      <c r="A1096" s="112"/>
      <c r="C1096" s="140" t="s">
        <v>208</v>
      </c>
      <c r="D1096" s="113" t="s">
        <v>53</v>
      </c>
      <c r="F1096" s="141" t="n">
        <v>24</v>
      </c>
      <c r="K1096" s="142"/>
    </row>
    <row r="1097">
      <c r="A1097" s="9" t="s">
        <v>1880</v>
      </c>
      <c r="B1097" s="10" t="s">
        <v>1881</v>
      </c>
      <c r="C1097" s="14" t="s">
        <v>1862</v>
      </c>
      <c r="D1097" s="10"/>
      <c r="E1097" s="10" t="s">
        <v>180</v>
      </c>
      <c r="F1097" s="56" t="n">
        <v>2</v>
      </c>
      <c r="G1097" s="56" t="n">
        <v>0</v>
      </c>
      <c r="H1097" s="56">
        <f>F1097*AO1097</f>
      </c>
      <c r="I1097" s="56">
        <f>F1097*AP1097</f>
      </c>
      <c r="J1097" s="56">
        <f>F1097*G1097</f>
      </c>
      <c r="K1097" s="111" t="s">
        <v>71</v>
      </c>
      <c r="Z1097" s="56">
        <f>IF(AQ1097="5",BJ1097,0)</f>
      </c>
      <c r="AB1097" s="56">
        <f>IF(AQ1097="1",BH1097,0)</f>
      </c>
      <c r="AC1097" s="56">
        <f>IF(AQ1097="1",BI1097,0)</f>
      </c>
      <c r="AD1097" s="56">
        <f>IF(AQ1097="7",BH1097,0)</f>
      </c>
      <c r="AE1097" s="56">
        <f>IF(AQ1097="7",BI1097,0)</f>
      </c>
      <c r="AF1097" s="56">
        <f>IF(AQ1097="2",BH1097,0)</f>
      </c>
      <c r="AG1097" s="56">
        <f>IF(AQ1097="2",BI1097,0)</f>
      </c>
      <c r="AH1097" s="56">
        <f>IF(AQ1097="0",BJ1097,0)</f>
      </c>
      <c r="AI1097" s="28" t="s">
        <v>1820</v>
      </c>
      <c r="AJ1097" s="56">
        <f>IF(AN1097=0,J1097,0)</f>
      </c>
      <c r="AK1097" s="56">
        <f>IF(AN1097=12,J1097,0)</f>
      </c>
      <c r="AL1097" s="56">
        <f>IF(AN1097=21,J1097,0)</f>
      </c>
      <c r="AN1097" s="56" t="n">
        <v>21</v>
      </c>
      <c r="AO1097" s="56">
        <f>G1097*0</f>
      </c>
      <c r="AP1097" s="56">
        <f>G1097*(1-0)</f>
      </c>
      <c r="AQ1097" s="57" t="s">
        <v>61</v>
      </c>
      <c r="AV1097" s="56">
        <f>AW1097+AX1097</f>
      </c>
      <c r="AW1097" s="56">
        <f>F1097*AO1097</f>
      </c>
      <c r="AX1097" s="56">
        <f>F1097*AP1097</f>
      </c>
      <c r="AY1097" s="57" t="s">
        <v>1863</v>
      </c>
      <c r="AZ1097" s="57" t="s">
        <v>1825</v>
      </c>
      <c r="BA1097" s="28" t="s">
        <v>1826</v>
      </c>
      <c r="BC1097" s="56">
        <f>AW1097+AX1097</f>
      </c>
      <c r="BD1097" s="56">
        <f>G1097/(100-BE1097)*100</f>
      </c>
      <c r="BE1097" s="56" t="n">
        <v>0</v>
      </c>
      <c r="BF1097" s="56">
        <f>1097</f>
      </c>
      <c r="BH1097" s="56">
        <f>F1097*AO1097</f>
      </c>
      <c r="BI1097" s="56">
        <f>F1097*AP1097</f>
      </c>
      <c r="BJ1097" s="56">
        <f>F1097*G1097</f>
      </c>
      <c r="BK1097" s="56"/>
      <c r="BL1097" s="56"/>
      <c r="BW1097" s="56" t="n">
        <v>21</v>
      </c>
      <c r="BX1097" s="14" t="s">
        <v>1862</v>
      </c>
    </row>
    <row r="1098" customHeight="true" ht="13.5">
      <c r="A1098" s="112"/>
      <c r="C1098" s="81" t="s">
        <v>1882</v>
      </c>
      <c r="D1098" s="113"/>
      <c r="E1098" s="113"/>
      <c r="F1098" s="113"/>
      <c r="G1098" s="113"/>
      <c r="H1098" s="113"/>
      <c r="I1098" s="113"/>
      <c r="J1098" s="113"/>
      <c r="K1098" s="114"/>
    </row>
    <row r="1099">
      <c r="A1099" s="112"/>
      <c r="C1099" s="140" t="s">
        <v>61</v>
      </c>
      <c r="D1099" s="113" t="s">
        <v>53</v>
      </c>
      <c r="F1099" s="141" t="n">
        <v>2</v>
      </c>
      <c r="K1099" s="142"/>
    </row>
    <row r="1100">
      <c r="A1100" s="9" t="s">
        <v>1883</v>
      </c>
      <c r="B1100" s="10" t="s">
        <v>1884</v>
      </c>
      <c r="C1100" s="14" t="s">
        <v>1862</v>
      </c>
      <c r="D1100" s="10"/>
      <c r="E1100" s="10" t="s">
        <v>180</v>
      </c>
      <c r="F1100" s="56" t="n">
        <v>1</v>
      </c>
      <c r="G1100" s="56" t="n">
        <v>0</v>
      </c>
      <c r="H1100" s="56">
        <f>F1100*AO1100</f>
      </c>
      <c r="I1100" s="56">
        <f>F1100*AP1100</f>
      </c>
      <c r="J1100" s="56">
        <f>F1100*G1100</f>
      </c>
      <c r="K1100" s="111" t="s">
        <v>71</v>
      </c>
      <c r="Z1100" s="56">
        <f>IF(AQ1100="5",BJ1100,0)</f>
      </c>
      <c r="AB1100" s="56">
        <f>IF(AQ1100="1",BH1100,0)</f>
      </c>
      <c r="AC1100" s="56">
        <f>IF(AQ1100="1",BI1100,0)</f>
      </c>
      <c r="AD1100" s="56">
        <f>IF(AQ1100="7",BH1100,0)</f>
      </c>
      <c r="AE1100" s="56">
        <f>IF(AQ1100="7",BI1100,0)</f>
      </c>
      <c r="AF1100" s="56">
        <f>IF(AQ1100="2",BH1100,0)</f>
      </c>
      <c r="AG1100" s="56">
        <f>IF(AQ1100="2",BI1100,0)</f>
      </c>
      <c r="AH1100" s="56">
        <f>IF(AQ1100="0",BJ1100,0)</f>
      </c>
      <c r="AI1100" s="28" t="s">
        <v>1820</v>
      </c>
      <c r="AJ1100" s="56">
        <f>IF(AN1100=0,J1100,0)</f>
      </c>
      <c r="AK1100" s="56">
        <f>IF(AN1100=12,J1100,0)</f>
      </c>
      <c r="AL1100" s="56">
        <f>IF(AN1100=21,J1100,0)</f>
      </c>
      <c r="AN1100" s="56" t="n">
        <v>21</v>
      </c>
      <c r="AO1100" s="56">
        <f>G1100*0</f>
      </c>
      <c r="AP1100" s="56">
        <f>G1100*(1-0)</f>
      </c>
      <c r="AQ1100" s="57" t="s">
        <v>61</v>
      </c>
      <c r="AV1100" s="56">
        <f>AW1100+AX1100</f>
      </c>
      <c r="AW1100" s="56">
        <f>F1100*AO1100</f>
      </c>
      <c r="AX1100" s="56">
        <f>F1100*AP1100</f>
      </c>
      <c r="AY1100" s="57" t="s">
        <v>1863</v>
      </c>
      <c r="AZ1100" s="57" t="s">
        <v>1825</v>
      </c>
      <c r="BA1100" s="28" t="s">
        <v>1826</v>
      </c>
      <c r="BC1100" s="56">
        <f>AW1100+AX1100</f>
      </c>
      <c r="BD1100" s="56">
        <f>G1100/(100-BE1100)*100</f>
      </c>
      <c r="BE1100" s="56" t="n">
        <v>0</v>
      </c>
      <c r="BF1100" s="56">
        <f>1100</f>
      </c>
      <c r="BH1100" s="56">
        <f>F1100*AO1100</f>
      </c>
      <c r="BI1100" s="56">
        <f>F1100*AP1100</f>
      </c>
      <c r="BJ1100" s="56">
        <f>F1100*G1100</f>
      </c>
      <c r="BK1100" s="56"/>
      <c r="BL1100" s="56"/>
      <c r="BW1100" s="56" t="n">
        <v>21</v>
      </c>
      <c r="BX1100" s="14" t="s">
        <v>1862</v>
      </c>
    </row>
    <row r="1101" customHeight="true" ht="13.5">
      <c r="A1101" s="112"/>
      <c r="C1101" s="81" t="s">
        <v>1885</v>
      </c>
      <c r="D1101" s="113"/>
      <c r="E1101" s="113"/>
      <c r="F1101" s="113"/>
      <c r="G1101" s="113"/>
      <c r="H1101" s="113"/>
      <c r="I1101" s="113"/>
      <c r="J1101" s="113"/>
      <c r="K1101" s="114"/>
    </row>
    <row r="1102">
      <c r="A1102" s="112"/>
      <c r="C1102" s="140" t="s">
        <v>58</v>
      </c>
      <c r="D1102" s="113" t="s">
        <v>53</v>
      </c>
      <c r="F1102" s="141" t="n">
        <v>1</v>
      </c>
      <c r="K1102" s="142"/>
    </row>
    <row r="1103">
      <c r="A1103" s="9" t="s">
        <v>1886</v>
      </c>
      <c r="B1103" s="10" t="s">
        <v>1887</v>
      </c>
      <c r="C1103" s="14" t="s">
        <v>1862</v>
      </c>
      <c r="D1103" s="10"/>
      <c r="E1103" s="10" t="s">
        <v>180</v>
      </c>
      <c r="F1103" s="56" t="n">
        <v>1</v>
      </c>
      <c r="G1103" s="56" t="n">
        <v>0</v>
      </c>
      <c r="H1103" s="56">
        <f>F1103*AO1103</f>
      </c>
      <c r="I1103" s="56">
        <f>F1103*AP1103</f>
      </c>
      <c r="J1103" s="56">
        <f>F1103*G1103</f>
      </c>
      <c r="K1103" s="111" t="s">
        <v>71</v>
      </c>
      <c r="Z1103" s="56">
        <f>IF(AQ1103="5",BJ1103,0)</f>
      </c>
      <c r="AB1103" s="56">
        <f>IF(AQ1103="1",BH1103,0)</f>
      </c>
      <c r="AC1103" s="56">
        <f>IF(AQ1103="1",BI1103,0)</f>
      </c>
      <c r="AD1103" s="56">
        <f>IF(AQ1103="7",BH1103,0)</f>
      </c>
      <c r="AE1103" s="56">
        <f>IF(AQ1103="7",BI1103,0)</f>
      </c>
      <c r="AF1103" s="56">
        <f>IF(AQ1103="2",BH1103,0)</f>
      </c>
      <c r="AG1103" s="56">
        <f>IF(AQ1103="2",BI1103,0)</f>
      </c>
      <c r="AH1103" s="56">
        <f>IF(AQ1103="0",BJ1103,0)</f>
      </c>
      <c r="AI1103" s="28" t="s">
        <v>1820</v>
      </c>
      <c r="AJ1103" s="56">
        <f>IF(AN1103=0,J1103,0)</f>
      </c>
      <c r="AK1103" s="56">
        <f>IF(AN1103=12,J1103,0)</f>
      </c>
      <c r="AL1103" s="56">
        <f>IF(AN1103=21,J1103,0)</f>
      </c>
      <c r="AN1103" s="56" t="n">
        <v>21</v>
      </c>
      <c r="AO1103" s="56">
        <f>G1103*0</f>
      </c>
      <c r="AP1103" s="56">
        <f>G1103*(1-0)</f>
      </c>
      <c r="AQ1103" s="57" t="s">
        <v>61</v>
      </c>
      <c r="AV1103" s="56">
        <f>AW1103+AX1103</f>
      </c>
      <c r="AW1103" s="56">
        <f>F1103*AO1103</f>
      </c>
      <c r="AX1103" s="56">
        <f>F1103*AP1103</f>
      </c>
      <c r="AY1103" s="57" t="s">
        <v>1863</v>
      </c>
      <c r="AZ1103" s="57" t="s">
        <v>1825</v>
      </c>
      <c r="BA1103" s="28" t="s">
        <v>1826</v>
      </c>
      <c r="BC1103" s="56">
        <f>AW1103+AX1103</f>
      </c>
      <c r="BD1103" s="56">
        <f>G1103/(100-BE1103)*100</f>
      </c>
      <c r="BE1103" s="56" t="n">
        <v>0</v>
      </c>
      <c r="BF1103" s="56">
        <f>1103</f>
      </c>
      <c r="BH1103" s="56">
        <f>F1103*AO1103</f>
      </c>
      <c r="BI1103" s="56">
        <f>F1103*AP1103</f>
      </c>
      <c r="BJ1103" s="56">
        <f>F1103*G1103</f>
      </c>
      <c r="BK1103" s="56"/>
      <c r="BL1103" s="56"/>
      <c r="BW1103" s="56" t="n">
        <v>21</v>
      </c>
      <c r="BX1103" s="14" t="s">
        <v>1862</v>
      </c>
    </row>
    <row r="1104" customHeight="true" ht="13.5">
      <c r="A1104" s="112"/>
      <c r="C1104" s="81" t="s">
        <v>1888</v>
      </c>
      <c r="D1104" s="113"/>
      <c r="E1104" s="113"/>
      <c r="F1104" s="113"/>
      <c r="G1104" s="113"/>
      <c r="H1104" s="113"/>
      <c r="I1104" s="113"/>
      <c r="J1104" s="113"/>
      <c r="K1104" s="114"/>
    </row>
    <row r="1105">
      <c r="A1105" s="112"/>
      <c r="C1105" s="140" t="s">
        <v>58</v>
      </c>
      <c r="D1105" s="113" t="s">
        <v>53</v>
      </c>
      <c r="F1105" s="141" t="n">
        <v>1</v>
      </c>
      <c r="K1105" s="142"/>
    </row>
    <row r="1106">
      <c r="A1106" s="9" t="s">
        <v>1889</v>
      </c>
      <c r="B1106" s="10" t="s">
        <v>1890</v>
      </c>
      <c r="C1106" s="14" t="s">
        <v>1862</v>
      </c>
      <c r="D1106" s="10"/>
      <c r="E1106" s="10" t="s">
        <v>180</v>
      </c>
      <c r="F1106" s="56" t="n">
        <v>7</v>
      </c>
      <c r="G1106" s="56" t="n">
        <v>0</v>
      </c>
      <c r="H1106" s="56">
        <f>F1106*AO1106</f>
      </c>
      <c r="I1106" s="56">
        <f>F1106*AP1106</f>
      </c>
      <c r="J1106" s="56">
        <f>F1106*G1106</f>
      </c>
      <c r="K1106" s="111" t="s">
        <v>71</v>
      </c>
      <c r="Z1106" s="56">
        <f>IF(AQ1106="5",BJ1106,0)</f>
      </c>
      <c r="AB1106" s="56">
        <f>IF(AQ1106="1",BH1106,0)</f>
      </c>
      <c r="AC1106" s="56">
        <f>IF(AQ1106="1",BI1106,0)</f>
      </c>
      <c r="AD1106" s="56">
        <f>IF(AQ1106="7",BH1106,0)</f>
      </c>
      <c r="AE1106" s="56">
        <f>IF(AQ1106="7",BI1106,0)</f>
      </c>
      <c r="AF1106" s="56">
        <f>IF(AQ1106="2",BH1106,0)</f>
      </c>
      <c r="AG1106" s="56">
        <f>IF(AQ1106="2",BI1106,0)</f>
      </c>
      <c r="AH1106" s="56">
        <f>IF(AQ1106="0",BJ1106,0)</f>
      </c>
      <c r="AI1106" s="28" t="s">
        <v>1820</v>
      </c>
      <c r="AJ1106" s="56">
        <f>IF(AN1106=0,J1106,0)</f>
      </c>
      <c r="AK1106" s="56">
        <f>IF(AN1106=12,J1106,0)</f>
      </c>
      <c r="AL1106" s="56">
        <f>IF(AN1106=21,J1106,0)</f>
      </c>
      <c r="AN1106" s="56" t="n">
        <v>21</v>
      </c>
      <c r="AO1106" s="56">
        <f>G1106*0</f>
      </c>
      <c r="AP1106" s="56">
        <f>G1106*(1-0)</f>
      </c>
      <c r="AQ1106" s="57" t="s">
        <v>61</v>
      </c>
      <c r="AV1106" s="56">
        <f>AW1106+AX1106</f>
      </c>
      <c r="AW1106" s="56">
        <f>F1106*AO1106</f>
      </c>
      <c r="AX1106" s="56">
        <f>F1106*AP1106</f>
      </c>
      <c r="AY1106" s="57" t="s">
        <v>1863</v>
      </c>
      <c r="AZ1106" s="57" t="s">
        <v>1825</v>
      </c>
      <c r="BA1106" s="28" t="s">
        <v>1826</v>
      </c>
      <c r="BC1106" s="56">
        <f>AW1106+AX1106</f>
      </c>
      <c r="BD1106" s="56">
        <f>G1106/(100-BE1106)*100</f>
      </c>
      <c r="BE1106" s="56" t="n">
        <v>0</v>
      </c>
      <c r="BF1106" s="56">
        <f>1106</f>
      </c>
      <c r="BH1106" s="56">
        <f>F1106*AO1106</f>
      </c>
      <c r="BI1106" s="56">
        <f>F1106*AP1106</f>
      </c>
      <c r="BJ1106" s="56">
        <f>F1106*G1106</f>
      </c>
      <c r="BK1106" s="56"/>
      <c r="BL1106" s="56"/>
      <c r="BW1106" s="56" t="n">
        <v>21</v>
      </c>
      <c r="BX1106" s="14" t="s">
        <v>1862</v>
      </c>
    </row>
    <row r="1107" customHeight="true" ht="13.5">
      <c r="A1107" s="112"/>
      <c r="C1107" s="81" t="s">
        <v>1891</v>
      </c>
      <c r="D1107" s="113"/>
      <c r="E1107" s="113"/>
      <c r="F1107" s="113"/>
      <c r="G1107" s="113"/>
      <c r="H1107" s="113"/>
      <c r="I1107" s="113"/>
      <c r="J1107" s="113"/>
      <c r="K1107" s="114"/>
    </row>
    <row r="1108">
      <c r="A1108" s="112"/>
      <c r="C1108" s="140" t="s">
        <v>85</v>
      </c>
      <c r="D1108" s="113" t="s">
        <v>53</v>
      </c>
      <c r="F1108" s="141" t="n">
        <v>7</v>
      </c>
      <c r="K1108" s="142"/>
    </row>
    <row r="1109">
      <c r="A1109" s="9" t="s">
        <v>1892</v>
      </c>
      <c r="B1109" s="10" t="s">
        <v>1893</v>
      </c>
      <c r="C1109" s="14" t="s">
        <v>1862</v>
      </c>
      <c r="D1109" s="10"/>
      <c r="E1109" s="10" t="s">
        <v>180</v>
      </c>
      <c r="F1109" s="56" t="n">
        <v>1</v>
      </c>
      <c r="G1109" s="56" t="n">
        <v>0</v>
      </c>
      <c r="H1109" s="56">
        <f>F1109*AO1109</f>
      </c>
      <c r="I1109" s="56">
        <f>F1109*AP1109</f>
      </c>
      <c r="J1109" s="56">
        <f>F1109*G1109</f>
      </c>
      <c r="K1109" s="111" t="s">
        <v>71</v>
      </c>
      <c r="Z1109" s="56">
        <f>IF(AQ1109="5",BJ1109,0)</f>
      </c>
      <c r="AB1109" s="56">
        <f>IF(AQ1109="1",BH1109,0)</f>
      </c>
      <c r="AC1109" s="56">
        <f>IF(AQ1109="1",BI1109,0)</f>
      </c>
      <c r="AD1109" s="56">
        <f>IF(AQ1109="7",BH1109,0)</f>
      </c>
      <c r="AE1109" s="56">
        <f>IF(AQ1109="7",BI1109,0)</f>
      </c>
      <c r="AF1109" s="56">
        <f>IF(AQ1109="2",BH1109,0)</f>
      </c>
      <c r="AG1109" s="56">
        <f>IF(AQ1109="2",BI1109,0)</f>
      </c>
      <c r="AH1109" s="56">
        <f>IF(AQ1109="0",BJ1109,0)</f>
      </c>
      <c r="AI1109" s="28" t="s">
        <v>1820</v>
      </c>
      <c r="AJ1109" s="56">
        <f>IF(AN1109=0,J1109,0)</f>
      </c>
      <c r="AK1109" s="56">
        <f>IF(AN1109=12,J1109,0)</f>
      </c>
      <c r="AL1109" s="56">
        <f>IF(AN1109=21,J1109,0)</f>
      </c>
      <c r="AN1109" s="56" t="n">
        <v>21</v>
      </c>
      <c r="AO1109" s="56">
        <f>G1109*0</f>
      </c>
      <c r="AP1109" s="56">
        <f>G1109*(1-0)</f>
      </c>
      <c r="AQ1109" s="57" t="s">
        <v>61</v>
      </c>
      <c r="AV1109" s="56">
        <f>AW1109+AX1109</f>
      </c>
      <c r="AW1109" s="56">
        <f>F1109*AO1109</f>
      </c>
      <c r="AX1109" s="56">
        <f>F1109*AP1109</f>
      </c>
      <c r="AY1109" s="57" t="s">
        <v>1863</v>
      </c>
      <c r="AZ1109" s="57" t="s">
        <v>1825</v>
      </c>
      <c r="BA1109" s="28" t="s">
        <v>1826</v>
      </c>
      <c r="BC1109" s="56">
        <f>AW1109+AX1109</f>
      </c>
      <c r="BD1109" s="56">
        <f>G1109/(100-BE1109)*100</f>
      </c>
      <c r="BE1109" s="56" t="n">
        <v>0</v>
      </c>
      <c r="BF1109" s="56">
        <f>1109</f>
      </c>
      <c r="BH1109" s="56">
        <f>F1109*AO1109</f>
      </c>
      <c r="BI1109" s="56">
        <f>F1109*AP1109</f>
      </c>
      <c r="BJ1109" s="56">
        <f>F1109*G1109</f>
      </c>
      <c r="BK1109" s="56"/>
      <c r="BL1109" s="56"/>
      <c r="BW1109" s="56" t="n">
        <v>21</v>
      </c>
      <c r="BX1109" s="14" t="s">
        <v>1862</v>
      </c>
    </row>
    <row r="1110" customHeight="true" ht="13.5">
      <c r="A1110" s="112"/>
      <c r="C1110" s="81" t="s">
        <v>1894</v>
      </c>
      <c r="D1110" s="113"/>
      <c r="E1110" s="113"/>
      <c r="F1110" s="113"/>
      <c r="G1110" s="113"/>
      <c r="H1110" s="113"/>
      <c r="I1110" s="113"/>
      <c r="J1110" s="113"/>
      <c r="K1110" s="114"/>
    </row>
    <row r="1111">
      <c r="A1111" s="112"/>
      <c r="C1111" s="140" t="s">
        <v>58</v>
      </c>
      <c r="D1111" s="113" t="s">
        <v>53</v>
      </c>
      <c r="F1111" s="141" t="n">
        <v>1</v>
      </c>
      <c r="K1111" s="142"/>
    </row>
    <row r="1112">
      <c r="A1112" s="9" t="s">
        <v>1895</v>
      </c>
      <c r="B1112" s="10" t="s">
        <v>1896</v>
      </c>
      <c r="C1112" s="14" t="s">
        <v>1862</v>
      </c>
      <c r="D1112" s="10"/>
      <c r="E1112" s="10" t="s">
        <v>180</v>
      </c>
      <c r="F1112" s="56" t="n">
        <v>25</v>
      </c>
      <c r="G1112" s="56" t="n">
        <v>0</v>
      </c>
      <c r="H1112" s="56">
        <f>F1112*AO1112</f>
      </c>
      <c r="I1112" s="56">
        <f>F1112*AP1112</f>
      </c>
      <c r="J1112" s="56">
        <f>F1112*G1112</f>
      </c>
      <c r="K1112" s="111" t="s">
        <v>71</v>
      </c>
      <c r="Z1112" s="56">
        <f>IF(AQ1112="5",BJ1112,0)</f>
      </c>
      <c r="AB1112" s="56">
        <f>IF(AQ1112="1",BH1112,0)</f>
      </c>
      <c r="AC1112" s="56">
        <f>IF(AQ1112="1",BI1112,0)</f>
      </c>
      <c r="AD1112" s="56">
        <f>IF(AQ1112="7",BH1112,0)</f>
      </c>
      <c r="AE1112" s="56">
        <f>IF(AQ1112="7",BI1112,0)</f>
      </c>
      <c r="AF1112" s="56">
        <f>IF(AQ1112="2",BH1112,0)</f>
      </c>
      <c r="AG1112" s="56">
        <f>IF(AQ1112="2",BI1112,0)</f>
      </c>
      <c r="AH1112" s="56">
        <f>IF(AQ1112="0",BJ1112,0)</f>
      </c>
      <c r="AI1112" s="28" t="s">
        <v>1820</v>
      </c>
      <c r="AJ1112" s="56">
        <f>IF(AN1112=0,J1112,0)</f>
      </c>
      <c r="AK1112" s="56">
        <f>IF(AN1112=12,J1112,0)</f>
      </c>
      <c r="AL1112" s="56">
        <f>IF(AN1112=21,J1112,0)</f>
      </c>
      <c r="AN1112" s="56" t="n">
        <v>21</v>
      </c>
      <c r="AO1112" s="56">
        <f>G1112*0</f>
      </c>
      <c r="AP1112" s="56">
        <f>G1112*(1-0)</f>
      </c>
      <c r="AQ1112" s="57" t="s">
        <v>61</v>
      </c>
      <c r="AV1112" s="56">
        <f>AW1112+AX1112</f>
      </c>
      <c r="AW1112" s="56">
        <f>F1112*AO1112</f>
      </c>
      <c r="AX1112" s="56">
        <f>F1112*AP1112</f>
      </c>
      <c r="AY1112" s="57" t="s">
        <v>1863</v>
      </c>
      <c r="AZ1112" s="57" t="s">
        <v>1825</v>
      </c>
      <c r="BA1112" s="28" t="s">
        <v>1826</v>
      </c>
      <c r="BC1112" s="56">
        <f>AW1112+AX1112</f>
      </c>
      <c r="BD1112" s="56">
        <f>G1112/(100-BE1112)*100</f>
      </c>
      <c r="BE1112" s="56" t="n">
        <v>0</v>
      </c>
      <c r="BF1112" s="56">
        <f>1112</f>
      </c>
      <c r="BH1112" s="56">
        <f>F1112*AO1112</f>
      </c>
      <c r="BI1112" s="56">
        <f>F1112*AP1112</f>
      </c>
      <c r="BJ1112" s="56">
        <f>F1112*G1112</f>
      </c>
      <c r="BK1112" s="56"/>
      <c r="BL1112" s="56"/>
      <c r="BW1112" s="56" t="n">
        <v>21</v>
      </c>
      <c r="BX1112" s="14" t="s">
        <v>1862</v>
      </c>
    </row>
    <row r="1113" customHeight="true" ht="13.5">
      <c r="A1113" s="112"/>
      <c r="C1113" s="81" t="s">
        <v>1897</v>
      </c>
      <c r="D1113" s="113"/>
      <c r="E1113" s="113"/>
      <c r="F1113" s="113"/>
      <c r="G1113" s="113"/>
      <c r="H1113" s="113"/>
      <c r="I1113" s="113"/>
      <c r="J1113" s="113"/>
      <c r="K1113" s="114"/>
    </row>
    <row r="1114">
      <c r="A1114" s="112"/>
      <c r="C1114" s="140" t="s">
        <v>213</v>
      </c>
      <c r="D1114" s="113" t="s">
        <v>53</v>
      </c>
      <c r="F1114" s="141" t="n">
        <v>25</v>
      </c>
      <c r="K1114" s="142"/>
    </row>
    <row r="1115">
      <c r="A1115" s="9" t="s">
        <v>1898</v>
      </c>
      <c r="B1115" s="10" t="s">
        <v>1899</v>
      </c>
      <c r="C1115" s="14" t="s">
        <v>1862</v>
      </c>
      <c r="D1115" s="10"/>
      <c r="E1115" s="10" t="s">
        <v>180</v>
      </c>
      <c r="F1115" s="56" t="n">
        <v>20</v>
      </c>
      <c r="G1115" s="56" t="n">
        <v>0</v>
      </c>
      <c r="H1115" s="56">
        <f>F1115*AO1115</f>
      </c>
      <c r="I1115" s="56">
        <f>F1115*AP1115</f>
      </c>
      <c r="J1115" s="56">
        <f>F1115*G1115</f>
      </c>
      <c r="K1115" s="111" t="s">
        <v>71</v>
      </c>
      <c r="Z1115" s="56">
        <f>IF(AQ1115="5",BJ1115,0)</f>
      </c>
      <c r="AB1115" s="56">
        <f>IF(AQ1115="1",BH1115,0)</f>
      </c>
      <c r="AC1115" s="56">
        <f>IF(AQ1115="1",BI1115,0)</f>
      </c>
      <c r="AD1115" s="56">
        <f>IF(AQ1115="7",BH1115,0)</f>
      </c>
      <c r="AE1115" s="56">
        <f>IF(AQ1115="7",BI1115,0)</f>
      </c>
      <c r="AF1115" s="56">
        <f>IF(AQ1115="2",BH1115,0)</f>
      </c>
      <c r="AG1115" s="56">
        <f>IF(AQ1115="2",BI1115,0)</f>
      </c>
      <c r="AH1115" s="56">
        <f>IF(AQ1115="0",BJ1115,0)</f>
      </c>
      <c r="AI1115" s="28" t="s">
        <v>1820</v>
      </c>
      <c r="AJ1115" s="56">
        <f>IF(AN1115=0,J1115,0)</f>
      </c>
      <c r="AK1115" s="56">
        <f>IF(AN1115=12,J1115,0)</f>
      </c>
      <c r="AL1115" s="56">
        <f>IF(AN1115=21,J1115,0)</f>
      </c>
      <c r="AN1115" s="56" t="n">
        <v>21</v>
      </c>
      <c r="AO1115" s="56">
        <f>G1115*0</f>
      </c>
      <c r="AP1115" s="56">
        <f>G1115*(1-0)</f>
      </c>
      <c r="AQ1115" s="57" t="s">
        <v>61</v>
      </c>
      <c r="AV1115" s="56">
        <f>AW1115+AX1115</f>
      </c>
      <c r="AW1115" s="56">
        <f>F1115*AO1115</f>
      </c>
      <c r="AX1115" s="56">
        <f>F1115*AP1115</f>
      </c>
      <c r="AY1115" s="57" t="s">
        <v>1863</v>
      </c>
      <c r="AZ1115" s="57" t="s">
        <v>1825</v>
      </c>
      <c r="BA1115" s="28" t="s">
        <v>1826</v>
      </c>
      <c r="BC1115" s="56">
        <f>AW1115+AX1115</f>
      </c>
      <c r="BD1115" s="56">
        <f>G1115/(100-BE1115)*100</f>
      </c>
      <c r="BE1115" s="56" t="n">
        <v>0</v>
      </c>
      <c r="BF1115" s="56">
        <f>1115</f>
      </c>
      <c r="BH1115" s="56">
        <f>F1115*AO1115</f>
      </c>
      <c r="BI1115" s="56">
        <f>F1115*AP1115</f>
      </c>
      <c r="BJ1115" s="56">
        <f>F1115*G1115</f>
      </c>
      <c r="BK1115" s="56"/>
      <c r="BL1115" s="56"/>
      <c r="BW1115" s="56" t="n">
        <v>21</v>
      </c>
      <c r="BX1115" s="14" t="s">
        <v>1862</v>
      </c>
    </row>
    <row r="1116" customHeight="true" ht="13.5">
      <c r="A1116" s="112"/>
      <c r="C1116" s="81" t="s">
        <v>1900</v>
      </c>
      <c r="D1116" s="113"/>
      <c r="E1116" s="113"/>
      <c r="F1116" s="113"/>
      <c r="G1116" s="113"/>
      <c r="H1116" s="113"/>
      <c r="I1116" s="113"/>
      <c r="J1116" s="113"/>
      <c r="K1116" s="114"/>
    </row>
    <row r="1117">
      <c r="A1117" s="112"/>
      <c r="C1117" s="140" t="s">
        <v>177</v>
      </c>
      <c r="D1117" s="113" t="s">
        <v>53</v>
      </c>
      <c r="F1117" s="141" t="n">
        <v>20</v>
      </c>
      <c r="K1117" s="142"/>
    </row>
    <row r="1118">
      <c r="A1118" s="9" t="s">
        <v>1901</v>
      </c>
      <c r="B1118" s="10" t="s">
        <v>1902</v>
      </c>
      <c r="C1118" s="14" t="s">
        <v>1862</v>
      </c>
      <c r="D1118" s="10"/>
      <c r="E1118" s="10" t="s">
        <v>180</v>
      </c>
      <c r="F1118" s="56" t="n">
        <v>12</v>
      </c>
      <c r="G1118" s="56" t="n">
        <v>0</v>
      </c>
      <c r="H1118" s="56">
        <f>F1118*AO1118</f>
      </c>
      <c r="I1118" s="56">
        <f>F1118*AP1118</f>
      </c>
      <c r="J1118" s="56">
        <f>F1118*G1118</f>
      </c>
      <c r="K1118" s="111" t="s">
        <v>71</v>
      </c>
      <c r="Z1118" s="56">
        <f>IF(AQ1118="5",BJ1118,0)</f>
      </c>
      <c r="AB1118" s="56">
        <f>IF(AQ1118="1",BH1118,0)</f>
      </c>
      <c r="AC1118" s="56">
        <f>IF(AQ1118="1",BI1118,0)</f>
      </c>
      <c r="AD1118" s="56">
        <f>IF(AQ1118="7",BH1118,0)</f>
      </c>
      <c r="AE1118" s="56">
        <f>IF(AQ1118="7",BI1118,0)</f>
      </c>
      <c r="AF1118" s="56">
        <f>IF(AQ1118="2",BH1118,0)</f>
      </c>
      <c r="AG1118" s="56">
        <f>IF(AQ1118="2",BI1118,0)</f>
      </c>
      <c r="AH1118" s="56">
        <f>IF(AQ1118="0",BJ1118,0)</f>
      </c>
      <c r="AI1118" s="28" t="s">
        <v>1820</v>
      </c>
      <c r="AJ1118" s="56">
        <f>IF(AN1118=0,J1118,0)</f>
      </c>
      <c r="AK1118" s="56">
        <f>IF(AN1118=12,J1118,0)</f>
      </c>
      <c r="AL1118" s="56">
        <f>IF(AN1118=21,J1118,0)</f>
      </c>
      <c r="AN1118" s="56" t="n">
        <v>21</v>
      </c>
      <c r="AO1118" s="56">
        <f>G1118*0</f>
      </c>
      <c r="AP1118" s="56">
        <f>G1118*(1-0)</f>
      </c>
      <c r="AQ1118" s="57" t="s">
        <v>61</v>
      </c>
      <c r="AV1118" s="56">
        <f>AW1118+AX1118</f>
      </c>
      <c r="AW1118" s="56">
        <f>F1118*AO1118</f>
      </c>
      <c r="AX1118" s="56">
        <f>F1118*AP1118</f>
      </c>
      <c r="AY1118" s="57" t="s">
        <v>1863</v>
      </c>
      <c r="AZ1118" s="57" t="s">
        <v>1825</v>
      </c>
      <c r="BA1118" s="28" t="s">
        <v>1826</v>
      </c>
      <c r="BC1118" s="56">
        <f>AW1118+AX1118</f>
      </c>
      <c r="BD1118" s="56">
        <f>G1118/(100-BE1118)*100</f>
      </c>
      <c r="BE1118" s="56" t="n">
        <v>0</v>
      </c>
      <c r="BF1118" s="56">
        <f>1118</f>
      </c>
      <c r="BH1118" s="56">
        <f>F1118*AO1118</f>
      </c>
      <c r="BI1118" s="56">
        <f>F1118*AP1118</f>
      </c>
      <c r="BJ1118" s="56">
        <f>F1118*G1118</f>
      </c>
      <c r="BK1118" s="56"/>
      <c r="BL1118" s="56"/>
      <c r="BW1118" s="56" t="n">
        <v>21</v>
      </c>
      <c r="BX1118" s="14" t="s">
        <v>1862</v>
      </c>
    </row>
    <row r="1119" customHeight="true" ht="13.5">
      <c r="A1119" s="112"/>
      <c r="C1119" s="81" t="s">
        <v>1903</v>
      </c>
      <c r="D1119" s="113"/>
      <c r="E1119" s="113"/>
      <c r="F1119" s="113"/>
      <c r="G1119" s="113"/>
      <c r="H1119" s="113"/>
      <c r="I1119" s="113"/>
      <c r="J1119" s="113"/>
      <c r="K1119" s="114"/>
    </row>
    <row r="1120">
      <c r="A1120" s="112"/>
      <c r="C1120" s="140" t="s">
        <v>118</v>
      </c>
      <c r="D1120" s="113" t="s">
        <v>53</v>
      </c>
      <c r="F1120" s="141" t="n">
        <v>12</v>
      </c>
      <c r="K1120" s="142"/>
    </row>
    <row r="1121">
      <c r="A1121" s="9" t="s">
        <v>1904</v>
      </c>
      <c r="B1121" s="10" t="s">
        <v>1905</v>
      </c>
      <c r="C1121" s="14" t="s">
        <v>1862</v>
      </c>
      <c r="D1121" s="10"/>
      <c r="E1121" s="10" t="s">
        <v>180</v>
      </c>
      <c r="F1121" s="56" t="n">
        <v>41</v>
      </c>
      <c r="G1121" s="56" t="n">
        <v>0</v>
      </c>
      <c r="H1121" s="56">
        <f>F1121*AO1121</f>
      </c>
      <c r="I1121" s="56">
        <f>F1121*AP1121</f>
      </c>
      <c r="J1121" s="56">
        <f>F1121*G1121</f>
      </c>
      <c r="K1121" s="111" t="s">
        <v>71</v>
      </c>
      <c r="Z1121" s="56">
        <f>IF(AQ1121="5",BJ1121,0)</f>
      </c>
      <c r="AB1121" s="56">
        <f>IF(AQ1121="1",BH1121,0)</f>
      </c>
      <c r="AC1121" s="56">
        <f>IF(AQ1121="1",BI1121,0)</f>
      </c>
      <c r="AD1121" s="56">
        <f>IF(AQ1121="7",BH1121,0)</f>
      </c>
      <c r="AE1121" s="56">
        <f>IF(AQ1121="7",BI1121,0)</f>
      </c>
      <c r="AF1121" s="56">
        <f>IF(AQ1121="2",BH1121,0)</f>
      </c>
      <c r="AG1121" s="56">
        <f>IF(AQ1121="2",BI1121,0)</f>
      </c>
      <c r="AH1121" s="56">
        <f>IF(AQ1121="0",BJ1121,0)</f>
      </c>
      <c r="AI1121" s="28" t="s">
        <v>1820</v>
      </c>
      <c r="AJ1121" s="56">
        <f>IF(AN1121=0,J1121,0)</f>
      </c>
      <c r="AK1121" s="56">
        <f>IF(AN1121=12,J1121,0)</f>
      </c>
      <c r="AL1121" s="56">
        <f>IF(AN1121=21,J1121,0)</f>
      </c>
      <c r="AN1121" s="56" t="n">
        <v>21</v>
      </c>
      <c r="AO1121" s="56">
        <f>G1121*0</f>
      </c>
      <c r="AP1121" s="56">
        <f>G1121*(1-0)</f>
      </c>
      <c r="AQ1121" s="57" t="s">
        <v>61</v>
      </c>
      <c r="AV1121" s="56">
        <f>AW1121+AX1121</f>
      </c>
      <c r="AW1121" s="56">
        <f>F1121*AO1121</f>
      </c>
      <c r="AX1121" s="56">
        <f>F1121*AP1121</f>
      </c>
      <c r="AY1121" s="57" t="s">
        <v>1863</v>
      </c>
      <c r="AZ1121" s="57" t="s">
        <v>1825</v>
      </c>
      <c r="BA1121" s="28" t="s">
        <v>1826</v>
      </c>
      <c r="BC1121" s="56">
        <f>AW1121+AX1121</f>
      </c>
      <c r="BD1121" s="56">
        <f>G1121/(100-BE1121)*100</f>
      </c>
      <c r="BE1121" s="56" t="n">
        <v>0</v>
      </c>
      <c r="BF1121" s="56">
        <f>1121</f>
      </c>
      <c r="BH1121" s="56">
        <f>F1121*AO1121</f>
      </c>
      <c r="BI1121" s="56">
        <f>F1121*AP1121</f>
      </c>
      <c r="BJ1121" s="56">
        <f>F1121*G1121</f>
      </c>
      <c r="BK1121" s="56"/>
      <c r="BL1121" s="56"/>
      <c r="BW1121" s="56" t="n">
        <v>21</v>
      </c>
      <c r="BX1121" s="14" t="s">
        <v>1862</v>
      </c>
    </row>
    <row r="1122" customHeight="true" ht="13.5">
      <c r="A1122" s="112"/>
      <c r="C1122" s="81" t="s">
        <v>1906</v>
      </c>
      <c r="D1122" s="113"/>
      <c r="E1122" s="113"/>
      <c r="F1122" s="113"/>
      <c r="G1122" s="113"/>
      <c r="H1122" s="113"/>
      <c r="I1122" s="113"/>
      <c r="J1122" s="113"/>
      <c r="K1122" s="114"/>
    </row>
    <row r="1123">
      <c r="A1123" s="112"/>
      <c r="C1123" s="140" t="s">
        <v>237</v>
      </c>
      <c r="D1123" s="113" t="s">
        <v>53</v>
      </c>
      <c r="F1123" s="141" t="n">
        <v>41</v>
      </c>
      <c r="K1123" s="142"/>
    </row>
    <row r="1124" ht="24.75">
      <c r="A1124" s="9" t="s">
        <v>1907</v>
      </c>
      <c r="B1124" s="10" t="s">
        <v>1908</v>
      </c>
      <c r="C1124" s="14" t="s">
        <v>1909</v>
      </c>
      <c r="D1124" s="10"/>
      <c r="E1124" s="10" t="s">
        <v>180</v>
      </c>
      <c r="F1124" s="56" t="n">
        <v>14</v>
      </c>
      <c r="G1124" s="56" t="n">
        <v>0</v>
      </c>
      <c r="H1124" s="56">
        <f>F1124*AO1124</f>
      </c>
      <c r="I1124" s="56">
        <f>F1124*AP1124</f>
      </c>
      <c r="J1124" s="56">
        <f>F1124*G1124</f>
      </c>
      <c r="K1124" s="111" t="s">
        <v>71</v>
      </c>
      <c r="Z1124" s="56">
        <f>IF(AQ1124="5",BJ1124,0)</f>
      </c>
      <c r="AB1124" s="56">
        <f>IF(AQ1124="1",BH1124,0)</f>
      </c>
      <c r="AC1124" s="56">
        <f>IF(AQ1124="1",BI1124,0)</f>
      </c>
      <c r="AD1124" s="56">
        <f>IF(AQ1124="7",BH1124,0)</f>
      </c>
      <c r="AE1124" s="56">
        <f>IF(AQ1124="7",BI1124,0)</f>
      </c>
      <c r="AF1124" s="56">
        <f>IF(AQ1124="2",BH1124,0)</f>
      </c>
      <c r="AG1124" s="56">
        <f>IF(AQ1124="2",BI1124,0)</f>
      </c>
      <c r="AH1124" s="56">
        <f>IF(AQ1124="0",BJ1124,0)</f>
      </c>
      <c r="AI1124" s="28" t="s">
        <v>1820</v>
      </c>
      <c r="AJ1124" s="56">
        <f>IF(AN1124=0,J1124,0)</f>
      </c>
      <c r="AK1124" s="56">
        <f>IF(AN1124=12,J1124,0)</f>
      </c>
      <c r="AL1124" s="56">
        <f>IF(AN1124=21,J1124,0)</f>
      </c>
      <c r="AN1124" s="56" t="n">
        <v>21</v>
      </c>
      <c r="AO1124" s="56">
        <f>G1124*0</f>
      </c>
      <c r="AP1124" s="56">
        <f>G1124*(1-0)</f>
      </c>
      <c r="AQ1124" s="57" t="s">
        <v>61</v>
      </c>
      <c r="AV1124" s="56">
        <f>AW1124+AX1124</f>
      </c>
      <c r="AW1124" s="56">
        <f>F1124*AO1124</f>
      </c>
      <c r="AX1124" s="56">
        <f>F1124*AP1124</f>
      </c>
      <c r="AY1124" s="57" t="s">
        <v>1863</v>
      </c>
      <c r="AZ1124" s="57" t="s">
        <v>1825</v>
      </c>
      <c r="BA1124" s="28" t="s">
        <v>1826</v>
      </c>
      <c r="BC1124" s="56">
        <f>AW1124+AX1124</f>
      </c>
      <c r="BD1124" s="56">
        <f>G1124/(100-BE1124)*100</f>
      </c>
      <c r="BE1124" s="56" t="n">
        <v>0</v>
      </c>
      <c r="BF1124" s="56">
        <f>1124</f>
      </c>
      <c r="BH1124" s="56">
        <f>F1124*AO1124</f>
      </c>
      <c r="BI1124" s="56">
        <f>F1124*AP1124</f>
      </c>
      <c r="BJ1124" s="56">
        <f>F1124*G1124</f>
      </c>
      <c r="BK1124" s="56"/>
      <c r="BL1124" s="56"/>
      <c r="BW1124" s="56" t="n">
        <v>21</v>
      </c>
      <c r="BX1124" s="14" t="s">
        <v>1909</v>
      </c>
    </row>
    <row r="1125" customHeight="true" ht="13.5">
      <c r="A1125" s="112"/>
      <c r="C1125" s="81" t="s">
        <v>1910</v>
      </c>
      <c r="D1125" s="113"/>
      <c r="E1125" s="113"/>
      <c r="F1125" s="113"/>
      <c r="G1125" s="113"/>
      <c r="H1125" s="113"/>
      <c r="I1125" s="113"/>
      <c r="J1125" s="113"/>
      <c r="K1125" s="114"/>
    </row>
    <row r="1126">
      <c r="A1126" s="112"/>
      <c r="C1126" s="140" t="s">
        <v>134</v>
      </c>
      <c r="D1126" s="113" t="s">
        <v>53</v>
      </c>
      <c r="F1126" s="141" t="n">
        <v>14</v>
      </c>
      <c r="K1126" s="142"/>
    </row>
    <row r="1127" ht="24.75">
      <c r="A1127" s="9" t="s">
        <v>1911</v>
      </c>
      <c r="B1127" s="10" t="s">
        <v>1912</v>
      </c>
      <c r="C1127" s="14" t="s">
        <v>1909</v>
      </c>
      <c r="D1127" s="10"/>
      <c r="E1127" s="10" t="s">
        <v>180</v>
      </c>
      <c r="F1127" s="56" t="n">
        <v>1</v>
      </c>
      <c r="G1127" s="56" t="n">
        <v>0</v>
      </c>
      <c r="H1127" s="56">
        <f>F1127*AO1127</f>
      </c>
      <c r="I1127" s="56">
        <f>F1127*AP1127</f>
      </c>
      <c r="J1127" s="56">
        <f>F1127*G1127</f>
      </c>
      <c r="K1127" s="111" t="s">
        <v>71</v>
      </c>
      <c r="Z1127" s="56">
        <f>IF(AQ1127="5",BJ1127,0)</f>
      </c>
      <c r="AB1127" s="56">
        <f>IF(AQ1127="1",BH1127,0)</f>
      </c>
      <c r="AC1127" s="56">
        <f>IF(AQ1127="1",BI1127,0)</f>
      </c>
      <c r="AD1127" s="56">
        <f>IF(AQ1127="7",BH1127,0)</f>
      </c>
      <c r="AE1127" s="56">
        <f>IF(AQ1127="7",BI1127,0)</f>
      </c>
      <c r="AF1127" s="56">
        <f>IF(AQ1127="2",BH1127,0)</f>
      </c>
      <c r="AG1127" s="56">
        <f>IF(AQ1127="2",BI1127,0)</f>
      </c>
      <c r="AH1127" s="56">
        <f>IF(AQ1127="0",BJ1127,0)</f>
      </c>
      <c r="AI1127" s="28" t="s">
        <v>1820</v>
      </c>
      <c r="AJ1127" s="56">
        <f>IF(AN1127=0,J1127,0)</f>
      </c>
      <c r="AK1127" s="56">
        <f>IF(AN1127=12,J1127,0)</f>
      </c>
      <c r="AL1127" s="56">
        <f>IF(AN1127=21,J1127,0)</f>
      </c>
      <c r="AN1127" s="56" t="n">
        <v>21</v>
      </c>
      <c r="AO1127" s="56">
        <f>G1127*0</f>
      </c>
      <c r="AP1127" s="56">
        <f>G1127*(1-0)</f>
      </c>
      <c r="AQ1127" s="57" t="s">
        <v>61</v>
      </c>
      <c r="AV1127" s="56">
        <f>AW1127+AX1127</f>
      </c>
      <c r="AW1127" s="56">
        <f>F1127*AO1127</f>
      </c>
      <c r="AX1127" s="56">
        <f>F1127*AP1127</f>
      </c>
      <c r="AY1127" s="57" t="s">
        <v>1863</v>
      </c>
      <c r="AZ1127" s="57" t="s">
        <v>1825</v>
      </c>
      <c r="BA1127" s="28" t="s">
        <v>1826</v>
      </c>
      <c r="BC1127" s="56">
        <f>AW1127+AX1127</f>
      </c>
      <c r="BD1127" s="56">
        <f>G1127/(100-BE1127)*100</f>
      </c>
      <c r="BE1127" s="56" t="n">
        <v>0</v>
      </c>
      <c r="BF1127" s="56">
        <f>1127</f>
      </c>
      <c r="BH1127" s="56">
        <f>F1127*AO1127</f>
      </c>
      <c r="BI1127" s="56">
        <f>F1127*AP1127</f>
      </c>
      <c r="BJ1127" s="56">
        <f>F1127*G1127</f>
      </c>
      <c r="BK1127" s="56"/>
      <c r="BL1127" s="56"/>
      <c r="BW1127" s="56" t="n">
        <v>21</v>
      </c>
      <c r="BX1127" s="14" t="s">
        <v>1909</v>
      </c>
    </row>
    <row r="1128" customHeight="true" ht="13.5">
      <c r="A1128" s="112"/>
      <c r="C1128" s="81" t="s">
        <v>1913</v>
      </c>
      <c r="D1128" s="113"/>
      <c r="E1128" s="113"/>
      <c r="F1128" s="113"/>
      <c r="G1128" s="113"/>
      <c r="H1128" s="113"/>
      <c r="I1128" s="113"/>
      <c r="J1128" s="113"/>
      <c r="K1128" s="114"/>
    </row>
    <row r="1129">
      <c r="A1129" s="112"/>
      <c r="C1129" s="140" t="s">
        <v>58</v>
      </c>
      <c r="D1129" s="113" t="s">
        <v>53</v>
      </c>
      <c r="F1129" s="141" t="n">
        <v>1</v>
      </c>
      <c r="K1129" s="142"/>
    </row>
    <row r="1130" ht="24.75">
      <c r="A1130" s="9" t="s">
        <v>1914</v>
      </c>
      <c r="B1130" s="10" t="s">
        <v>1915</v>
      </c>
      <c r="C1130" s="14" t="s">
        <v>1909</v>
      </c>
      <c r="D1130" s="10"/>
      <c r="E1130" s="10" t="s">
        <v>180</v>
      </c>
      <c r="F1130" s="56" t="n">
        <v>1</v>
      </c>
      <c r="G1130" s="56" t="n">
        <v>0</v>
      </c>
      <c r="H1130" s="56">
        <f>F1130*AO1130</f>
      </c>
      <c r="I1130" s="56">
        <f>F1130*AP1130</f>
      </c>
      <c r="J1130" s="56">
        <f>F1130*G1130</f>
      </c>
      <c r="K1130" s="111" t="s">
        <v>71</v>
      </c>
      <c r="Z1130" s="56">
        <f>IF(AQ1130="5",BJ1130,0)</f>
      </c>
      <c r="AB1130" s="56">
        <f>IF(AQ1130="1",BH1130,0)</f>
      </c>
      <c r="AC1130" s="56">
        <f>IF(AQ1130="1",BI1130,0)</f>
      </c>
      <c r="AD1130" s="56">
        <f>IF(AQ1130="7",BH1130,0)</f>
      </c>
      <c r="AE1130" s="56">
        <f>IF(AQ1130="7",BI1130,0)</f>
      </c>
      <c r="AF1130" s="56">
        <f>IF(AQ1130="2",BH1130,0)</f>
      </c>
      <c r="AG1130" s="56">
        <f>IF(AQ1130="2",BI1130,0)</f>
      </c>
      <c r="AH1130" s="56">
        <f>IF(AQ1130="0",BJ1130,0)</f>
      </c>
      <c r="AI1130" s="28" t="s">
        <v>1820</v>
      </c>
      <c r="AJ1130" s="56">
        <f>IF(AN1130=0,J1130,0)</f>
      </c>
      <c r="AK1130" s="56">
        <f>IF(AN1130=12,J1130,0)</f>
      </c>
      <c r="AL1130" s="56">
        <f>IF(AN1130=21,J1130,0)</f>
      </c>
      <c r="AN1130" s="56" t="n">
        <v>21</v>
      </c>
      <c r="AO1130" s="56">
        <f>G1130*0</f>
      </c>
      <c r="AP1130" s="56">
        <f>G1130*(1-0)</f>
      </c>
      <c r="AQ1130" s="57" t="s">
        <v>61</v>
      </c>
      <c r="AV1130" s="56">
        <f>AW1130+AX1130</f>
      </c>
      <c r="AW1130" s="56">
        <f>F1130*AO1130</f>
      </c>
      <c r="AX1130" s="56">
        <f>F1130*AP1130</f>
      </c>
      <c r="AY1130" s="57" t="s">
        <v>1863</v>
      </c>
      <c r="AZ1130" s="57" t="s">
        <v>1825</v>
      </c>
      <c r="BA1130" s="28" t="s">
        <v>1826</v>
      </c>
      <c r="BC1130" s="56">
        <f>AW1130+AX1130</f>
      </c>
      <c r="BD1130" s="56">
        <f>G1130/(100-BE1130)*100</f>
      </c>
      <c r="BE1130" s="56" t="n">
        <v>0</v>
      </c>
      <c r="BF1130" s="56">
        <f>1130</f>
      </c>
      <c r="BH1130" s="56">
        <f>F1130*AO1130</f>
      </c>
      <c r="BI1130" s="56">
        <f>F1130*AP1130</f>
      </c>
      <c r="BJ1130" s="56">
        <f>F1130*G1130</f>
      </c>
      <c r="BK1130" s="56"/>
      <c r="BL1130" s="56"/>
      <c r="BW1130" s="56" t="n">
        <v>21</v>
      </c>
      <c r="BX1130" s="14" t="s">
        <v>1909</v>
      </c>
    </row>
    <row r="1131" customHeight="true" ht="13.5">
      <c r="A1131" s="112"/>
      <c r="C1131" s="81" t="s">
        <v>1916</v>
      </c>
      <c r="D1131" s="113"/>
      <c r="E1131" s="113"/>
      <c r="F1131" s="113"/>
      <c r="G1131" s="113"/>
      <c r="H1131" s="113"/>
      <c r="I1131" s="113"/>
      <c r="J1131" s="113"/>
      <c r="K1131" s="114"/>
    </row>
    <row r="1132">
      <c r="A1132" s="112"/>
      <c r="C1132" s="140" t="s">
        <v>58</v>
      </c>
      <c r="D1132" s="113" t="s">
        <v>53</v>
      </c>
      <c r="F1132" s="141" t="n">
        <v>1</v>
      </c>
      <c r="K1132" s="142"/>
    </row>
    <row r="1133" ht="24.75">
      <c r="A1133" s="9" t="s">
        <v>1917</v>
      </c>
      <c r="B1133" s="10" t="s">
        <v>1918</v>
      </c>
      <c r="C1133" s="14" t="s">
        <v>1909</v>
      </c>
      <c r="D1133" s="10"/>
      <c r="E1133" s="10" t="s">
        <v>180</v>
      </c>
      <c r="F1133" s="56" t="n">
        <v>8</v>
      </c>
      <c r="G1133" s="56" t="n">
        <v>0</v>
      </c>
      <c r="H1133" s="56">
        <f>F1133*AO1133</f>
      </c>
      <c r="I1133" s="56">
        <f>F1133*AP1133</f>
      </c>
      <c r="J1133" s="56">
        <f>F1133*G1133</f>
      </c>
      <c r="K1133" s="111" t="s">
        <v>71</v>
      </c>
      <c r="Z1133" s="56">
        <f>IF(AQ1133="5",BJ1133,0)</f>
      </c>
      <c r="AB1133" s="56">
        <f>IF(AQ1133="1",BH1133,0)</f>
      </c>
      <c r="AC1133" s="56">
        <f>IF(AQ1133="1",BI1133,0)</f>
      </c>
      <c r="AD1133" s="56">
        <f>IF(AQ1133="7",BH1133,0)</f>
      </c>
      <c r="AE1133" s="56">
        <f>IF(AQ1133="7",BI1133,0)</f>
      </c>
      <c r="AF1133" s="56">
        <f>IF(AQ1133="2",BH1133,0)</f>
      </c>
      <c r="AG1133" s="56">
        <f>IF(AQ1133="2",BI1133,0)</f>
      </c>
      <c r="AH1133" s="56">
        <f>IF(AQ1133="0",BJ1133,0)</f>
      </c>
      <c r="AI1133" s="28" t="s">
        <v>1820</v>
      </c>
      <c r="AJ1133" s="56">
        <f>IF(AN1133=0,J1133,0)</f>
      </c>
      <c r="AK1133" s="56">
        <f>IF(AN1133=12,J1133,0)</f>
      </c>
      <c r="AL1133" s="56">
        <f>IF(AN1133=21,J1133,0)</f>
      </c>
      <c r="AN1133" s="56" t="n">
        <v>21</v>
      </c>
      <c r="AO1133" s="56">
        <f>G1133*0</f>
      </c>
      <c r="AP1133" s="56">
        <f>G1133*(1-0)</f>
      </c>
      <c r="AQ1133" s="57" t="s">
        <v>61</v>
      </c>
      <c r="AV1133" s="56">
        <f>AW1133+AX1133</f>
      </c>
      <c r="AW1133" s="56">
        <f>F1133*AO1133</f>
      </c>
      <c r="AX1133" s="56">
        <f>F1133*AP1133</f>
      </c>
      <c r="AY1133" s="57" t="s">
        <v>1863</v>
      </c>
      <c r="AZ1133" s="57" t="s">
        <v>1825</v>
      </c>
      <c r="BA1133" s="28" t="s">
        <v>1826</v>
      </c>
      <c r="BC1133" s="56">
        <f>AW1133+AX1133</f>
      </c>
      <c r="BD1133" s="56">
        <f>G1133/(100-BE1133)*100</f>
      </c>
      <c r="BE1133" s="56" t="n">
        <v>0</v>
      </c>
      <c r="BF1133" s="56">
        <f>1133</f>
      </c>
      <c r="BH1133" s="56">
        <f>F1133*AO1133</f>
      </c>
      <c r="BI1133" s="56">
        <f>F1133*AP1133</f>
      </c>
      <c r="BJ1133" s="56">
        <f>F1133*G1133</f>
      </c>
      <c r="BK1133" s="56"/>
      <c r="BL1133" s="56"/>
      <c r="BW1133" s="56" t="n">
        <v>21</v>
      </c>
      <c r="BX1133" s="14" t="s">
        <v>1909</v>
      </c>
    </row>
    <row r="1134" customHeight="true" ht="13.5">
      <c r="A1134" s="112"/>
      <c r="C1134" s="81" t="s">
        <v>1919</v>
      </c>
      <c r="D1134" s="113"/>
      <c r="E1134" s="113"/>
      <c r="F1134" s="113"/>
      <c r="G1134" s="113"/>
      <c r="H1134" s="113"/>
      <c r="I1134" s="113"/>
      <c r="J1134" s="113"/>
      <c r="K1134" s="114"/>
    </row>
    <row r="1135">
      <c r="A1135" s="112"/>
      <c r="C1135" s="140" t="s">
        <v>88</v>
      </c>
      <c r="D1135" s="113" t="s">
        <v>53</v>
      </c>
      <c r="F1135" s="141" t="n">
        <v>8</v>
      </c>
      <c r="K1135" s="142"/>
    </row>
    <row r="1136" ht="24.75">
      <c r="A1136" s="9" t="s">
        <v>1920</v>
      </c>
      <c r="B1136" s="10" t="s">
        <v>1921</v>
      </c>
      <c r="C1136" s="14" t="s">
        <v>1909</v>
      </c>
      <c r="D1136" s="10"/>
      <c r="E1136" s="10" t="s">
        <v>180</v>
      </c>
      <c r="F1136" s="56" t="n">
        <v>24</v>
      </c>
      <c r="G1136" s="56" t="n">
        <v>0</v>
      </c>
      <c r="H1136" s="56">
        <f>F1136*AO1136</f>
      </c>
      <c r="I1136" s="56">
        <f>F1136*AP1136</f>
      </c>
      <c r="J1136" s="56">
        <f>F1136*G1136</f>
      </c>
      <c r="K1136" s="111" t="s">
        <v>71</v>
      </c>
      <c r="Z1136" s="56">
        <f>IF(AQ1136="5",BJ1136,0)</f>
      </c>
      <c r="AB1136" s="56">
        <f>IF(AQ1136="1",BH1136,0)</f>
      </c>
      <c r="AC1136" s="56">
        <f>IF(AQ1136="1",BI1136,0)</f>
      </c>
      <c r="AD1136" s="56">
        <f>IF(AQ1136="7",BH1136,0)</f>
      </c>
      <c r="AE1136" s="56">
        <f>IF(AQ1136="7",BI1136,0)</f>
      </c>
      <c r="AF1136" s="56">
        <f>IF(AQ1136="2",BH1136,0)</f>
      </c>
      <c r="AG1136" s="56">
        <f>IF(AQ1136="2",BI1136,0)</f>
      </c>
      <c r="AH1136" s="56">
        <f>IF(AQ1136="0",BJ1136,0)</f>
      </c>
      <c r="AI1136" s="28" t="s">
        <v>1820</v>
      </c>
      <c r="AJ1136" s="56">
        <f>IF(AN1136=0,J1136,0)</f>
      </c>
      <c r="AK1136" s="56">
        <f>IF(AN1136=12,J1136,0)</f>
      </c>
      <c r="AL1136" s="56">
        <f>IF(AN1136=21,J1136,0)</f>
      </c>
      <c r="AN1136" s="56" t="n">
        <v>21</v>
      </c>
      <c r="AO1136" s="56">
        <f>G1136*0</f>
      </c>
      <c r="AP1136" s="56">
        <f>G1136*(1-0)</f>
      </c>
      <c r="AQ1136" s="57" t="s">
        <v>61</v>
      </c>
      <c r="AV1136" s="56">
        <f>AW1136+AX1136</f>
      </c>
      <c r="AW1136" s="56">
        <f>F1136*AO1136</f>
      </c>
      <c r="AX1136" s="56">
        <f>F1136*AP1136</f>
      </c>
      <c r="AY1136" s="57" t="s">
        <v>1863</v>
      </c>
      <c r="AZ1136" s="57" t="s">
        <v>1825</v>
      </c>
      <c r="BA1136" s="28" t="s">
        <v>1826</v>
      </c>
      <c r="BC1136" s="56">
        <f>AW1136+AX1136</f>
      </c>
      <c r="BD1136" s="56">
        <f>G1136/(100-BE1136)*100</f>
      </c>
      <c r="BE1136" s="56" t="n">
        <v>0</v>
      </c>
      <c r="BF1136" s="56">
        <f>1136</f>
      </c>
      <c r="BH1136" s="56">
        <f>F1136*AO1136</f>
      </c>
      <c r="BI1136" s="56">
        <f>F1136*AP1136</f>
      </c>
      <c r="BJ1136" s="56">
        <f>F1136*G1136</f>
      </c>
      <c r="BK1136" s="56"/>
      <c r="BL1136" s="56"/>
      <c r="BW1136" s="56" t="n">
        <v>21</v>
      </c>
      <c r="BX1136" s="14" t="s">
        <v>1909</v>
      </c>
    </row>
    <row r="1137" customHeight="true" ht="13.5">
      <c r="A1137" s="112"/>
      <c r="C1137" s="81" t="s">
        <v>1922</v>
      </c>
      <c r="D1137" s="113"/>
      <c r="E1137" s="113"/>
      <c r="F1137" s="113"/>
      <c r="G1137" s="113"/>
      <c r="H1137" s="113"/>
      <c r="I1137" s="113"/>
      <c r="J1137" s="113"/>
      <c r="K1137" s="114"/>
    </row>
    <row r="1138">
      <c r="A1138" s="112"/>
      <c r="C1138" s="140" t="s">
        <v>208</v>
      </c>
      <c r="D1138" s="113" t="s">
        <v>53</v>
      </c>
      <c r="F1138" s="141" t="n">
        <v>24</v>
      </c>
      <c r="K1138" s="142"/>
    </row>
    <row r="1139" ht="24.75">
      <c r="A1139" s="9" t="s">
        <v>1923</v>
      </c>
      <c r="B1139" s="10" t="s">
        <v>1924</v>
      </c>
      <c r="C1139" s="14" t="s">
        <v>1909</v>
      </c>
      <c r="D1139" s="10"/>
      <c r="E1139" s="10" t="s">
        <v>393</v>
      </c>
      <c r="F1139" s="56" t="n">
        <v>20</v>
      </c>
      <c r="G1139" s="56" t="n">
        <v>0</v>
      </c>
      <c r="H1139" s="56">
        <f>F1139*AO1139</f>
      </c>
      <c r="I1139" s="56">
        <f>F1139*AP1139</f>
      </c>
      <c r="J1139" s="56">
        <f>F1139*G1139</f>
      </c>
      <c r="K1139" s="111" t="s">
        <v>71</v>
      </c>
      <c r="Z1139" s="56">
        <f>IF(AQ1139="5",BJ1139,0)</f>
      </c>
      <c r="AB1139" s="56">
        <f>IF(AQ1139="1",BH1139,0)</f>
      </c>
      <c r="AC1139" s="56">
        <f>IF(AQ1139="1",BI1139,0)</f>
      </c>
      <c r="AD1139" s="56">
        <f>IF(AQ1139="7",BH1139,0)</f>
      </c>
      <c r="AE1139" s="56">
        <f>IF(AQ1139="7",BI1139,0)</f>
      </c>
      <c r="AF1139" s="56">
        <f>IF(AQ1139="2",BH1139,0)</f>
      </c>
      <c r="AG1139" s="56">
        <f>IF(AQ1139="2",BI1139,0)</f>
      </c>
      <c r="AH1139" s="56">
        <f>IF(AQ1139="0",BJ1139,0)</f>
      </c>
      <c r="AI1139" s="28" t="s">
        <v>1820</v>
      </c>
      <c r="AJ1139" s="56">
        <f>IF(AN1139=0,J1139,0)</f>
      </c>
      <c r="AK1139" s="56">
        <f>IF(AN1139=12,J1139,0)</f>
      </c>
      <c r="AL1139" s="56">
        <f>IF(AN1139=21,J1139,0)</f>
      </c>
      <c r="AN1139" s="56" t="n">
        <v>21</v>
      </c>
      <c r="AO1139" s="56">
        <f>G1139*0</f>
      </c>
      <c r="AP1139" s="56">
        <f>G1139*(1-0)</f>
      </c>
      <c r="AQ1139" s="57" t="s">
        <v>61</v>
      </c>
      <c r="AV1139" s="56">
        <f>AW1139+AX1139</f>
      </c>
      <c r="AW1139" s="56">
        <f>F1139*AO1139</f>
      </c>
      <c r="AX1139" s="56">
        <f>F1139*AP1139</f>
      </c>
      <c r="AY1139" s="57" t="s">
        <v>1863</v>
      </c>
      <c r="AZ1139" s="57" t="s">
        <v>1825</v>
      </c>
      <c r="BA1139" s="28" t="s">
        <v>1826</v>
      </c>
      <c r="BC1139" s="56">
        <f>AW1139+AX1139</f>
      </c>
      <c r="BD1139" s="56">
        <f>G1139/(100-BE1139)*100</f>
      </c>
      <c r="BE1139" s="56" t="n">
        <v>0</v>
      </c>
      <c r="BF1139" s="56">
        <f>1139</f>
      </c>
      <c r="BH1139" s="56">
        <f>F1139*AO1139</f>
      </c>
      <c r="BI1139" s="56">
        <f>F1139*AP1139</f>
      </c>
      <c r="BJ1139" s="56">
        <f>F1139*G1139</f>
      </c>
      <c r="BK1139" s="56"/>
      <c r="BL1139" s="56"/>
      <c r="BW1139" s="56" t="n">
        <v>21</v>
      </c>
      <c r="BX1139" s="14" t="s">
        <v>1909</v>
      </c>
    </row>
    <row r="1140" customHeight="true" ht="13.5">
      <c r="A1140" s="112"/>
      <c r="C1140" s="81" t="s">
        <v>1925</v>
      </c>
      <c r="D1140" s="113"/>
      <c r="E1140" s="113"/>
      <c r="F1140" s="113"/>
      <c r="G1140" s="113"/>
      <c r="H1140" s="113"/>
      <c r="I1140" s="113"/>
      <c r="J1140" s="113"/>
      <c r="K1140" s="114"/>
    </row>
    <row r="1141">
      <c r="A1141" s="112"/>
      <c r="C1141" s="140" t="s">
        <v>177</v>
      </c>
      <c r="D1141" s="113" t="s">
        <v>53</v>
      </c>
      <c r="F1141" s="141" t="n">
        <v>20</v>
      </c>
      <c r="K1141" s="142"/>
    </row>
    <row r="1142" ht="24.75">
      <c r="A1142" s="9" t="s">
        <v>1926</v>
      </c>
      <c r="B1142" s="10" t="s">
        <v>1927</v>
      </c>
      <c r="C1142" s="14" t="s">
        <v>1909</v>
      </c>
      <c r="D1142" s="10"/>
      <c r="E1142" s="10" t="s">
        <v>393</v>
      </c>
      <c r="F1142" s="56" t="n">
        <v>270</v>
      </c>
      <c r="G1142" s="56" t="n">
        <v>0</v>
      </c>
      <c r="H1142" s="56">
        <f>F1142*AO1142</f>
      </c>
      <c r="I1142" s="56">
        <f>F1142*AP1142</f>
      </c>
      <c r="J1142" s="56">
        <f>F1142*G1142</f>
      </c>
      <c r="K1142" s="111" t="s">
        <v>71</v>
      </c>
      <c r="Z1142" s="56">
        <f>IF(AQ1142="5",BJ1142,0)</f>
      </c>
      <c r="AB1142" s="56">
        <f>IF(AQ1142="1",BH1142,0)</f>
      </c>
      <c r="AC1142" s="56">
        <f>IF(AQ1142="1",BI1142,0)</f>
      </c>
      <c r="AD1142" s="56">
        <f>IF(AQ1142="7",BH1142,0)</f>
      </c>
      <c r="AE1142" s="56">
        <f>IF(AQ1142="7",BI1142,0)</f>
      </c>
      <c r="AF1142" s="56">
        <f>IF(AQ1142="2",BH1142,0)</f>
      </c>
      <c r="AG1142" s="56">
        <f>IF(AQ1142="2",BI1142,0)</f>
      </c>
      <c r="AH1142" s="56">
        <f>IF(AQ1142="0",BJ1142,0)</f>
      </c>
      <c r="AI1142" s="28" t="s">
        <v>1820</v>
      </c>
      <c r="AJ1142" s="56">
        <f>IF(AN1142=0,J1142,0)</f>
      </c>
      <c r="AK1142" s="56">
        <f>IF(AN1142=12,J1142,0)</f>
      </c>
      <c r="AL1142" s="56">
        <f>IF(AN1142=21,J1142,0)</f>
      </c>
      <c r="AN1142" s="56" t="n">
        <v>21</v>
      </c>
      <c r="AO1142" s="56">
        <f>G1142*0</f>
      </c>
      <c r="AP1142" s="56">
        <f>G1142*(1-0)</f>
      </c>
      <c r="AQ1142" s="57" t="s">
        <v>61</v>
      </c>
      <c r="AV1142" s="56">
        <f>AW1142+AX1142</f>
      </c>
      <c r="AW1142" s="56">
        <f>F1142*AO1142</f>
      </c>
      <c r="AX1142" s="56">
        <f>F1142*AP1142</f>
      </c>
      <c r="AY1142" s="57" t="s">
        <v>1863</v>
      </c>
      <c r="AZ1142" s="57" t="s">
        <v>1825</v>
      </c>
      <c r="BA1142" s="28" t="s">
        <v>1826</v>
      </c>
      <c r="BC1142" s="56">
        <f>AW1142+AX1142</f>
      </c>
      <c r="BD1142" s="56">
        <f>G1142/(100-BE1142)*100</f>
      </c>
      <c r="BE1142" s="56" t="n">
        <v>0</v>
      </c>
      <c r="BF1142" s="56">
        <f>1142</f>
      </c>
      <c r="BH1142" s="56">
        <f>F1142*AO1142</f>
      </c>
      <c r="BI1142" s="56">
        <f>F1142*AP1142</f>
      </c>
      <c r="BJ1142" s="56">
        <f>F1142*G1142</f>
      </c>
      <c r="BK1142" s="56"/>
      <c r="BL1142" s="56"/>
      <c r="BW1142" s="56" t="n">
        <v>21</v>
      </c>
      <c r="BX1142" s="14" t="s">
        <v>1909</v>
      </c>
    </row>
    <row r="1143" customHeight="true" ht="13.5">
      <c r="A1143" s="112"/>
      <c r="C1143" s="81" t="s">
        <v>1928</v>
      </c>
      <c r="D1143" s="113"/>
      <c r="E1143" s="113"/>
      <c r="F1143" s="113"/>
      <c r="G1143" s="113"/>
      <c r="H1143" s="113"/>
      <c r="I1143" s="113"/>
      <c r="J1143" s="113"/>
      <c r="K1143" s="114"/>
    </row>
    <row r="1144">
      <c r="A1144" s="112"/>
      <c r="C1144" s="140" t="s">
        <v>1628</v>
      </c>
      <c r="D1144" s="113" t="s">
        <v>53</v>
      </c>
      <c r="F1144" s="141" t="n">
        <v>270</v>
      </c>
      <c r="K1144" s="142"/>
    </row>
    <row r="1145" ht="24.75">
      <c r="A1145" s="9" t="s">
        <v>1929</v>
      </c>
      <c r="B1145" s="10" t="s">
        <v>1930</v>
      </c>
      <c r="C1145" s="14" t="s">
        <v>1909</v>
      </c>
      <c r="D1145" s="10"/>
      <c r="E1145" s="10" t="s">
        <v>393</v>
      </c>
      <c r="F1145" s="56" t="n">
        <v>130</v>
      </c>
      <c r="G1145" s="56" t="n">
        <v>0</v>
      </c>
      <c r="H1145" s="56">
        <f>F1145*AO1145</f>
      </c>
      <c r="I1145" s="56">
        <f>F1145*AP1145</f>
      </c>
      <c r="J1145" s="56">
        <f>F1145*G1145</f>
      </c>
      <c r="K1145" s="111" t="s">
        <v>71</v>
      </c>
      <c r="Z1145" s="56">
        <f>IF(AQ1145="5",BJ1145,0)</f>
      </c>
      <c r="AB1145" s="56">
        <f>IF(AQ1145="1",BH1145,0)</f>
      </c>
      <c r="AC1145" s="56">
        <f>IF(AQ1145="1",BI1145,0)</f>
      </c>
      <c r="AD1145" s="56">
        <f>IF(AQ1145="7",BH1145,0)</f>
      </c>
      <c r="AE1145" s="56">
        <f>IF(AQ1145="7",BI1145,0)</f>
      </c>
      <c r="AF1145" s="56">
        <f>IF(AQ1145="2",BH1145,0)</f>
      </c>
      <c r="AG1145" s="56">
        <f>IF(AQ1145="2",BI1145,0)</f>
      </c>
      <c r="AH1145" s="56">
        <f>IF(AQ1145="0",BJ1145,0)</f>
      </c>
      <c r="AI1145" s="28" t="s">
        <v>1820</v>
      </c>
      <c r="AJ1145" s="56">
        <f>IF(AN1145=0,J1145,0)</f>
      </c>
      <c r="AK1145" s="56">
        <f>IF(AN1145=12,J1145,0)</f>
      </c>
      <c r="AL1145" s="56">
        <f>IF(AN1145=21,J1145,0)</f>
      </c>
      <c r="AN1145" s="56" t="n">
        <v>21</v>
      </c>
      <c r="AO1145" s="56">
        <f>G1145*0</f>
      </c>
      <c r="AP1145" s="56">
        <f>G1145*(1-0)</f>
      </c>
      <c r="AQ1145" s="57" t="s">
        <v>61</v>
      </c>
      <c r="AV1145" s="56">
        <f>AW1145+AX1145</f>
      </c>
      <c r="AW1145" s="56">
        <f>F1145*AO1145</f>
      </c>
      <c r="AX1145" s="56">
        <f>F1145*AP1145</f>
      </c>
      <c r="AY1145" s="57" t="s">
        <v>1863</v>
      </c>
      <c r="AZ1145" s="57" t="s">
        <v>1825</v>
      </c>
      <c r="BA1145" s="28" t="s">
        <v>1826</v>
      </c>
      <c r="BC1145" s="56">
        <f>AW1145+AX1145</f>
      </c>
      <c r="BD1145" s="56">
        <f>G1145/(100-BE1145)*100</f>
      </c>
      <c r="BE1145" s="56" t="n">
        <v>0</v>
      </c>
      <c r="BF1145" s="56">
        <f>1145</f>
      </c>
      <c r="BH1145" s="56">
        <f>F1145*AO1145</f>
      </c>
      <c r="BI1145" s="56">
        <f>F1145*AP1145</f>
      </c>
      <c r="BJ1145" s="56">
        <f>F1145*G1145</f>
      </c>
      <c r="BK1145" s="56"/>
      <c r="BL1145" s="56"/>
      <c r="BW1145" s="56" t="n">
        <v>21</v>
      </c>
      <c r="BX1145" s="14" t="s">
        <v>1909</v>
      </c>
    </row>
    <row r="1146" customHeight="true" ht="13.5">
      <c r="A1146" s="112"/>
      <c r="C1146" s="81" t="s">
        <v>1931</v>
      </c>
      <c r="D1146" s="113"/>
      <c r="E1146" s="113"/>
      <c r="F1146" s="113"/>
      <c r="G1146" s="113"/>
      <c r="H1146" s="113"/>
      <c r="I1146" s="113"/>
      <c r="J1146" s="113"/>
      <c r="K1146" s="114"/>
    </row>
    <row r="1147">
      <c r="A1147" s="112"/>
      <c r="C1147" s="140" t="s">
        <v>921</v>
      </c>
      <c r="D1147" s="113" t="s">
        <v>53</v>
      </c>
      <c r="F1147" s="141" t="n">
        <v>130</v>
      </c>
      <c r="K1147" s="142"/>
    </row>
    <row r="1148" ht="24.75">
      <c r="A1148" s="9" t="s">
        <v>1932</v>
      </c>
      <c r="B1148" s="10" t="s">
        <v>1933</v>
      </c>
      <c r="C1148" s="14" t="s">
        <v>1909</v>
      </c>
      <c r="D1148" s="10"/>
      <c r="E1148" s="10" t="s">
        <v>393</v>
      </c>
      <c r="F1148" s="56" t="n">
        <v>190</v>
      </c>
      <c r="G1148" s="56" t="n">
        <v>0</v>
      </c>
      <c r="H1148" s="56">
        <f>F1148*AO1148</f>
      </c>
      <c r="I1148" s="56">
        <f>F1148*AP1148</f>
      </c>
      <c r="J1148" s="56">
        <f>F1148*G1148</f>
      </c>
      <c r="K1148" s="111" t="s">
        <v>71</v>
      </c>
      <c r="Z1148" s="56">
        <f>IF(AQ1148="5",BJ1148,0)</f>
      </c>
      <c r="AB1148" s="56">
        <f>IF(AQ1148="1",BH1148,0)</f>
      </c>
      <c r="AC1148" s="56">
        <f>IF(AQ1148="1",BI1148,0)</f>
      </c>
      <c r="AD1148" s="56">
        <f>IF(AQ1148="7",BH1148,0)</f>
      </c>
      <c r="AE1148" s="56">
        <f>IF(AQ1148="7",BI1148,0)</f>
      </c>
      <c r="AF1148" s="56">
        <f>IF(AQ1148="2",BH1148,0)</f>
      </c>
      <c r="AG1148" s="56">
        <f>IF(AQ1148="2",BI1148,0)</f>
      </c>
      <c r="AH1148" s="56">
        <f>IF(AQ1148="0",BJ1148,0)</f>
      </c>
      <c r="AI1148" s="28" t="s">
        <v>1820</v>
      </c>
      <c r="AJ1148" s="56">
        <f>IF(AN1148=0,J1148,0)</f>
      </c>
      <c r="AK1148" s="56">
        <f>IF(AN1148=12,J1148,0)</f>
      </c>
      <c r="AL1148" s="56">
        <f>IF(AN1148=21,J1148,0)</f>
      </c>
      <c r="AN1148" s="56" t="n">
        <v>21</v>
      </c>
      <c r="AO1148" s="56">
        <f>G1148*0</f>
      </c>
      <c r="AP1148" s="56">
        <f>G1148*(1-0)</f>
      </c>
      <c r="AQ1148" s="57" t="s">
        <v>61</v>
      </c>
      <c r="AV1148" s="56">
        <f>AW1148+AX1148</f>
      </c>
      <c r="AW1148" s="56">
        <f>F1148*AO1148</f>
      </c>
      <c r="AX1148" s="56">
        <f>F1148*AP1148</f>
      </c>
      <c r="AY1148" s="57" t="s">
        <v>1863</v>
      </c>
      <c r="AZ1148" s="57" t="s">
        <v>1825</v>
      </c>
      <c r="BA1148" s="28" t="s">
        <v>1826</v>
      </c>
      <c r="BC1148" s="56">
        <f>AW1148+AX1148</f>
      </c>
      <c r="BD1148" s="56">
        <f>G1148/(100-BE1148)*100</f>
      </c>
      <c r="BE1148" s="56" t="n">
        <v>0</v>
      </c>
      <c r="BF1148" s="56">
        <f>1148</f>
      </c>
      <c r="BH1148" s="56">
        <f>F1148*AO1148</f>
      </c>
      <c r="BI1148" s="56">
        <f>F1148*AP1148</f>
      </c>
      <c r="BJ1148" s="56">
        <f>F1148*G1148</f>
      </c>
      <c r="BK1148" s="56"/>
      <c r="BL1148" s="56"/>
      <c r="BW1148" s="56" t="n">
        <v>21</v>
      </c>
      <c r="BX1148" s="14" t="s">
        <v>1909</v>
      </c>
    </row>
    <row r="1149" customHeight="true" ht="13.5">
      <c r="A1149" s="112"/>
      <c r="C1149" s="81" t="s">
        <v>1934</v>
      </c>
      <c r="D1149" s="113"/>
      <c r="E1149" s="113"/>
      <c r="F1149" s="113"/>
      <c r="G1149" s="113"/>
      <c r="H1149" s="113"/>
      <c r="I1149" s="113"/>
      <c r="J1149" s="113"/>
      <c r="K1149" s="114"/>
    </row>
    <row r="1150">
      <c r="A1150" s="112"/>
      <c r="C1150" s="140" t="s">
        <v>1231</v>
      </c>
      <c r="D1150" s="113" t="s">
        <v>53</v>
      </c>
      <c r="F1150" s="141" t="n">
        <v>190</v>
      </c>
      <c r="K1150" s="142"/>
    </row>
    <row r="1151" ht="24.75">
      <c r="A1151" s="9" t="s">
        <v>1935</v>
      </c>
      <c r="B1151" s="10" t="s">
        <v>1936</v>
      </c>
      <c r="C1151" s="14" t="s">
        <v>1909</v>
      </c>
      <c r="D1151" s="10"/>
      <c r="E1151" s="10" t="s">
        <v>393</v>
      </c>
      <c r="F1151" s="56" t="n">
        <v>25</v>
      </c>
      <c r="G1151" s="56" t="n">
        <v>0</v>
      </c>
      <c r="H1151" s="56">
        <f>F1151*AO1151</f>
      </c>
      <c r="I1151" s="56">
        <f>F1151*AP1151</f>
      </c>
      <c r="J1151" s="56">
        <f>F1151*G1151</f>
      </c>
      <c r="K1151" s="111" t="s">
        <v>71</v>
      </c>
      <c r="Z1151" s="56">
        <f>IF(AQ1151="5",BJ1151,0)</f>
      </c>
      <c r="AB1151" s="56">
        <f>IF(AQ1151="1",BH1151,0)</f>
      </c>
      <c r="AC1151" s="56">
        <f>IF(AQ1151="1",BI1151,0)</f>
      </c>
      <c r="AD1151" s="56">
        <f>IF(AQ1151="7",BH1151,0)</f>
      </c>
      <c r="AE1151" s="56">
        <f>IF(AQ1151="7",BI1151,0)</f>
      </c>
      <c r="AF1151" s="56">
        <f>IF(AQ1151="2",BH1151,0)</f>
      </c>
      <c r="AG1151" s="56">
        <f>IF(AQ1151="2",BI1151,0)</f>
      </c>
      <c r="AH1151" s="56">
        <f>IF(AQ1151="0",BJ1151,0)</f>
      </c>
      <c r="AI1151" s="28" t="s">
        <v>1820</v>
      </c>
      <c r="AJ1151" s="56">
        <f>IF(AN1151=0,J1151,0)</f>
      </c>
      <c r="AK1151" s="56">
        <f>IF(AN1151=12,J1151,0)</f>
      </c>
      <c r="AL1151" s="56">
        <f>IF(AN1151=21,J1151,0)</f>
      </c>
      <c r="AN1151" s="56" t="n">
        <v>21</v>
      </c>
      <c r="AO1151" s="56">
        <f>G1151*0</f>
      </c>
      <c r="AP1151" s="56">
        <f>G1151*(1-0)</f>
      </c>
      <c r="AQ1151" s="57" t="s">
        <v>61</v>
      </c>
      <c r="AV1151" s="56">
        <f>AW1151+AX1151</f>
      </c>
      <c r="AW1151" s="56">
        <f>F1151*AO1151</f>
      </c>
      <c r="AX1151" s="56">
        <f>F1151*AP1151</f>
      </c>
      <c r="AY1151" s="57" t="s">
        <v>1863</v>
      </c>
      <c r="AZ1151" s="57" t="s">
        <v>1825</v>
      </c>
      <c r="BA1151" s="28" t="s">
        <v>1826</v>
      </c>
      <c r="BC1151" s="56">
        <f>AW1151+AX1151</f>
      </c>
      <c r="BD1151" s="56">
        <f>G1151/(100-BE1151)*100</f>
      </c>
      <c r="BE1151" s="56" t="n">
        <v>0</v>
      </c>
      <c r="BF1151" s="56">
        <f>1151</f>
      </c>
      <c r="BH1151" s="56">
        <f>F1151*AO1151</f>
      </c>
      <c r="BI1151" s="56">
        <f>F1151*AP1151</f>
      </c>
      <c r="BJ1151" s="56">
        <f>F1151*G1151</f>
      </c>
      <c r="BK1151" s="56"/>
      <c r="BL1151" s="56"/>
      <c r="BW1151" s="56" t="n">
        <v>21</v>
      </c>
      <c r="BX1151" s="14" t="s">
        <v>1909</v>
      </c>
    </row>
    <row r="1152" customHeight="true" ht="13.5">
      <c r="A1152" s="112"/>
      <c r="C1152" s="81" t="s">
        <v>1937</v>
      </c>
      <c r="D1152" s="113"/>
      <c r="E1152" s="113"/>
      <c r="F1152" s="113"/>
      <c r="G1152" s="113"/>
      <c r="H1152" s="113"/>
      <c r="I1152" s="113"/>
      <c r="J1152" s="113"/>
      <c r="K1152" s="114"/>
    </row>
    <row r="1153">
      <c r="A1153" s="112"/>
      <c r="C1153" s="140" t="s">
        <v>213</v>
      </c>
      <c r="D1153" s="113" t="s">
        <v>53</v>
      </c>
      <c r="F1153" s="141" t="n">
        <v>25</v>
      </c>
      <c r="K1153" s="142"/>
    </row>
    <row r="1154" ht="24.75">
      <c r="A1154" s="9" t="s">
        <v>1938</v>
      </c>
      <c r="B1154" s="10" t="s">
        <v>1939</v>
      </c>
      <c r="C1154" s="14" t="s">
        <v>1909</v>
      </c>
      <c r="D1154" s="10"/>
      <c r="E1154" s="10" t="s">
        <v>393</v>
      </c>
      <c r="F1154" s="56" t="n">
        <v>615</v>
      </c>
      <c r="G1154" s="56" t="n">
        <v>0</v>
      </c>
      <c r="H1154" s="56">
        <f>F1154*AO1154</f>
      </c>
      <c r="I1154" s="56">
        <f>F1154*AP1154</f>
      </c>
      <c r="J1154" s="56">
        <f>F1154*G1154</f>
      </c>
      <c r="K1154" s="111" t="s">
        <v>71</v>
      </c>
      <c r="Z1154" s="56">
        <f>IF(AQ1154="5",BJ1154,0)</f>
      </c>
      <c r="AB1154" s="56">
        <f>IF(AQ1154="1",BH1154,0)</f>
      </c>
      <c r="AC1154" s="56">
        <f>IF(AQ1154="1",BI1154,0)</f>
      </c>
      <c r="AD1154" s="56">
        <f>IF(AQ1154="7",BH1154,0)</f>
      </c>
      <c r="AE1154" s="56">
        <f>IF(AQ1154="7",BI1154,0)</f>
      </c>
      <c r="AF1154" s="56">
        <f>IF(AQ1154="2",BH1154,0)</f>
      </c>
      <c r="AG1154" s="56">
        <f>IF(AQ1154="2",BI1154,0)</f>
      </c>
      <c r="AH1154" s="56">
        <f>IF(AQ1154="0",BJ1154,0)</f>
      </c>
      <c r="AI1154" s="28" t="s">
        <v>1820</v>
      </c>
      <c r="AJ1154" s="56">
        <f>IF(AN1154=0,J1154,0)</f>
      </c>
      <c r="AK1154" s="56">
        <f>IF(AN1154=12,J1154,0)</f>
      </c>
      <c r="AL1154" s="56">
        <f>IF(AN1154=21,J1154,0)</f>
      </c>
      <c r="AN1154" s="56" t="n">
        <v>21</v>
      </c>
      <c r="AO1154" s="56">
        <f>G1154*0</f>
      </c>
      <c r="AP1154" s="56">
        <f>G1154*(1-0)</f>
      </c>
      <c r="AQ1154" s="57" t="s">
        <v>61</v>
      </c>
      <c r="AV1154" s="56">
        <f>AW1154+AX1154</f>
      </c>
      <c r="AW1154" s="56">
        <f>F1154*AO1154</f>
      </c>
      <c r="AX1154" s="56">
        <f>F1154*AP1154</f>
      </c>
      <c r="AY1154" s="57" t="s">
        <v>1863</v>
      </c>
      <c r="AZ1154" s="57" t="s">
        <v>1825</v>
      </c>
      <c r="BA1154" s="28" t="s">
        <v>1826</v>
      </c>
      <c r="BC1154" s="56">
        <f>AW1154+AX1154</f>
      </c>
      <c r="BD1154" s="56">
        <f>G1154/(100-BE1154)*100</f>
      </c>
      <c r="BE1154" s="56" t="n">
        <v>0</v>
      </c>
      <c r="BF1154" s="56">
        <f>1154</f>
      </c>
      <c r="BH1154" s="56">
        <f>F1154*AO1154</f>
      </c>
      <c r="BI1154" s="56">
        <f>F1154*AP1154</f>
      </c>
      <c r="BJ1154" s="56">
        <f>F1154*G1154</f>
      </c>
      <c r="BK1154" s="56"/>
      <c r="BL1154" s="56"/>
      <c r="BW1154" s="56" t="n">
        <v>21</v>
      </c>
      <c r="BX1154" s="14" t="s">
        <v>1909</v>
      </c>
    </row>
    <row r="1155" customHeight="true" ht="13.5">
      <c r="A1155" s="112"/>
      <c r="C1155" s="81" t="s">
        <v>1940</v>
      </c>
      <c r="D1155" s="113"/>
      <c r="E1155" s="113"/>
      <c r="F1155" s="113"/>
      <c r="G1155" s="113"/>
      <c r="H1155" s="113"/>
      <c r="I1155" s="113"/>
      <c r="J1155" s="113"/>
      <c r="K1155" s="114"/>
    </row>
    <row r="1156">
      <c r="A1156" s="112"/>
      <c r="C1156" s="140" t="s">
        <v>1941</v>
      </c>
      <c r="D1156" s="113" t="s">
        <v>53</v>
      </c>
      <c r="F1156" s="141" t="n">
        <v>615</v>
      </c>
      <c r="K1156" s="142"/>
    </row>
    <row r="1157" ht="24.75">
      <c r="A1157" s="9" t="s">
        <v>1942</v>
      </c>
      <c r="B1157" s="10" t="s">
        <v>1943</v>
      </c>
      <c r="C1157" s="14" t="s">
        <v>1909</v>
      </c>
      <c r="D1157" s="10"/>
      <c r="E1157" s="10" t="s">
        <v>273</v>
      </c>
      <c r="F1157" s="56" t="n">
        <v>6</v>
      </c>
      <c r="G1157" s="56" t="n">
        <v>0</v>
      </c>
      <c r="H1157" s="56">
        <f>F1157*AO1157</f>
      </c>
      <c r="I1157" s="56">
        <f>F1157*AP1157</f>
      </c>
      <c r="J1157" s="56">
        <f>F1157*G1157</f>
      </c>
      <c r="K1157" s="111" t="s">
        <v>71</v>
      </c>
      <c r="Z1157" s="56">
        <f>IF(AQ1157="5",BJ1157,0)</f>
      </c>
      <c r="AB1157" s="56">
        <f>IF(AQ1157="1",BH1157,0)</f>
      </c>
      <c r="AC1157" s="56">
        <f>IF(AQ1157="1",BI1157,0)</f>
      </c>
      <c r="AD1157" s="56">
        <f>IF(AQ1157="7",BH1157,0)</f>
      </c>
      <c r="AE1157" s="56">
        <f>IF(AQ1157="7",BI1157,0)</f>
      </c>
      <c r="AF1157" s="56">
        <f>IF(AQ1157="2",BH1157,0)</f>
      </c>
      <c r="AG1157" s="56">
        <f>IF(AQ1157="2",BI1157,0)</f>
      </c>
      <c r="AH1157" s="56">
        <f>IF(AQ1157="0",BJ1157,0)</f>
      </c>
      <c r="AI1157" s="28" t="s">
        <v>1820</v>
      </c>
      <c r="AJ1157" s="56">
        <f>IF(AN1157=0,J1157,0)</f>
      </c>
      <c r="AK1157" s="56">
        <f>IF(AN1157=12,J1157,0)</f>
      </c>
      <c r="AL1157" s="56">
        <f>IF(AN1157=21,J1157,0)</f>
      </c>
      <c r="AN1157" s="56" t="n">
        <v>21</v>
      </c>
      <c r="AO1157" s="56">
        <f>G1157*0</f>
      </c>
      <c r="AP1157" s="56">
        <f>G1157*(1-0)</f>
      </c>
      <c r="AQ1157" s="57" t="s">
        <v>61</v>
      </c>
      <c r="AV1157" s="56">
        <f>AW1157+AX1157</f>
      </c>
      <c r="AW1157" s="56">
        <f>F1157*AO1157</f>
      </c>
      <c r="AX1157" s="56">
        <f>F1157*AP1157</f>
      </c>
      <c r="AY1157" s="57" t="s">
        <v>1863</v>
      </c>
      <c r="AZ1157" s="57" t="s">
        <v>1825</v>
      </c>
      <c r="BA1157" s="28" t="s">
        <v>1826</v>
      </c>
      <c r="BC1157" s="56">
        <f>AW1157+AX1157</f>
      </c>
      <c r="BD1157" s="56">
        <f>G1157/(100-BE1157)*100</f>
      </c>
      <c r="BE1157" s="56" t="n">
        <v>0</v>
      </c>
      <c r="BF1157" s="56">
        <f>1157</f>
      </c>
      <c r="BH1157" s="56">
        <f>F1157*AO1157</f>
      </c>
      <c r="BI1157" s="56">
        <f>F1157*AP1157</f>
      </c>
      <c r="BJ1157" s="56">
        <f>F1157*G1157</f>
      </c>
      <c r="BK1157" s="56"/>
      <c r="BL1157" s="56"/>
      <c r="BW1157" s="56" t="n">
        <v>21</v>
      </c>
      <c r="BX1157" s="14" t="s">
        <v>1909</v>
      </c>
    </row>
    <row r="1158" customHeight="true" ht="13.5">
      <c r="A1158" s="112"/>
      <c r="C1158" s="81" t="s">
        <v>1944</v>
      </c>
      <c r="D1158" s="113"/>
      <c r="E1158" s="113"/>
      <c r="F1158" s="113"/>
      <c r="G1158" s="113"/>
      <c r="H1158" s="113"/>
      <c r="I1158" s="113"/>
      <c r="J1158" s="113"/>
      <c r="K1158" s="114"/>
    </row>
    <row r="1159">
      <c r="A1159" s="112"/>
      <c r="C1159" s="140" t="s">
        <v>82</v>
      </c>
      <c r="D1159" s="113" t="s">
        <v>53</v>
      </c>
      <c r="F1159" s="141" t="n">
        <v>6</v>
      </c>
      <c r="K1159" s="142"/>
    </row>
    <row r="1160">
      <c r="A1160" s="9" t="s">
        <v>1945</v>
      </c>
      <c r="B1160" s="10" t="s">
        <v>1946</v>
      </c>
      <c r="C1160" s="14" t="s">
        <v>1947</v>
      </c>
      <c r="D1160" s="10"/>
      <c r="E1160" s="10" t="s">
        <v>393</v>
      </c>
      <c r="F1160" s="56" t="n">
        <v>140</v>
      </c>
      <c r="G1160" s="56" t="n">
        <v>0</v>
      </c>
      <c r="H1160" s="56">
        <f>F1160*AO1160</f>
      </c>
      <c r="I1160" s="56">
        <f>F1160*AP1160</f>
      </c>
      <c r="J1160" s="56">
        <f>F1160*G1160</f>
      </c>
      <c r="K1160" s="111" t="s">
        <v>71</v>
      </c>
      <c r="Z1160" s="56">
        <f>IF(AQ1160="5",BJ1160,0)</f>
      </c>
      <c r="AB1160" s="56">
        <f>IF(AQ1160="1",BH1160,0)</f>
      </c>
      <c r="AC1160" s="56">
        <f>IF(AQ1160="1",BI1160,0)</f>
      </c>
      <c r="AD1160" s="56">
        <f>IF(AQ1160="7",BH1160,0)</f>
      </c>
      <c r="AE1160" s="56">
        <f>IF(AQ1160="7",BI1160,0)</f>
      </c>
      <c r="AF1160" s="56">
        <f>IF(AQ1160="2",BH1160,0)</f>
      </c>
      <c r="AG1160" s="56">
        <f>IF(AQ1160="2",BI1160,0)</f>
      </c>
      <c r="AH1160" s="56">
        <f>IF(AQ1160="0",BJ1160,0)</f>
      </c>
      <c r="AI1160" s="28" t="s">
        <v>1820</v>
      </c>
      <c r="AJ1160" s="56">
        <f>IF(AN1160=0,J1160,0)</f>
      </c>
      <c r="AK1160" s="56">
        <f>IF(AN1160=12,J1160,0)</f>
      </c>
      <c r="AL1160" s="56">
        <f>IF(AN1160=21,J1160,0)</f>
      </c>
      <c r="AN1160" s="56" t="n">
        <v>21</v>
      </c>
      <c r="AO1160" s="56">
        <f>G1160*0</f>
      </c>
      <c r="AP1160" s="56">
        <f>G1160*(1-0)</f>
      </c>
      <c r="AQ1160" s="57" t="s">
        <v>61</v>
      </c>
      <c r="AV1160" s="56">
        <f>AW1160+AX1160</f>
      </c>
      <c r="AW1160" s="56">
        <f>F1160*AO1160</f>
      </c>
      <c r="AX1160" s="56">
        <f>F1160*AP1160</f>
      </c>
      <c r="AY1160" s="57" t="s">
        <v>1863</v>
      </c>
      <c r="AZ1160" s="57" t="s">
        <v>1825</v>
      </c>
      <c r="BA1160" s="28" t="s">
        <v>1826</v>
      </c>
      <c r="BC1160" s="56">
        <f>AW1160+AX1160</f>
      </c>
      <c r="BD1160" s="56">
        <f>G1160/(100-BE1160)*100</f>
      </c>
      <c r="BE1160" s="56" t="n">
        <v>0</v>
      </c>
      <c r="BF1160" s="56">
        <f>1160</f>
      </c>
      <c r="BH1160" s="56">
        <f>F1160*AO1160</f>
      </c>
      <c r="BI1160" s="56">
        <f>F1160*AP1160</f>
      </c>
      <c r="BJ1160" s="56">
        <f>F1160*G1160</f>
      </c>
      <c r="BK1160" s="56"/>
      <c r="BL1160" s="56"/>
      <c r="BW1160" s="56" t="n">
        <v>21</v>
      </c>
      <c r="BX1160" s="14" t="s">
        <v>1947</v>
      </c>
    </row>
    <row r="1161" customHeight="true" ht="13.5">
      <c r="A1161" s="112"/>
      <c r="C1161" s="81" t="s">
        <v>1948</v>
      </c>
      <c r="D1161" s="113"/>
      <c r="E1161" s="113"/>
      <c r="F1161" s="113"/>
      <c r="G1161" s="113"/>
      <c r="H1161" s="113"/>
      <c r="I1161" s="113"/>
      <c r="J1161" s="113"/>
      <c r="K1161" s="114"/>
    </row>
    <row r="1162">
      <c r="A1162" s="112"/>
      <c r="C1162" s="140" t="s">
        <v>982</v>
      </c>
      <c r="D1162" s="113" t="s">
        <v>53</v>
      </c>
      <c r="F1162" s="141" t="n">
        <v>140</v>
      </c>
      <c r="K1162" s="142"/>
    </row>
    <row r="1163">
      <c r="A1163" s="9" t="s">
        <v>1949</v>
      </c>
      <c r="B1163" s="10" t="s">
        <v>1950</v>
      </c>
      <c r="C1163" s="14" t="s">
        <v>1947</v>
      </c>
      <c r="D1163" s="10"/>
      <c r="E1163" s="10" t="s">
        <v>393</v>
      </c>
      <c r="F1163" s="56" t="n">
        <v>715</v>
      </c>
      <c r="G1163" s="56" t="n">
        <v>0</v>
      </c>
      <c r="H1163" s="56">
        <f>F1163*AO1163</f>
      </c>
      <c r="I1163" s="56">
        <f>F1163*AP1163</f>
      </c>
      <c r="J1163" s="56">
        <f>F1163*G1163</f>
      </c>
      <c r="K1163" s="111" t="s">
        <v>71</v>
      </c>
      <c r="Z1163" s="56">
        <f>IF(AQ1163="5",BJ1163,0)</f>
      </c>
      <c r="AB1163" s="56">
        <f>IF(AQ1163="1",BH1163,0)</f>
      </c>
      <c r="AC1163" s="56">
        <f>IF(AQ1163="1",BI1163,0)</f>
      </c>
      <c r="AD1163" s="56">
        <f>IF(AQ1163="7",BH1163,0)</f>
      </c>
      <c r="AE1163" s="56">
        <f>IF(AQ1163="7",BI1163,0)</f>
      </c>
      <c r="AF1163" s="56">
        <f>IF(AQ1163="2",BH1163,0)</f>
      </c>
      <c r="AG1163" s="56">
        <f>IF(AQ1163="2",BI1163,0)</f>
      </c>
      <c r="AH1163" s="56">
        <f>IF(AQ1163="0",BJ1163,0)</f>
      </c>
      <c r="AI1163" s="28" t="s">
        <v>1820</v>
      </c>
      <c r="AJ1163" s="56">
        <f>IF(AN1163=0,J1163,0)</f>
      </c>
      <c r="AK1163" s="56">
        <f>IF(AN1163=12,J1163,0)</f>
      </c>
      <c r="AL1163" s="56">
        <f>IF(AN1163=21,J1163,0)</f>
      </c>
      <c r="AN1163" s="56" t="n">
        <v>21</v>
      </c>
      <c r="AO1163" s="56">
        <f>G1163*0</f>
      </c>
      <c r="AP1163" s="56">
        <f>G1163*(1-0)</f>
      </c>
      <c r="AQ1163" s="57" t="s">
        <v>61</v>
      </c>
      <c r="AV1163" s="56">
        <f>AW1163+AX1163</f>
      </c>
      <c r="AW1163" s="56">
        <f>F1163*AO1163</f>
      </c>
      <c r="AX1163" s="56">
        <f>F1163*AP1163</f>
      </c>
      <c r="AY1163" s="57" t="s">
        <v>1863</v>
      </c>
      <c r="AZ1163" s="57" t="s">
        <v>1825</v>
      </c>
      <c r="BA1163" s="28" t="s">
        <v>1826</v>
      </c>
      <c r="BC1163" s="56">
        <f>AW1163+AX1163</f>
      </c>
      <c r="BD1163" s="56">
        <f>G1163/(100-BE1163)*100</f>
      </c>
      <c r="BE1163" s="56" t="n">
        <v>0</v>
      </c>
      <c r="BF1163" s="56">
        <f>1163</f>
      </c>
      <c r="BH1163" s="56">
        <f>F1163*AO1163</f>
      </c>
      <c r="BI1163" s="56">
        <f>F1163*AP1163</f>
      </c>
      <c r="BJ1163" s="56">
        <f>F1163*G1163</f>
      </c>
      <c r="BK1163" s="56"/>
      <c r="BL1163" s="56"/>
      <c r="BW1163" s="56" t="n">
        <v>21</v>
      </c>
      <c r="BX1163" s="14" t="s">
        <v>1947</v>
      </c>
    </row>
    <row r="1164" customHeight="true" ht="13.5">
      <c r="A1164" s="112"/>
      <c r="C1164" s="81" t="s">
        <v>1951</v>
      </c>
      <c r="D1164" s="113"/>
      <c r="E1164" s="113"/>
      <c r="F1164" s="113"/>
      <c r="G1164" s="113"/>
      <c r="H1164" s="113"/>
      <c r="I1164" s="113"/>
      <c r="J1164" s="113"/>
      <c r="K1164" s="114"/>
    </row>
    <row r="1165">
      <c r="A1165" s="112"/>
      <c r="C1165" s="140" t="s">
        <v>1952</v>
      </c>
      <c r="D1165" s="113" t="s">
        <v>53</v>
      </c>
      <c r="F1165" s="141" t="n">
        <v>715</v>
      </c>
      <c r="K1165" s="142"/>
    </row>
    <row r="1166">
      <c r="A1166" s="9" t="s">
        <v>1953</v>
      </c>
      <c r="B1166" s="10" t="s">
        <v>1954</v>
      </c>
      <c r="C1166" s="14" t="s">
        <v>1947</v>
      </c>
      <c r="D1166" s="10"/>
      <c r="E1166" s="10" t="s">
        <v>273</v>
      </c>
      <c r="F1166" s="56" t="n">
        <v>15</v>
      </c>
      <c r="G1166" s="56" t="n">
        <v>0</v>
      </c>
      <c r="H1166" s="56">
        <f>F1166*AO1166</f>
      </c>
      <c r="I1166" s="56">
        <f>F1166*AP1166</f>
      </c>
      <c r="J1166" s="56">
        <f>F1166*G1166</f>
      </c>
      <c r="K1166" s="111" t="s">
        <v>71</v>
      </c>
      <c r="Z1166" s="56">
        <f>IF(AQ1166="5",BJ1166,0)</f>
      </c>
      <c r="AB1166" s="56">
        <f>IF(AQ1166="1",BH1166,0)</f>
      </c>
      <c r="AC1166" s="56">
        <f>IF(AQ1166="1",BI1166,0)</f>
      </c>
      <c r="AD1166" s="56">
        <f>IF(AQ1166="7",BH1166,0)</f>
      </c>
      <c r="AE1166" s="56">
        <f>IF(AQ1166="7",BI1166,0)</f>
      </c>
      <c r="AF1166" s="56">
        <f>IF(AQ1166="2",BH1166,0)</f>
      </c>
      <c r="AG1166" s="56">
        <f>IF(AQ1166="2",BI1166,0)</f>
      </c>
      <c r="AH1166" s="56">
        <f>IF(AQ1166="0",BJ1166,0)</f>
      </c>
      <c r="AI1166" s="28" t="s">
        <v>1820</v>
      </c>
      <c r="AJ1166" s="56">
        <f>IF(AN1166=0,J1166,0)</f>
      </c>
      <c r="AK1166" s="56">
        <f>IF(AN1166=12,J1166,0)</f>
      </c>
      <c r="AL1166" s="56">
        <f>IF(AN1166=21,J1166,0)</f>
      </c>
      <c r="AN1166" s="56" t="n">
        <v>21</v>
      </c>
      <c r="AO1166" s="56">
        <f>G1166*0</f>
      </c>
      <c r="AP1166" s="56">
        <f>G1166*(1-0)</f>
      </c>
      <c r="AQ1166" s="57" t="s">
        <v>61</v>
      </c>
      <c r="AV1166" s="56">
        <f>AW1166+AX1166</f>
      </c>
      <c r="AW1166" s="56">
        <f>F1166*AO1166</f>
      </c>
      <c r="AX1166" s="56">
        <f>F1166*AP1166</f>
      </c>
      <c r="AY1166" s="57" t="s">
        <v>1863</v>
      </c>
      <c r="AZ1166" s="57" t="s">
        <v>1825</v>
      </c>
      <c r="BA1166" s="28" t="s">
        <v>1826</v>
      </c>
      <c r="BC1166" s="56">
        <f>AW1166+AX1166</f>
      </c>
      <c r="BD1166" s="56">
        <f>G1166/(100-BE1166)*100</f>
      </c>
      <c r="BE1166" s="56" t="n">
        <v>0</v>
      </c>
      <c r="BF1166" s="56">
        <f>1166</f>
      </c>
      <c r="BH1166" s="56">
        <f>F1166*AO1166</f>
      </c>
      <c r="BI1166" s="56">
        <f>F1166*AP1166</f>
      </c>
      <c r="BJ1166" s="56">
        <f>F1166*G1166</f>
      </c>
      <c r="BK1166" s="56"/>
      <c r="BL1166" s="56"/>
      <c r="BW1166" s="56" t="n">
        <v>21</v>
      </c>
      <c r="BX1166" s="14" t="s">
        <v>1947</v>
      </c>
    </row>
    <row r="1167" customHeight="true" ht="13.5">
      <c r="A1167" s="112"/>
      <c r="C1167" s="81" t="s">
        <v>1955</v>
      </c>
      <c r="D1167" s="113"/>
      <c r="E1167" s="113"/>
      <c r="F1167" s="113"/>
      <c r="G1167" s="113"/>
      <c r="H1167" s="113"/>
      <c r="I1167" s="113"/>
      <c r="J1167" s="113"/>
      <c r="K1167" s="114"/>
    </row>
    <row r="1168">
      <c r="A1168" s="112"/>
      <c r="C1168" s="140" t="s">
        <v>137</v>
      </c>
      <c r="D1168" s="113" t="s">
        <v>53</v>
      </c>
      <c r="F1168" s="141" t="n">
        <v>15</v>
      </c>
      <c r="K1168" s="142"/>
    </row>
    <row r="1169">
      <c r="A1169" s="9" t="s">
        <v>1956</v>
      </c>
      <c r="B1169" s="10" t="s">
        <v>1957</v>
      </c>
      <c r="C1169" s="14" t="s">
        <v>1947</v>
      </c>
      <c r="D1169" s="10"/>
      <c r="E1169" s="10" t="s">
        <v>273</v>
      </c>
      <c r="F1169" s="56" t="n">
        <v>2</v>
      </c>
      <c r="G1169" s="56" t="n">
        <v>0</v>
      </c>
      <c r="H1169" s="56">
        <f>F1169*AO1169</f>
      </c>
      <c r="I1169" s="56">
        <f>F1169*AP1169</f>
      </c>
      <c r="J1169" s="56">
        <f>F1169*G1169</f>
      </c>
      <c r="K1169" s="111" t="s">
        <v>71</v>
      </c>
      <c r="Z1169" s="56">
        <f>IF(AQ1169="5",BJ1169,0)</f>
      </c>
      <c r="AB1169" s="56">
        <f>IF(AQ1169="1",BH1169,0)</f>
      </c>
      <c r="AC1169" s="56">
        <f>IF(AQ1169="1",BI1169,0)</f>
      </c>
      <c r="AD1169" s="56">
        <f>IF(AQ1169="7",BH1169,0)</f>
      </c>
      <c r="AE1169" s="56">
        <f>IF(AQ1169="7",BI1169,0)</f>
      </c>
      <c r="AF1169" s="56">
        <f>IF(AQ1169="2",BH1169,0)</f>
      </c>
      <c r="AG1169" s="56">
        <f>IF(AQ1169="2",BI1169,0)</f>
      </c>
      <c r="AH1169" s="56">
        <f>IF(AQ1169="0",BJ1169,0)</f>
      </c>
      <c r="AI1169" s="28" t="s">
        <v>1820</v>
      </c>
      <c r="AJ1169" s="56">
        <f>IF(AN1169=0,J1169,0)</f>
      </c>
      <c r="AK1169" s="56">
        <f>IF(AN1169=12,J1169,0)</f>
      </c>
      <c r="AL1169" s="56">
        <f>IF(AN1169=21,J1169,0)</f>
      </c>
      <c r="AN1169" s="56" t="n">
        <v>21</v>
      </c>
      <c r="AO1169" s="56">
        <f>G1169*0</f>
      </c>
      <c r="AP1169" s="56">
        <f>G1169*(1-0)</f>
      </c>
      <c r="AQ1169" s="57" t="s">
        <v>61</v>
      </c>
      <c r="AV1169" s="56">
        <f>AW1169+AX1169</f>
      </c>
      <c r="AW1169" s="56">
        <f>F1169*AO1169</f>
      </c>
      <c r="AX1169" s="56">
        <f>F1169*AP1169</f>
      </c>
      <c r="AY1169" s="57" t="s">
        <v>1863</v>
      </c>
      <c r="AZ1169" s="57" t="s">
        <v>1825</v>
      </c>
      <c r="BA1169" s="28" t="s">
        <v>1826</v>
      </c>
      <c r="BC1169" s="56">
        <f>AW1169+AX1169</f>
      </c>
      <c r="BD1169" s="56">
        <f>G1169/(100-BE1169)*100</f>
      </c>
      <c r="BE1169" s="56" t="n">
        <v>0</v>
      </c>
      <c r="BF1169" s="56">
        <f>1169</f>
      </c>
      <c r="BH1169" s="56">
        <f>F1169*AO1169</f>
      </c>
      <c r="BI1169" s="56">
        <f>F1169*AP1169</f>
      </c>
      <c r="BJ1169" s="56">
        <f>F1169*G1169</f>
      </c>
      <c r="BK1169" s="56"/>
      <c r="BL1169" s="56"/>
      <c r="BW1169" s="56" t="n">
        <v>21</v>
      </c>
      <c r="BX1169" s="14" t="s">
        <v>1947</v>
      </c>
    </row>
    <row r="1170" customHeight="true" ht="13.5">
      <c r="A1170" s="112"/>
      <c r="C1170" s="81" t="s">
        <v>1958</v>
      </c>
      <c r="D1170" s="113"/>
      <c r="E1170" s="113"/>
      <c r="F1170" s="113"/>
      <c r="G1170" s="113"/>
      <c r="H1170" s="113"/>
      <c r="I1170" s="113"/>
      <c r="J1170" s="113"/>
      <c r="K1170" s="114"/>
    </row>
    <row r="1171">
      <c r="A1171" s="112"/>
      <c r="C1171" s="140" t="s">
        <v>61</v>
      </c>
      <c r="D1171" s="113" t="s">
        <v>53</v>
      </c>
      <c r="F1171" s="141" t="n">
        <v>2</v>
      </c>
      <c r="K1171" s="142"/>
    </row>
    <row r="1172">
      <c r="A1172" s="9" t="s">
        <v>1959</v>
      </c>
      <c r="B1172" s="10" t="s">
        <v>1960</v>
      </c>
      <c r="C1172" s="14" t="s">
        <v>1961</v>
      </c>
      <c r="D1172" s="10"/>
      <c r="E1172" s="10" t="s">
        <v>273</v>
      </c>
      <c r="F1172" s="56" t="n">
        <v>5</v>
      </c>
      <c r="G1172" s="56" t="n">
        <v>0</v>
      </c>
      <c r="H1172" s="56">
        <f>F1172*AO1172</f>
      </c>
      <c r="I1172" s="56">
        <f>F1172*AP1172</f>
      </c>
      <c r="J1172" s="56">
        <f>F1172*G1172</f>
      </c>
      <c r="K1172" s="111" t="s">
        <v>71</v>
      </c>
      <c r="Z1172" s="56">
        <f>IF(AQ1172="5",BJ1172,0)</f>
      </c>
      <c r="AB1172" s="56">
        <f>IF(AQ1172="1",BH1172,0)</f>
      </c>
      <c r="AC1172" s="56">
        <f>IF(AQ1172="1",BI1172,0)</f>
      </c>
      <c r="AD1172" s="56">
        <f>IF(AQ1172="7",BH1172,0)</f>
      </c>
      <c r="AE1172" s="56">
        <f>IF(AQ1172="7",BI1172,0)</f>
      </c>
      <c r="AF1172" s="56">
        <f>IF(AQ1172="2",BH1172,0)</f>
      </c>
      <c r="AG1172" s="56">
        <f>IF(AQ1172="2",BI1172,0)</f>
      </c>
      <c r="AH1172" s="56">
        <f>IF(AQ1172="0",BJ1172,0)</f>
      </c>
      <c r="AI1172" s="28" t="s">
        <v>1820</v>
      </c>
      <c r="AJ1172" s="56">
        <f>IF(AN1172=0,J1172,0)</f>
      </c>
      <c r="AK1172" s="56">
        <f>IF(AN1172=12,J1172,0)</f>
      </c>
      <c r="AL1172" s="56">
        <f>IF(AN1172=21,J1172,0)</f>
      </c>
      <c r="AN1172" s="56" t="n">
        <v>21</v>
      </c>
      <c r="AO1172" s="56">
        <f>G1172*0</f>
      </c>
      <c r="AP1172" s="56">
        <f>G1172*(1-0)</f>
      </c>
      <c r="AQ1172" s="57" t="s">
        <v>61</v>
      </c>
      <c r="AV1172" s="56">
        <f>AW1172+AX1172</f>
      </c>
      <c r="AW1172" s="56">
        <f>F1172*AO1172</f>
      </c>
      <c r="AX1172" s="56">
        <f>F1172*AP1172</f>
      </c>
      <c r="AY1172" s="57" t="s">
        <v>1863</v>
      </c>
      <c r="AZ1172" s="57" t="s">
        <v>1825</v>
      </c>
      <c r="BA1172" s="28" t="s">
        <v>1826</v>
      </c>
      <c r="BC1172" s="56">
        <f>AW1172+AX1172</f>
      </c>
      <c r="BD1172" s="56">
        <f>G1172/(100-BE1172)*100</f>
      </c>
      <c r="BE1172" s="56" t="n">
        <v>0</v>
      </c>
      <c r="BF1172" s="56">
        <f>1172</f>
      </c>
      <c r="BH1172" s="56">
        <f>F1172*AO1172</f>
      </c>
      <c r="BI1172" s="56">
        <f>F1172*AP1172</f>
      </c>
      <c r="BJ1172" s="56">
        <f>F1172*G1172</f>
      </c>
      <c r="BK1172" s="56"/>
      <c r="BL1172" s="56"/>
      <c r="BW1172" s="56" t="n">
        <v>21</v>
      </c>
      <c r="BX1172" s="14" t="s">
        <v>1961</v>
      </c>
    </row>
    <row r="1173">
      <c r="A1173" s="112"/>
      <c r="C1173" s="140" t="s">
        <v>79</v>
      </c>
      <c r="D1173" s="113" t="s">
        <v>53</v>
      </c>
      <c r="F1173" s="141" t="n">
        <v>5</v>
      </c>
      <c r="K1173" s="142"/>
    </row>
    <row r="1174">
      <c r="A1174" s="9" t="s">
        <v>1962</v>
      </c>
      <c r="B1174" s="10" t="s">
        <v>1963</v>
      </c>
      <c r="C1174" s="14" t="s">
        <v>1964</v>
      </c>
      <c r="D1174" s="10"/>
      <c r="E1174" s="10" t="s">
        <v>393</v>
      </c>
      <c r="F1174" s="56" t="n">
        <v>130</v>
      </c>
      <c r="G1174" s="56" t="n">
        <v>0</v>
      </c>
      <c r="H1174" s="56">
        <f>F1174*AO1174</f>
      </c>
      <c r="I1174" s="56">
        <f>F1174*AP1174</f>
      </c>
      <c r="J1174" s="56">
        <f>F1174*G1174</f>
      </c>
      <c r="K1174" s="111" t="s">
        <v>71</v>
      </c>
      <c r="Z1174" s="56">
        <f>IF(AQ1174="5",BJ1174,0)</f>
      </c>
      <c r="AB1174" s="56">
        <f>IF(AQ1174="1",BH1174,0)</f>
      </c>
      <c r="AC1174" s="56">
        <f>IF(AQ1174="1",BI1174,0)</f>
      </c>
      <c r="AD1174" s="56">
        <f>IF(AQ1174="7",BH1174,0)</f>
      </c>
      <c r="AE1174" s="56">
        <f>IF(AQ1174="7",BI1174,0)</f>
      </c>
      <c r="AF1174" s="56">
        <f>IF(AQ1174="2",BH1174,0)</f>
      </c>
      <c r="AG1174" s="56">
        <f>IF(AQ1174="2",BI1174,0)</f>
      </c>
      <c r="AH1174" s="56">
        <f>IF(AQ1174="0",BJ1174,0)</f>
      </c>
      <c r="AI1174" s="28" t="s">
        <v>1820</v>
      </c>
      <c r="AJ1174" s="56">
        <f>IF(AN1174=0,J1174,0)</f>
      </c>
      <c r="AK1174" s="56">
        <f>IF(AN1174=12,J1174,0)</f>
      </c>
      <c r="AL1174" s="56">
        <f>IF(AN1174=21,J1174,0)</f>
      </c>
      <c r="AN1174" s="56" t="n">
        <v>21</v>
      </c>
      <c r="AO1174" s="56">
        <f>G1174*0</f>
      </c>
      <c r="AP1174" s="56">
        <f>G1174*(1-0)</f>
      </c>
      <c r="AQ1174" s="57" t="s">
        <v>61</v>
      </c>
      <c r="AV1174" s="56">
        <f>AW1174+AX1174</f>
      </c>
      <c r="AW1174" s="56">
        <f>F1174*AO1174</f>
      </c>
      <c r="AX1174" s="56">
        <f>F1174*AP1174</f>
      </c>
      <c r="AY1174" s="57" t="s">
        <v>1863</v>
      </c>
      <c r="AZ1174" s="57" t="s">
        <v>1825</v>
      </c>
      <c r="BA1174" s="28" t="s">
        <v>1826</v>
      </c>
      <c r="BC1174" s="56">
        <f>AW1174+AX1174</f>
      </c>
      <c r="BD1174" s="56">
        <f>G1174/(100-BE1174)*100</f>
      </c>
      <c r="BE1174" s="56" t="n">
        <v>0</v>
      </c>
      <c r="BF1174" s="56">
        <f>1174</f>
      </c>
      <c r="BH1174" s="56">
        <f>F1174*AO1174</f>
      </c>
      <c r="BI1174" s="56">
        <f>F1174*AP1174</f>
      </c>
      <c r="BJ1174" s="56">
        <f>F1174*G1174</f>
      </c>
      <c r="BK1174" s="56"/>
      <c r="BL1174" s="56"/>
      <c r="BW1174" s="56" t="n">
        <v>21</v>
      </c>
      <c r="BX1174" s="14" t="s">
        <v>1964</v>
      </c>
    </row>
    <row r="1175">
      <c r="A1175" s="112"/>
      <c r="C1175" s="140" t="s">
        <v>921</v>
      </c>
      <c r="D1175" s="113" t="s">
        <v>53</v>
      </c>
      <c r="F1175" s="141" t="n">
        <v>130</v>
      </c>
      <c r="K1175" s="142"/>
    </row>
    <row r="1176">
      <c r="A1176" s="9" t="s">
        <v>1965</v>
      </c>
      <c r="B1176" s="10" t="s">
        <v>1966</v>
      </c>
      <c r="C1176" s="14" t="s">
        <v>1967</v>
      </c>
      <c r="D1176" s="10"/>
      <c r="E1176" s="10" t="s">
        <v>393</v>
      </c>
      <c r="F1176" s="56" t="n">
        <v>130</v>
      </c>
      <c r="G1176" s="56" t="n">
        <v>0</v>
      </c>
      <c r="H1176" s="56">
        <f>F1176*AO1176</f>
      </c>
      <c r="I1176" s="56">
        <f>F1176*AP1176</f>
      </c>
      <c r="J1176" s="56">
        <f>F1176*G1176</f>
      </c>
      <c r="K1176" s="111" t="s">
        <v>71</v>
      </c>
      <c r="Z1176" s="56">
        <f>IF(AQ1176="5",BJ1176,0)</f>
      </c>
      <c r="AB1176" s="56">
        <f>IF(AQ1176="1",BH1176,0)</f>
      </c>
      <c r="AC1176" s="56">
        <f>IF(AQ1176="1",BI1176,0)</f>
      </c>
      <c r="AD1176" s="56">
        <f>IF(AQ1176="7",BH1176,0)</f>
      </c>
      <c r="AE1176" s="56">
        <f>IF(AQ1176="7",BI1176,0)</f>
      </c>
      <c r="AF1176" s="56">
        <f>IF(AQ1176="2",BH1176,0)</f>
      </c>
      <c r="AG1176" s="56">
        <f>IF(AQ1176="2",BI1176,0)</f>
      </c>
      <c r="AH1176" s="56">
        <f>IF(AQ1176="0",BJ1176,0)</f>
      </c>
      <c r="AI1176" s="28" t="s">
        <v>1820</v>
      </c>
      <c r="AJ1176" s="56">
        <f>IF(AN1176=0,J1176,0)</f>
      </c>
      <c r="AK1176" s="56">
        <f>IF(AN1176=12,J1176,0)</f>
      </c>
      <c r="AL1176" s="56">
        <f>IF(AN1176=21,J1176,0)</f>
      </c>
      <c r="AN1176" s="56" t="n">
        <v>21</v>
      </c>
      <c r="AO1176" s="56">
        <f>G1176*0</f>
      </c>
      <c r="AP1176" s="56">
        <f>G1176*(1-0)</f>
      </c>
      <c r="AQ1176" s="57" t="s">
        <v>61</v>
      </c>
      <c r="AV1176" s="56">
        <f>AW1176+AX1176</f>
      </c>
      <c r="AW1176" s="56">
        <f>F1176*AO1176</f>
      </c>
      <c r="AX1176" s="56">
        <f>F1176*AP1176</f>
      </c>
      <c r="AY1176" s="57" t="s">
        <v>1863</v>
      </c>
      <c r="AZ1176" s="57" t="s">
        <v>1825</v>
      </c>
      <c r="BA1176" s="28" t="s">
        <v>1826</v>
      </c>
      <c r="BC1176" s="56">
        <f>AW1176+AX1176</f>
      </c>
      <c r="BD1176" s="56">
        <f>G1176/(100-BE1176)*100</f>
      </c>
      <c r="BE1176" s="56" t="n">
        <v>0</v>
      </c>
      <c r="BF1176" s="56">
        <f>1176</f>
      </c>
      <c r="BH1176" s="56">
        <f>F1176*AO1176</f>
      </c>
      <c r="BI1176" s="56">
        <f>F1176*AP1176</f>
      </c>
      <c r="BJ1176" s="56">
        <f>F1176*G1176</f>
      </c>
      <c r="BK1176" s="56"/>
      <c r="BL1176" s="56"/>
      <c r="BW1176" s="56" t="n">
        <v>21</v>
      </c>
      <c r="BX1176" s="14" t="s">
        <v>1967</v>
      </c>
    </row>
    <row r="1177">
      <c r="A1177" s="112"/>
      <c r="C1177" s="140" t="s">
        <v>921</v>
      </c>
      <c r="D1177" s="113" t="s">
        <v>53</v>
      </c>
      <c r="F1177" s="141" t="n">
        <v>130</v>
      </c>
      <c r="K1177" s="142"/>
    </row>
    <row r="1178">
      <c r="A1178" s="9" t="s">
        <v>1968</v>
      </c>
      <c r="B1178" s="10" t="s">
        <v>1969</v>
      </c>
      <c r="C1178" s="14" t="s">
        <v>1970</v>
      </c>
      <c r="D1178" s="10"/>
      <c r="E1178" s="10" t="s">
        <v>393</v>
      </c>
      <c r="F1178" s="56" t="n">
        <v>130</v>
      </c>
      <c r="G1178" s="56" t="n">
        <v>0</v>
      </c>
      <c r="H1178" s="56">
        <f>F1178*AO1178</f>
      </c>
      <c r="I1178" s="56">
        <f>F1178*AP1178</f>
      </c>
      <c r="J1178" s="56">
        <f>F1178*G1178</f>
      </c>
      <c r="K1178" s="111" t="s">
        <v>71</v>
      </c>
      <c r="Z1178" s="56">
        <f>IF(AQ1178="5",BJ1178,0)</f>
      </c>
      <c r="AB1178" s="56">
        <f>IF(AQ1178="1",BH1178,0)</f>
      </c>
      <c r="AC1178" s="56">
        <f>IF(AQ1178="1",BI1178,0)</f>
      </c>
      <c r="AD1178" s="56">
        <f>IF(AQ1178="7",BH1178,0)</f>
      </c>
      <c r="AE1178" s="56">
        <f>IF(AQ1178="7",BI1178,0)</f>
      </c>
      <c r="AF1178" s="56">
        <f>IF(AQ1178="2",BH1178,0)</f>
      </c>
      <c r="AG1178" s="56">
        <f>IF(AQ1178="2",BI1178,0)</f>
      </c>
      <c r="AH1178" s="56">
        <f>IF(AQ1178="0",BJ1178,0)</f>
      </c>
      <c r="AI1178" s="28" t="s">
        <v>1820</v>
      </c>
      <c r="AJ1178" s="56">
        <f>IF(AN1178=0,J1178,0)</f>
      </c>
      <c r="AK1178" s="56">
        <f>IF(AN1178=12,J1178,0)</f>
      </c>
      <c r="AL1178" s="56">
        <f>IF(AN1178=21,J1178,0)</f>
      </c>
      <c r="AN1178" s="56" t="n">
        <v>21</v>
      </c>
      <c r="AO1178" s="56">
        <f>G1178*0</f>
      </c>
      <c r="AP1178" s="56">
        <f>G1178*(1-0)</f>
      </c>
      <c r="AQ1178" s="57" t="s">
        <v>61</v>
      </c>
      <c r="AV1178" s="56">
        <f>AW1178+AX1178</f>
      </c>
      <c r="AW1178" s="56">
        <f>F1178*AO1178</f>
      </c>
      <c r="AX1178" s="56">
        <f>F1178*AP1178</f>
      </c>
      <c r="AY1178" s="57" t="s">
        <v>1863</v>
      </c>
      <c r="AZ1178" s="57" t="s">
        <v>1825</v>
      </c>
      <c r="BA1178" s="28" t="s">
        <v>1826</v>
      </c>
      <c r="BC1178" s="56">
        <f>AW1178+AX1178</f>
      </c>
      <c r="BD1178" s="56">
        <f>G1178/(100-BE1178)*100</f>
      </c>
      <c r="BE1178" s="56" t="n">
        <v>0</v>
      </c>
      <c r="BF1178" s="56">
        <f>1178</f>
      </c>
      <c r="BH1178" s="56">
        <f>F1178*AO1178</f>
      </c>
      <c r="BI1178" s="56">
        <f>F1178*AP1178</f>
      </c>
      <c r="BJ1178" s="56">
        <f>F1178*G1178</f>
      </c>
      <c r="BK1178" s="56"/>
      <c r="BL1178" s="56"/>
      <c r="BW1178" s="56" t="n">
        <v>21</v>
      </c>
      <c r="BX1178" s="14" t="s">
        <v>1970</v>
      </c>
    </row>
    <row r="1179">
      <c r="A1179" s="112"/>
      <c r="C1179" s="140" t="s">
        <v>921</v>
      </c>
      <c r="D1179" s="113" t="s">
        <v>53</v>
      </c>
      <c r="F1179" s="141" t="n">
        <v>130</v>
      </c>
      <c r="K1179" s="142"/>
    </row>
    <row r="1180" ht="24.75">
      <c r="A1180" s="9" t="s">
        <v>1971</v>
      </c>
      <c r="B1180" s="10" t="s">
        <v>1972</v>
      </c>
      <c r="C1180" s="14" t="s">
        <v>1973</v>
      </c>
      <c r="D1180" s="10"/>
      <c r="E1180" s="10" t="s">
        <v>393</v>
      </c>
      <c r="F1180" s="56" t="n">
        <v>11</v>
      </c>
      <c r="G1180" s="56" t="n">
        <v>0</v>
      </c>
      <c r="H1180" s="56">
        <f>F1180*AO1180</f>
      </c>
      <c r="I1180" s="56">
        <f>F1180*AP1180</f>
      </c>
      <c r="J1180" s="56">
        <f>F1180*G1180</f>
      </c>
      <c r="K1180" s="111" t="s">
        <v>71</v>
      </c>
      <c r="Z1180" s="56">
        <f>IF(AQ1180="5",BJ1180,0)</f>
      </c>
      <c r="AB1180" s="56">
        <f>IF(AQ1180="1",BH1180,0)</f>
      </c>
      <c r="AC1180" s="56">
        <f>IF(AQ1180="1",BI1180,0)</f>
      </c>
      <c r="AD1180" s="56">
        <f>IF(AQ1180="7",BH1180,0)</f>
      </c>
      <c r="AE1180" s="56">
        <f>IF(AQ1180="7",BI1180,0)</f>
      </c>
      <c r="AF1180" s="56">
        <f>IF(AQ1180="2",BH1180,0)</f>
      </c>
      <c r="AG1180" s="56">
        <f>IF(AQ1180="2",BI1180,0)</f>
      </c>
      <c r="AH1180" s="56">
        <f>IF(AQ1180="0",BJ1180,0)</f>
      </c>
      <c r="AI1180" s="28" t="s">
        <v>1820</v>
      </c>
      <c r="AJ1180" s="56">
        <f>IF(AN1180=0,J1180,0)</f>
      </c>
      <c r="AK1180" s="56">
        <f>IF(AN1180=12,J1180,0)</f>
      </c>
      <c r="AL1180" s="56">
        <f>IF(AN1180=21,J1180,0)</f>
      </c>
      <c r="AN1180" s="56" t="n">
        <v>21</v>
      </c>
      <c r="AO1180" s="56">
        <f>G1180*0</f>
      </c>
      <c r="AP1180" s="56">
        <f>G1180*(1-0)</f>
      </c>
      <c r="AQ1180" s="57" t="s">
        <v>61</v>
      </c>
      <c r="AV1180" s="56">
        <f>AW1180+AX1180</f>
      </c>
      <c r="AW1180" s="56">
        <f>F1180*AO1180</f>
      </c>
      <c r="AX1180" s="56">
        <f>F1180*AP1180</f>
      </c>
      <c r="AY1180" s="57" t="s">
        <v>1863</v>
      </c>
      <c r="AZ1180" s="57" t="s">
        <v>1825</v>
      </c>
      <c r="BA1180" s="28" t="s">
        <v>1826</v>
      </c>
      <c r="BC1180" s="56">
        <f>AW1180+AX1180</f>
      </c>
      <c r="BD1180" s="56">
        <f>G1180/(100-BE1180)*100</f>
      </c>
      <c r="BE1180" s="56" t="n">
        <v>0</v>
      </c>
      <c r="BF1180" s="56">
        <f>1180</f>
      </c>
      <c r="BH1180" s="56">
        <f>F1180*AO1180</f>
      </c>
      <c r="BI1180" s="56">
        <f>F1180*AP1180</f>
      </c>
      <c r="BJ1180" s="56">
        <f>F1180*G1180</f>
      </c>
      <c r="BK1180" s="56"/>
      <c r="BL1180" s="56"/>
      <c r="BW1180" s="56" t="n">
        <v>21</v>
      </c>
      <c r="BX1180" s="14" t="s">
        <v>1973</v>
      </c>
    </row>
    <row r="1181">
      <c r="A1181" s="112"/>
      <c r="C1181" s="140" t="s">
        <v>110</v>
      </c>
      <c r="D1181" s="113" t="s">
        <v>53</v>
      </c>
      <c r="F1181" s="141" t="n">
        <v>11</v>
      </c>
      <c r="K1181" s="142"/>
    </row>
    <row r="1182">
      <c r="A1182" s="9" t="s">
        <v>1974</v>
      </c>
      <c r="B1182" s="10" t="s">
        <v>1975</v>
      </c>
      <c r="C1182" s="14" t="s">
        <v>1976</v>
      </c>
      <c r="D1182" s="10"/>
      <c r="E1182" s="10" t="s">
        <v>273</v>
      </c>
      <c r="F1182" s="56" t="n">
        <v>5</v>
      </c>
      <c r="G1182" s="56" t="n">
        <v>0</v>
      </c>
      <c r="H1182" s="56">
        <f>F1182*AO1182</f>
      </c>
      <c r="I1182" s="56">
        <f>F1182*AP1182</f>
      </c>
      <c r="J1182" s="56">
        <f>F1182*G1182</f>
      </c>
      <c r="K1182" s="111" t="s">
        <v>71</v>
      </c>
      <c r="Z1182" s="56">
        <f>IF(AQ1182="5",BJ1182,0)</f>
      </c>
      <c r="AB1182" s="56">
        <f>IF(AQ1182="1",BH1182,0)</f>
      </c>
      <c r="AC1182" s="56">
        <f>IF(AQ1182="1",BI1182,0)</f>
      </c>
      <c r="AD1182" s="56">
        <f>IF(AQ1182="7",BH1182,0)</f>
      </c>
      <c r="AE1182" s="56">
        <f>IF(AQ1182="7",BI1182,0)</f>
      </c>
      <c r="AF1182" s="56">
        <f>IF(AQ1182="2",BH1182,0)</f>
      </c>
      <c r="AG1182" s="56">
        <f>IF(AQ1182="2",BI1182,0)</f>
      </c>
      <c r="AH1182" s="56">
        <f>IF(AQ1182="0",BJ1182,0)</f>
      </c>
      <c r="AI1182" s="28" t="s">
        <v>1820</v>
      </c>
      <c r="AJ1182" s="56">
        <f>IF(AN1182=0,J1182,0)</f>
      </c>
      <c r="AK1182" s="56">
        <f>IF(AN1182=12,J1182,0)</f>
      </c>
      <c r="AL1182" s="56">
        <f>IF(AN1182=21,J1182,0)</f>
      </c>
      <c r="AN1182" s="56" t="n">
        <v>21</v>
      </c>
      <c r="AO1182" s="56">
        <f>G1182*0</f>
      </c>
      <c r="AP1182" s="56">
        <f>G1182*(1-0)</f>
      </c>
      <c r="AQ1182" s="57" t="s">
        <v>61</v>
      </c>
      <c r="AV1182" s="56">
        <f>AW1182+AX1182</f>
      </c>
      <c r="AW1182" s="56">
        <f>F1182*AO1182</f>
      </c>
      <c r="AX1182" s="56">
        <f>F1182*AP1182</f>
      </c>
      <c r="AY1182" s="57" t="s">
        <v>1863</v>
      </c>
      <c r="AZ1182" s="57" t="s">
        <v>1825</v>
      </c>
      <c r="BA1182" s="28" t="s">
        <v>1826</v>
      </c>
      <c r="BC1182" s="56">
        <f>AW1182+AX1182</f>
      </c>
      <c r="BD1182" s="56">
        <f>G1182/(100-BE1182)*100</f>
      </c>
      <c r="BE1182" s="56" t="n">
        <v>0</v>
      </c>
      <c r="BF1182" s="56">
        <f>1182</f>
      </c>
      <c r="BH1182" s="56">
        <f>F1182*AO1182</f>
      </c>
      <c r="BI1182" s="56">
        <f>F1182*AP1182</f>
      </c>
      <c r="BJ1182" s="56">
        <f>F1182*G1182</f>
      </c>
      <c r="BK1182" s="56"/>
      <c r="BL1182" s="56"/>
      <c r="BW1182" s="56" t="n">
        <v>21</v>
      </c>
      <c r="BX1182" s="14" t="s">
        <v>1976</v>
      </c>
    </row>
    <row r="1183">
      <c r="A1183" s="112"/>
      <c r="C1183" s="140" t="s">
        <v>79</v>
      </c>
      <c r="D1183" s="113" t="s">
        <v>53</v>
      </c>
      <c r="F1183" s="141" t="n">
        <v>5</v>
      </c>
      <c r="K1183" s="142"/>
    </row>
    <row r="1184">
      <c r="A1184" s="9" t="s">
        <v>1977</v>
      </c>
      <c r="B1184" s="10" t="s">
        <v>1978</v>
      </c>
      <c r="C1184" s="14" t="s">
        <v>1979</v>
      </c>
      <c r="D1184" s="10"/>
      <c r="E1184" s="10" t="s">
        <v>273</v>
      </c>
      <c r="F1184" s="56" t="n">
        <v>48</v>
      </c>
      <c r="G1184" s="56" t="n">
        <v>0</v>
      </c>
      <c r="H1184" s="56">
        <f>F1184*AO1184</f>
      </c>
      <c r="I1184" s="56">
        <f>F1184*AP1184</f>
      </c>
      <c r="J1184" s="56">
        <f>F1184*G1184</f>
      </c>
      <c r="K1184" s="111" t="s">
        <v>71</v>
      </c>
      <c r="Z1184" s="56">
        <f>IF(AQ1184="5",BJ1184,0)</f>
      </c>
      <c r="AB1184" s="56">
        <f>IF(AQ1184="1",BH1184,0)</f>
      </c>
      <c r="AC1184" s="56">
        <f>IF(AQ1184="1",BI1184,0)</f>
      </c>
      <c r="AD1184" s="56">
        <f>IF(AQ1184="7",BH1184,0)</f>
      </c>
      <c r="AE1184" s="56">
        <f>IF(AQ1184="7",BI1184,0)</f>
      </c>
      <c r="AF1184" s="56">
        <f>IF(AQ1184="2",BH1184,0)</f>
      </c>
      <c r="AG1184" s="56">
        <f>IF(AQ1184="2",BI1184,0)</f>
      </c>
      <c r="AH1184" s="56">
        <f>IF(AQ1184="0",BJ1184,0)</f>
      </c>
      <c r="AI1184" s="28" t="s">
        <v>1820</v>
      </c>
      <c r="AJ1184" s="56">
        <f>IF(AN1184=0,J1184,0)</f>
      </c>
      <c r="AK1184" s="56">
        <f>IF(AN1184=12,J1184,0)</f>
      </c>
      <c r="AL1184" s="56">
        <f>IF(AN1184=21,J1184,0)</f>
      </c>
      <c r="AN1184" s="56" t="n">
        <v>21</v>
      </c>
      <c r="AO1184" s="56">
        <f>G1184*0</f>
      </c>
      <c r="AP1184" s="56">
        <f>G1184*(1-0)</f>
      </c>
      <c r="AQ1184" s="57" t="s">
        <v>61</v>
      </c>
      <c r="AV1184" s="56">
        <f>AW1184+AX1184</f>
      </c>
      <c r="AW1184" s="56">
        <f>F1184*AO1184</f>
      </c>
      <c r="AX1184" s="56">
        <f>F1184*AP1184</f>
      </c>
      <c r="AY1184" s="57" t="s">
        <v>1863</v>
      </c>
      <c r="AZ1184" s="57" t="s">
        <v>1825</v>
      </c>
      <c r="BA1184" s="28" t="s">
        <v>1826</v>
      </c>
      <c r="BC1184" s="56">
        <f>AW1184+AX1184</f>
      </c>
      <c r="BD1184" s="56">
        <f>G1184/(100-BE1184)*100</f>
      </c>
      <c r="BE1184" s="56" t="n">
        <v>0</v>
      </c>
      <c r="BF1184" s="56">
        <f>1184</f>
      </c>
      <c r="BH1184" s="56">
        <f>F1184*AO1184</f>
      </c>
      <c r="BI1184" s="56">
        <f>F1184*AP1184</f>
      </c>
      <c r="BJ1184" s="56">
        <f>F1184*G1184</f>
      </c>
      <c r="BK1184" s="56"/>
      <c r="BL1184" s="56"/>
      <c r="BW1184" s="56" t="n">
        <v>21</v>
      </c>
      <c r="BX1184" s="14" t="s">
        <v>1979</v>
      </c>
    </row>
    <row r="1185">
      <c r="A1185" s="106"/>
      <c r="C1185" s="115" t="s">
        <v>374</v>
      </c>
      <c r="D1185" s="109" t="s">
        <v>53</v>
      </c>
      <c r="F1185" s="116" t="n">
        <v>48</v>
      </c>
      <c r="K1185" s="117"/>
    </row>
    <row r="1186">
      <c r="A1186" s="62" t="s">
        <v>53</v>
      </c>
      <c r="B1186" s="63" t="s">
        <v>1980</v>
      </c>
      <c r="C1186" s="64" t="s">
        <v>1981</v>
      </c>
      <c r="D1186" s="63"/>
      <c r="E1186" s="65" t="s">
        <v>34</v>
      </c>
      <c r="F1186" s="65" t="s">
        <v>34</v>
      </c>
      <c r="G1186" s="65" t="s">
        <v>34</v>
      </c>
      <c r="H1186" s="66">
        <f>SUM(H1187:H1346)</f>
      </c>
      <c r="I1186" s="66">
        <f>SUM(I1187:I1346)</f>
      </c>
      <c r="J1186" s="66">
        <f>SUM(J1187:J1346)</f>
      </c>
      <c r="K1186" s="67" t="s">
        <v>53</v>
      </c>
      <c r="AI1186" s="28" t="s">
        <v>1820</v>
      </c>
      <c r="AS1186" s="2">
        <f>SUM(AJ1187:AJ1346)</f>
      </c>
      <c r="AT1186" s="2">
        <f>SUM(AK1187:AK1346)</f>
      </c>
      <c r="AU1186" s="2">
        <f>SUM(AL1187:AL1346)</f>
      </c>
    </row>
    <row r="1187">
      <c r="A1187" s="51" t="s">
        <v>1982</v>
      </c>
      <c r="B1187" s="52" t="s">
        <v>1983</v>
      </c>
      <c r="C1187" s="53" t="s">
        <v>1984</v>
      </c>
      <c r="D1187" s="52"/>
      <c r="E1187" s="52" t="s">
        <v>393</v>
      </c>
      <c r="F1187" s="54" t="n">
        <v>115.67</v>
      </c>
      <c r="G1187" s="54" t="n">
        <v>0</v>
      </c>
      <c r="H1187" s="54">
        <f>F1187*AO1187</f>
      </c>
      <c r="I1187" s="54">
        <f>F1187*AP1187</f>
      </c>
      <c r="J1187" s="54">
        <f>F1187*G1187</f>
      </c>
      <c r="K1187" s="55" t="s">
        <v>100</v>
      </c>
      <c r="Z1187" s="56">
        <f>IF(AQ1187="5",BJ1187,0)</f>
      </c>
      <c r="AB1187" s="56">
        <f>IF(AQ1187="1",BH1187,0)</f>
      </c>
      <c r="AC1187" s="56">
        <f>IF(AQ1187="1",BI1187,0)</f>
      </c>
      <c r="AD1187" s="56">
        <f>IF(AQ1187="7",BH1187,0)</f>
      </c>
      <c r="AE1187" s="56">
        <f>IF(AQ1187="7",BI1187,0)</f>
      </c>
      <c r="AF1187" s="56">
        <f>IF(AQ1187="2",BH1187,0)</f>
      </c>
      <c r="AG1187" s="56">
        <f>IF(AQ1187="2",BI1187,0)</f>
      </c>
      <c r="AH1187" s="56">
        <f>IF(AQ1187="0",BJ1187,0)</f>
      </c>
      <c r="AI1187" s="28" t="s">
        <v>1820</v>
      </c>
      <c r="AJ1187" s="56">
        <f>IF(AN1187=0,J1187,0)</f>
      </c>
      <c r="AK1187" s="56">
        <f>IF(AN1187=12,J1187,0)</f>
      </c>
      <c r="AL1187" s="56">
        <f>IF(AN1187=21,J1187,0)</f>
      </c>
      <c r="AN1187" s="56" t="n">
        <v>21</v>
      </c>
      <c r="AO1187" s="56">
        <f>G1187*0</f>
      </c>
      <c r="AP1187" s="56">
        <f>G1187*(1-0)</f>
      </c>
      <c r="AQ1187" s="57" t="s">
        <v>61</v>
      </c>
      <c r="AV1187" s="56">
        <f>AW1187+AX1187</f>
      </c>
      <c r="AW1187" s="56">
        <f>F1187*AO1187</f>
      </c>
      <c r="AX1187" s="56">
        <f>F1187*AP1187</f>
      </c>
      <c r="AY1187" s="57" t="s">
        <v>1985</v>
      </c>
      <c r="AZ1187" s="57" t="s">
        <v>1825</v>
      </c>
      <c r="BA1187" s="28" t="s">
        <v>1826</v>
      </c>
      <c r="BC1187" s="56">
        <f>AW1187+AX1187</f>
      </c>
      <c r="BD1187" s="56">
        <f>G1187/(100-BE1187)*100</f>
      </c>
      <c r="BE1187" s="56" t="n">
        <v>0</v>
      </c>
      <c r="BF1187" s="56">
        <f>1187</f>
      </c>
      <c r="BH1187" s="56">
        <f>F1187*AO1187</f>
      </c>
      <c r="BI1187" s="56">
        <f>F1187*AP1187</f>
      </c>
      <c r="BJ1187" s="56">
        <f>F1187*G1187</f>
      </c>
      <c r="BK1187" s="56"/>
      <c r="BL1187" s="56"/>
      <c r="BW1187" s="56" t="n">
        <v>21</v>
      </c>
      <c r="BX1187" s="14" t="s">
        <v>1984</v>
      </c>
    </row>
    <row r="1188">
      <c r="A1188" s="74"/>
      <c r="B1188" s="75"/>
      <c r="C1188" s="76" t="s">
        <v>1986</v>
      </c>
      <c r="D1188" s="77" t="s">
        <v>1987</v>
      </c>
      <c r="E1188" s="75"/>
      <c r="F1188" s="78" t="n">
        <v>115.67</v>
      </c>
      <c r="G1188" s="75"/>
      <c r="H1188" s="75"/>
      <c r="I1188" s="75"/>
      <c r="J1188" s="75"/>
      <c r="K1188" s="79"/>
    </row>
    <row r="1189">
      <c r="A1189" s="143" t="s">
        <v>1988</v>
      </c>
      <c r="B1189" s="144" t="s">
        <v>1989</v>
      </c>
      <c r="C1189" s="145" t="s">
        <v>1990</v>
      </c>
      <c r="D1189" s="144"/>
      <c r="E1189" s="144" t="s">
        <v>273</v>
      </c>
      <c r="F1189" s="146" t="n">
        <v>1</v>
      </c>
      <c r="G1189" s="146" t="n">
        <v>0</v>
      </c>
      <c r="H1189" s="146">
        <f>F1189*AO1189</f>
      </c>
      <c r="I1189" s="146">
        <f>F1189*AP1189</f>
      </c>
      <c r="J1189" s="146">
        <f>F1189*G1189</f>
      </c>
      <c r="K1189" s="147" t="s">
        <v>71</v>
      </c>
      <c r="Z1189" s="56">
        <f>IF(AQ1189="5",BJ1189,0)</f>
      </c>
      <c r="AB1189" s="56">
        <f>IF(AQ1189="1",BH1189,0)</f>
      </c>
      <c r="AC1189" s="56">
        <f>IF(AQ1189="1",BI1189,0)</f>
      </c>
      <c r="AD1189" s="56">
        <f>IF(AQ1189="7",BH1189,0)</f>
      </c>
      <c r="AE1189" s="56">
        <f>IF(AQ1189="7",BI1189,0)</f>
      </c>
      <c r="AF1189" s="56">
        <f>IF(AQ1189="2",BH1189,0)</f>
      </c>
      <c r="AG1189" s="56">
        <f>IF(AQ1189="2",BI1189,0)</f>
      </c>
      <c r="AH1189" s="56">
        <f>IF(AQ1189="0",BJ1189,0)</f>
      </c>
      <c r="AI1189" s="28" t="s">
        <v>1820</v>
      </c>
      <c r="AJ1189" s="56">
        <f>IF(AN1189=0,J1189,0)</f>
      </c>
      <c r="AK1189" s="56">
        <f>IF(AN1189=12,J1189,0)</f>
      </c>
      <c r="AL1189" s="56">
        <f>IF(AN1189=21,J1189,0)</f>
      </c>
      <c r="AN1189" s="56" t="n">
        <v>21</v>
      </c>
      <c r="AO1189" s="56">
        <f>G1189*0</f>
      </c>
      <c r="AP1189" s="56">
        <f>G1189*(1-0)</f>
      </c>
      <c r="AQ1189" s="57" t="s">
        <v>61</v>
      </c>
      <c r="AV1189" s="56">
        <f>AW1189+AX1189</f>
      </c>
      <c r="AW1189" s="56">
        <f>F1189*AO1189</f>
      </c>
      <c r="AX1189" s="56">
        <f>F1189*AP1189</f>
      </c>
      <c r="AY1189" s="57" t="s">
        <v>1985</v>
      </c>
      <c r="AZ1189" s="57" t="s">
        <v>1825</v>
      </c>
      <c r="BA1189" s="28" t="s">
        <v>1826</v>
      </c>
      <c r="BC1189" s="56">
        <f>AW1189+AX1189</f>
      </c>
      <c r="BD1189" s="56">
        <f>G1189/(100-BE1189)*100</f>
      </c>
      <c r="BE1189" s="56" t="n">
        <v>0</v>
      </c>
      <c r="BF1189" s="56">
        <f>1189</f>
      </c>
      <c r="BH1189" s="56">
        <f>F1189*AO1189</f>
      </c>
      <c r="BI1189" s="56">
        <f>F1189*AP1189</f>
      </c>
      <c r="BJ1189" s="56">
        <f>F1189*G1189</f>
      </c>
      <c r="BK1189" s="56"/>
      <c r="BL1189" s="56"/>
      <c r="BW1189" s="56" t="n">
        <v>21</v>
      </c>
      <c r="BX1189" s="14" t="s">
        <v>1990</v>
      </c>
    </row>
    <row r="1190" customHeight="true" ht="13.5">
      <c r="A1190" s="112"/>
      <c r="C1190" s="81" t="s">
        <v>1991</v>
      </c>
      <c r="D1190" s="113"/>
      <c r="E1190" s="113"/>
      <c r="F1190" s="113"/>
      <c r="G1190" s="113"/>
      <c r="H1190" s="113"/>
      <c r="I1190" s="113"/>
      <c r="J1190" s="113"/>
      <c r="K1190" s="114"/>
    </row>
    <row r="1191">
      <c r="A1191" s="112"/>
      <c r="C1191" s="140" t="s">
        <v>58</v>
      </c>
      <c r="D1191" s="113" t="s">
        <v>53</v>
      </c>
      <c r="F1191" s="141" t="n">
        <v>1</v>
      </c>
      <c r="K1191" s="142"/>
    </row>
    <row r="1192">
      <c r="A1192" s="9" t="s">
        <v>1992</v>
      </c>
      <c r="B1192" s="10" t="s">
        <v>1993</v>
      </c>
      <c r="C1192" s="14" t="s">
        <v>1990</v>
      </c>
      <c r="D1192" s="10"/>
      <c r="E1192" s="10" t="s">
        <v>273</v>
      </c>
      <c r="F1192" s="56" t="n">
        <v>1</v>
      </c>
      <c r="G1192" s="56" t="n">
        <v>0</v>
      </c>
      <c r="H1192" s="56">
        <f>F1192*AO1192</f>
      </c>
      <c r="I1192" s="56">
        <f>F1192*AP1192</f>
      </c>
      <c r="J1192" s="56">
        <f>F1192*G1192</f>
      </c>
      <c r="K1192" s="111" t="s">
        <v>71</v>
      </c>
      <c r="Z1192" s="56">
        <f>IF(AQ1192="5",BJ1192,0)</f>
      </c>
      <c r="AB1192" s="56">
        <f>IF(AQ1192="1",BH1192,0)</f>
      </c>
      <c r="AC1192" s="56">
        <f>IF(AQ1192="1",BI1192,0)</f>
      </c>
      <c r="AD1192" s="56">
        <f>IF(AQ1192="7",BH1192,0)</f>
      </c>
      <c r="AE1192" s="56">
        <f>IF(AQ1192="7",BI1192,0)</f>
      </c>
      <c r="AF1192" s="56">
        <f>IF(AQ1192="2",BH1192,0)</f>
      </c>
      <c r="AG1192" s="56">
        <f>IF(AQ1192="2",BI1192,0)</f>
      </c>
      <c r="AH1192" s="56">
        <f>IF(AQ1192="0",BJ1192,0)</f>
      </c>
      <c r="AI1192" s="28" t="s">
        <v>1820</v>
      </c>
      <c r="AJ1192" s="56">
        <f>IF(AN1192=0,J1192,0)</f>
      </c>
      <c r="AK1192" s="56">
        <f>IF(AN1192=12,J1192,0)</f>
      </c>
      <c r="AL1192" s="56">
        <f>IF(AN1192=21,J1192,0)</f>
      </c>
      <c r="AN1192" s="56" t="n">
        <v>21</v>
      </c>
      <c r="AO1192" s="56">
        <f>G1192*0</f>
      </c>
      <c r="AP1192" s="56">
        <f>G1192*(1-0)</f>
      </c>
      <c r="AQ1192" s="57" t="s">
        <v>61</v>
      </c>
      <c r="AV1192" s="56">
        <f>AW1192+AX1192</f>
      </c>
      <c r="AW1192" s="56">
        <f>F1192*AO1192</f>
      </c>
      <c r="AX1192" s="56">
        <f>F1192*AP1192</f>
      </c>
      <c r="AY1192" s="57" t="s">
        <v>1985</v>
      </c>
      <c r="AZ1192" s="57" t="s">
        <v>1825</v>
      </c>
      <c r="BA1192" s="28" t="s">
        <v>1826</v>
      </c>
      <c r="BC1192" s="56">
        <f>AW1192+AX1192</f>
      </c>
      <c r="BD1192" s="56">
        <f>G1192/(100-BE1192)*100</f>
      </c>
      <c r="BE1192" s="56" t="n">
        <v>0</v>
      </c>
      <c r="BF1192" s="56">
        <f>1192</f>
      </c>
      <c r="BH1192" s="56">
        <f>F1192*AO1192</f>
      </c>
      <c r="BI1192" s="56">
        <f>F1192*AP1192</f>
      </c>
      <c r="BJ1192" s="56">
        <f>F1192*G1192</f>
      </c>
      <c r="BK1192" s="56"/>
      <c r="BL1192" s="56"/>
      <c r="BW1192" s="56" t="n">
        <v>21</v>
      </c>
      <c r="BX1192" s="14" t="s">
        <v>1990</v>
      </c>
    </row>
    <row r="1193" customHeight="true" ht="13.5">
      <c r="A1193" s="112"/>
      <c r="C1193" s="81" t="s">
        <v>1994</v>
      </c>
      <c r="D1193" s="113"/>
      <c r="E1193" s="113"/>
      <c r="F1193" s="113"/>
      <c r="G1193" s="113"/>
      <c r="H1193" s="113"/>
      <c r="I1193" s="113"/>
      <c r="J1193" s="113"/>
      <c r="K1193" s="114"/>
    </row>
    <row r="1194">
      <c r="A1194" s="112"/>
      <c r="C1194" s="140" t="s">
        <v>58</v>
      </c>
      <c r="D1194" s="113" t="s">
        <v>53</v>
      </c>
      <c r="F1194" s="141" t="n">
        <v>1</v>
      </c>
      <c r="K1194" s="142"/>
    </row>
    <row r="1195" ht="24.75">
      <c r="A1195" s="9" t="s">
        <v>1995</v>
      </c>
      <c r="B1195" s="10" t="s">
        <v>1996</v>
      </c>
      <c r="C1195" s="14" t="s">
        <v>1997</v>
      </c>
      <c r="D1195" s="10"/>
      <c r="E1195" s="10" t="s">
        <v>273</v>
      </c>
      <c r="F1195" s="56" t="n">
        <v>2</v>
      </c>
      <c r="G1195" s="56" t="n">
        <v>0</v>
      </c>
      <c r="H1195" s="56">
        <f>F1195*AO1195</f>
      </c>
      <c r="I1195" s="56">
        <f>F1195*AP1195</f>
      </c>
      <c r="J1195" s="56">
        <f>F1195*G1195</f>
      </c>
      <c r="K1195" s="111" t="s">
        <v>71</v>
      </c>
      <c r="Z1195" s="56">
        <f>IF(AQ1195="5",BJ1195,0)</f>
      </c>
      <c r="AB1195" s="56">
        <f>IF(AQ1195="1",BH1195,0)</f>
      </c>
      <c r="AC1195" s="56">
        <f>IF(AQ1195="1",BI1195,0)</f>
      </c>
      <c r="AD1195" s="56">
        <f>IF(AQ1195="7",BH1195,0)</f>
      </c>
      <c r="AE1195" s="56">
        <f>IF(AQ1195="7",BI1195,0)</f>
      </c>
      <c r="AF1195" s="56">
        <f>IF(AQ1195="2",BH1195,0)</f>
      </c>
      <c r="AG1195" s="56">
        <f>IF(AQ1195="2",BI1195,0)</f>
      </c>
      <c r="AH1195" s="56">
        <f>IF(AQ1195="0",BJ1195,0)</f>
      </c>
      <c r="AI1195" s="28" t="s">
        <v>1820</v>
      </c>
      <c r="AJ1195" s="56">
        <f>IF(AN1195=0,J1195,0)</f>
      </c>
      <c r="AK1195" s="56">
        <f>IF(AN1195=12,J1195,0)</f>
      </c>
      <c r="AL1195" s="56">
        <f>IF(AN1195=21,J1195,0)</f>
      </c>
      <c r="AN1195" s="56" t="n">
        <v>21</v>
      </c>
      <c r="AO1195" s="56">
        <f>G1195*0</f>
      </c>
      <c r="AP1195" s="56">
        <f>G1195*(1-0)</f>
      </c>
      <c r="AQ1195" s="57" t="s">
        <v>61</v>
      </c>
      <c r="AV1195" s="56">
        <f>AW1195+AX1195</f>
      </c>
      <c r="AW1195" s="56">
        <f>F1195*AO1195</f>
      </c>
      <c r="AX1195" s="56">
        <f>F1195*AP1195</f>
      </c>
      <c r="AY1195" s="57" t="s">
        <v>1985</v>
      </c>
      <c r="AZ1195" s="57" t="s">
        <v>1825</v>
      </c>
      <c r="BA1195" s="28" t="s">
        <v>1826</v>
      </c>
      <c r="BC1195" s="56">
        <f>AW1195+AX1195</f>
      </c>
      <c r="BD1195" s="56">
        <f>G1195/(100-BE1195)*100</f>
      </c>
      <c r="BE1195" s="56" t="n">
        <v>0</v>
      </c>
      <c r="BF1195" s="56">
        <f>1195</f>
      </c>
      <c r="BH1195" s="56">
        <f>F1195*AO1195</f>
      </c>
      <c r="BI1195" s="56">
        <f>F1195*AP1195</f>
      </c>
      <c r="BJ1195" s="56">
        <f>F1195*G1195</f>
      </c>
      <c r="BK1195" s="56"/>
      <c r="BL1195" s="56"/>
      <c r="BW1195" s="56" t="n">
        <v>21</v>
      </c>
      <c r="BX1195" s="14" t="s">
        <v>1997</v>
      </c>
    </row>
    <row r="1196" customHeight="true" ht="13.5">
      <c r="A1196" s="112"/>
      <c r="C1196" s="81" t="s">
        <v>1998</v>
      </c>
      <c r="D1196" s="113"/>
      <c r="E1196" s="113"/>
      <c r="F1196" s="113"/>
      <c r="G1196" s="113"/>
      <c r="H1196" s="113"/>
      <c r="I1196" s="113"/>
      <c r="J1196" s="113"/>
      <c r="K1196" s="114"/>
    </row>
    <row r="1197">
      <c r="A1197" s="112"/>
      <c r="C1197" s="140" t="s">
        <v>61</v>
      </c>
      <c r="D1197" s="113" t="s">
        <v>53</v>
      </c>
      <c r="F1197" s="141" t="n">
        <v>2</v>
      </c>
      <c r="K1197" s="142"/>
    </row>
    <row r="1198" ht="24.75">
      <c r="A1198" s="9" t="s">
        <v>1999</v>
      </c>
      <c r="B1198" s="10" t="s">
        <v>2000</v>
      </c>
      <c r="C1198" s="14" t="s">
        <v>1997</v>
      </c>
      <c r="D1198" s="10"/>
      <c r="E1198" s="10" t="s">
        <v>273</v>
      </c>
      <c r="F1198" s="56" t="n">
        <v>3</v>
      </c>
      <c r="G1198" s="56" t="n">
        <v>0</v>
      </c>
      <c r="H1198" s="56">
        <f>F1198*AO1198</f>
      </c>
      <c r="I1198" s="56">
        <f>F1198*AP1198</f>
      </c>
      <c r="J1198" s="56">
        <f>F1198*G1198</f>
      </c>
      <c r="K1198" s="111" t="s">
        <v>71</v>
      </c>
      <c r="Z1198" s="56">
        <f>IF(AQ1198="5",BJ1198,0)</f>
      </c>
      <c r="AB1198" s="56">
        <f>IF(AQ1198="1",BH1198,0)</f>
      </c>
      <c r="AC1198" s="56">
        <f>IF(AQ1198="1",BI1198,0)</f>
      </c>
      <c r="AD1198" s="56">
        <f>IF(AQ1198="7",BH1198,0)</f>
      </c>
      <c r="AE1198" s="56">
        <f>IF(AQ1198="7",BI1198,0)</f>
      </c>
      <c r="AF1198" s="56">
        <f>IF(AQ1198="2",BH1198,0)</f>
      </c>
      <c r="AG1198" s="56">
        <f>IF(AQ1198="2",BI1198,0)</f>
      </c>
      <c r="AH1198" s="56">
        <f>IF(AQ1198="0",BJ1198,0)</f>
      </c>
      <c r="AI1198" s="28" t="s">
        <v>1820</v>
      </c>
      <c r="AJ1198" s="56">
        <f>IF(AN1198=0,J1198,0)</f>
      </c>
      <c r="AK1198" s="56">
        <f>IF(AN1198=12,J1198,0)</f>
      </c>
      <c r="AL1198" s="56">
        <f>IF(AN1198=21,J1198,0)</f>
      </c>
      <c r="AN1198" s="56" t="n">
        <v>21</v>
      </c>
      <c r="AO1198" s="56">
        <f>G1198*0</f>
      </c>
      <c r="AP1198" s="56">
        <f>G1198*(1-0)</f>
      </c>
      <c r="AQ1198" s="57" t="s">
        <v>61</v>
      </c>
      <c r="AV1198" s="56">
        <f>AW1198+AX1198</f>
      </c>
      <c r="AW1198" s="56">
        <f>F1198*AO1198</f>
      </c>
      <c r="AX1198" s="56">
        <f>F1198*AP1198</f>
      </c>
      <c r="AY1198" s="57" t="s">
        <v>1985</v>
      </c>
      <c r="AZ1198" s="57" t="s">
        <v>1825</v>
      </c>
      <c r="BA1198" s="28" t="s">
        <v>1826</v>
      </c>
      <c r="BC1198" s="56">
        <f>AW1198+AX1198</f>
      </c>
      <c r="BD1198" s="56">
        <f>G1198/(100-BE1198)*100</f>
      </c>
      <c r="BE1198" s="56" t="n">
        <v>0</v>
      </c>
      <c r="BF1198" s="56">
        <f>1198</f>
      </c>
      <c r="BH1198" s="56">
        <f>F1198*AO1198</f>
      </c>
      <c r="BI1198" s="56">
        <f>F1198*AP1198</f>
      </c>
      <c r="BJ1198" s="56">
        <f>F1198*G1198</f>
      </c>
      <c r="BK1198" s="56"/>
      <c r="BL1198" s="56"/>
      <c r="BW1198" s="56" t="n">
        <v>21</v>
      </c>
      <c r="BX1198" s="14" t="s">
        <v>1997</v>
      </c>
    </row>
    <row r="1199" customHeight="true" ht="13.5">
      <c r="A1199" s="112"/>
      <c r="C1199" s="81" t="s">
        <v>2001</v>
      </c>
      <c r="D1199" s="113"/>
      <c r="E1199" s="113"/>
      <c r="F1199" s="113"/>
      <c r="G1199" s="113"/>
      <c r="H1199" s="113"/>
      <c r="I1199" s="113"/>
      <c r="J1199" s="113"/>
      <c r="K1199" s="114"/>
    </row>
    <row r="1200">
      <c r="A1200" s="112"/>
      <c r="C1200" s="140" t="s">
        <v>73</v>
      </c>
      <c r="D1200" s="113" t="s">
        <v>53</v>
      </c>
      <c r="F1200" s="141" t="n">
        <v>3</v>
      </c>
      <c r="K1200" s="142"/>
    </row>
    <row r="1201" ht="24.75">
      <c r="A1201" s="9" t="s">
        <v>2002</v>
      </c>
      <c r="B1201" s="10" t="s">
        <v>2003</v>
      </c>
      <c r="C1201" s="14" t="s">
        <v>1997</v>
      </c>
      <c r="D1201" s="10"/>
      <c r="E1201" s="10" t="s">
        <v>273</v>
      </c>
      <c r="F1201" s="56" t="n">
        <v>1</v>
      </c>
      <c r="G1201" s="56" t="n">
        <v>0</v>
      </c>
      <c r="H1201" s="56">
        <f>F1201*AO1201</f>
      </c>
      <c r="I1201" s="56">
        <f>F1201*AP1201</f>
      </c>
      <c r="J1201" s="56">
        <f>F1201*G1201</f>
      </c>
      <c r="K1201" s="111" t="s">
        <v>71</v>
      </c>
      <c r="Z1201" s="56">
        <f>IF(AQ1201="5",BJ1201,0)</f>
      </c>
      <c r="AB1201" s="56">
        <f>IF(AQ1201="1",BH1201,0)</f>
      </c>
      <c r="AC1201" s="56">
        <f>IF(AQ1201="1",BI1201,0)</f>
      </c>
      <c r="AD1201" s="56">
        <f>IF(AQ1201="7",BH1201,0)</f>
      </c>
      <c r="AE1201" s="56">
        <f>IF(AQ1201="7",BI1201,0)</f>
      </c>
      <c r="AF1201" s="56">
        <f>IF(AQ1201="2",BH1201,0)</f>
      </c>
      <c r="AG1201" s="56">
        <f>IF(AQ1201="2",BI1201,0)</f>
      </c>
      <c r="AH1201" s="56">
        <f>IF(AQ1201="0",BJ1201,0)</f>
      </c>
      <c r="AI1201" s="28" t="s">
        <v>1820</v>
      </c>
      <c r="AJ1201" s="56">
        <f>IF(AN1201=0,J1201,0)</f>
      </c>
      <c r="AK1201" s="56">
        <f>IF(AN1201=12,J1201,0)</f>
      </c>
      <c r="AL1201" s="56">
        <f>IF(AN1201=21,J1201,0)</f>
      </c>
      <c r="AN1201" s="56" t="n">
        <v>21</v>
      </c>
      <c r="AO1201" s="56">
        <f>G1201*0</f>
      </c>
      <c r="AP1201" s="56">
        <f>G1201*(1-0)</f>
      </c>
      <c r="AQ1201" s="57" t="s">
        <v>61</v>
      </c>
      <c r="AV1201" s="56">
        <f>AW1201+AX1201</f>
      </c>
      <c r="AW1201" s="56">
        <f>F1201*AO1201</f>
      </c>
      <c r="AX1201" s="56">
        <f>F1201*AP1201</f>
      </c>
      <c r="AY1201" s="57" t="s">
        <v>1985</v>
      </c>
      <c r="AZ1201" s="57" t="s">
        <v>1825</v>
      </c>
      <c r="BA1201" s="28" t="s">
        <v>1826</v>
      </c>
      <c r="BC1201" s="56">
        <f>AW1201+AX1201</f>
      </c>
      <c r="BD1201" s="56">
        <f>G1201/(100-BE1201)*100</f>
      </c>
      <c r="BE1201" s="56" t="n">
        <v>0</v>
      </c>
      <c r="BF1201" s="56">
        <f>1201</f>
      </c>
      <c r="BH1201" s="56">
        <f>F1201*AO1201</f>
      </c>
      <c r="BI1201" s="56">
        <f>F1201*AP1201</f>
      </c>
      <c r="BJ1201" s="56">
        <f>F1201*G1201</f>
      </c>
      <c r="BK1201" s="56"/>
      <c r="BL1201" s="56"/>
      <c r="BW1201" s="56" t="n">
        <v>21</v>
      </c>
      <c r="BX1201" s="14" t="s">
        <v>1997</v>
      </c>
    </row>
    <row r="1202" customHeight="true" ht="13.5">
      <c r="A1202" s="112"/>
      <c r="C1202" s="81" t="s">
        <v>2004</v>
      </c>
      <c r="D1202" s="113"/>
      <c r="E1202" s="113"/>
      <c r="F1202" s="113"/>
      <c r="G1202" s="113"/>
      <c r="H1202" s="113"/>
      <c r="I1202" s="113"/>
      <c r="J1202" s="113"/>
      <c r="K1202" s="114"/>
    </row>
    <row r="1203">
      <c r="A1203" s="112"/>
      <c r="C1203" s="140" t="s">
        <v>58</v>
      </c>
      <c r="D1203" s="113" t="s">
        <v>53</v>
      </c>
      <c r="F1203" s="141" t="n">
        <v>1</v>
      </c>
      <c r="K1203" s="142"/>
    </row>
    <row r="1204" ht="24.75">
      <c r="A1204" s="9" t="s">
        <v>2005</v>
      </c>
      <c r="B1204" s="10" t="s">
        <v>2006</v>
      </c>
      <c r="C1204" s="14" t="s">
        <v>1997</v>
      </c>
      <c r="D1204" s="10"/>
      <c r="E1204" s="10" t="s">
        <v>273</v>
      </c>
      <c r="F1204" s="56" t="n">
        <v>2</v>
      </c>
      <c r="G1204" s="56" t="n">
        <v>0</v>
      </c>
      <c r="H1204" s="56">
        <f>F1204*AO1204</f>
      </c>
      <c r="I1204" s="56">
        <f>F1204*AP1204</f>
      </c>
      <c r="J1204" s="56">
        <f>F1204*G1204</f>
      </c>
      <c r="K1204" s="111" t="s">
        <v>71</v>
      </c>
      <c r="Z1204" s="56">
        <f>IF(AQ1204="5",BJ1204,0)</f>
      </c>
      <c r="AB1204" s="56">
        <f>IF(AQ1204="1",BH1204,0)</f>
      </c>
      <c r="AC1204" s="56">
        <f>IF(AQ1204="1",BI1204,0)</f>
      </c>
      <c r="AD1204" s="56">
        <f>IF(AQ1204="7",BH1204,0)</f>
      </c>
      <c r="AE1204" s="56">
        <f>IF(AQ1204="7",BI1204,0)</f>
      </c>
      <c r="AF1204" s="56">
        <f>IF(AQ1204="2",BH1204,0)</f>
      </c>
      <c r="AG1204" s="56">
        <f>IF(AQ1204="2",BI1204,0)</f>
      </c>
      <c r="AH1204" s="56">
        <f>IF(AQ1204="0",BJ1204,0)</f>
      </c>
      <c r="AI1204" s="28" t="s">
        <v>1820</v>
      </c>
      <c r="AJ1204" s="56">
        <f>IF(AN1204=0,J1204,0)</f>
      </c>
      <c r="AK1204" s="56">
        <f>IF(AN1204=12,J1204,0)</f>
      </c>
      <c r="AL1204" s="56">
        <f>IF(AN1204=21,J1204,0)</f>
      </c>
      <c r="AN1204" s="56" t="n">
        <v>21</v>
      </c>
      <c r="AO1204" s="56">
        <f>G1204*0</f>
      </c>
      <c r="AP1204" s="56">
        <f>G1204*(1-0)</f>
      </c>
      <c r="AQ1204" s="57" t="s">
        <v>61</v>
      </c>
      <c r="AV1204" s="56">
        <f>AW1204+AX1204</f>
      </c>
      <c r="AW1204" s="56">
        <f>F1204*AO1204</f>
      </c>
      <c r="AX1204" s="56">
        <f>F1204*AP1204</f>
      </c>
      <c r="AY1204" s="57" t="s">
        <v>1985</v>
      </c>
      <c r="AZ1204" s="57" t="s">
        <v>1825</v>
      </c>
      <c r="BA1204" s="28" t="s">
        <v>1826</v>
      </c>
      <c r="BC1204" s="56">
        <f>AW1204+AX1204</f>
      </c>
      <c r="BD1204" s="56">
        <f>G1204/(100-BE1204)*100</f>
      </c>
      <c r="BE1204" s="56" t="n">
        <v>0</v>
      </c>
      <c r="BF1204" s="56">
        <f>1204</f>
      </c>
      <c r="BH1204" s="56">
        <f>F1204*AO1204</f>
      </c>
      <c r="BI1204" s="56">
        <f>F1204*AP1204</f>
      </c>
      <c r="BJ1204" s="56">
        <f>F1204*G1204</f>
      </c>
      <c r="BK1204" s="56"/>
      <c r="BL1204" s="56"/>
      <c r="BW1204" s="56" t="n">
        <v>21</v>
      </c>
      <c r="BX1204" s="14" t="s">
        <v>1997</v>
      </c>
    </row>
    <row r="1205" customHeight="true" ht="13.5">
      <c r="A1205" s="112"/>
      <c r="C1205" s="81" t="s">
        <v>2007</v>
      </c>
      <c r="D1205" s="113"/>
      <c r="E1205" s="113"/>
      <c r="F1205" s="113"/>
      <c r="G1205" s="113"/>
      <c r="H1205" s="113"/>
      <c r="I1205" s="113"/>
      <c r="J1205" s="113"/>
      <c r="K1205" s="114"/>
    </row>
    <row r="1206">
      <c r="A1206" s="112"/>
      <c r="C1206" s="140" t="s">
        <v>61</v>
      </c>
      <c r="D1206" s="113" t="s">
        <v>53</v>
      </c>
      <c r="F1206" s="141" t="n">
        <v>2</v>
      </c>
      <c r="K1206" s="142"/>
    </row>
    <row r="1207" ht="24.75">
      <c r="A1207" s="9" t="s">
        <v>2008</v>
      </c>
      <c r="B1207" s="10" t="s">
        <v>2009</v>
      </c>
      <c r="C1207" s="14" t="s">
        <v>1997</v>
      </c>
      <c r="D1207" s="10"/>
      <c r="E1207" s="10" t="s">
        <v>273</v>
      </c>
      <c r="F1207" s="56" t="n">
        <v>1</v>
      </c>
      <c r="G1207" s="56" t="n">
        <v>0</v>
      </c>
      <c r="H1207" s="56">
        <f>F1207*AO1207</f>
      </c>
      <c r="I1207" s="56">
        <f>F1207*AP1207</f>
      </c>
      <c r="J1207" s="56">
        <f>F1207*G1207</f>
      </c>
      <c r="K1207" s="111" t="s">
        <v>71</v>
      </c>
      <c r="Z1207" s="56">
        <f>IF(AQ1207="5",BJ1207,0)</f>
      </c>
      <c r="AB1207" s="56">
        <f>IF(AQ1207="1",BH1207,0)</f>
      </c>
      <c r="AC1207" s="56">
        <f>IF(AQ1207="1",BI1207,0)</f>
      </c>
      <c r="AD1207" s="56">
        <f>IF(AQ1207="7",BH1207,0)</f>
      </c>
      <c r="AE1207" s="56">
        <f>IF(AQ1207="7",BI1207,0)</f>
      </c>
      <c r="AF1207" s="56">
        <f>IF(AQ1207="2",BH1207,0)</f>
      </c>
      <c r="AG1207" s="56">
        <f>IF(AQ1207="2",BI1207,0)</f>
      </c>
      <c r="AH1207" s="56">
        <f>IF(AQ1207="0",BJ1207,0)</f>
      </c>
      <c r="AI1207" s="28" t="s">
        <v>1820</v>
      </c>
      <c r="AJ1207" s="56">
        <f>IF(AN1207=0,J1207,0)</f>
      </c>
      <c r="AK1207" s="56">
        <f>IF(AN1207=12,J1207,0)</f>
      </c>
      <c r="AL1207" s="56">
        <f>IF(AN1207=21,J1207,0)</f>
      </c>
      <c r="AN1207" s="56" t="n">
        <v>21</v>
      </c>
      <c r="AO1207" s="56">
        <f>G1207*0</f>
      </c>
      <c r="AP1207" s="56">
        <f>G1207*(1-0)</f>
      </c>
      <c r="AQ1207" s="57" t="s">
        <v>61</v>
      </c>
      <c r="AV1207" s="56">
        <f>AW1207+AX1207</f>
      </c>
      <c r="AW1207" s="56">
        <f>F1207*AO1207</f>
      </c>
      <c r="AX1207" s="56">
        <f>F1207*AP1207</f>
      </c>
      <c r="AY1207" s="57" t="s">
        <v>1985</v>
      </c>
      <c r="AZ1207" s="57" t="s">
        <v>1825</v>
      </c>
      <c r="BA1207" s="28" t="s">
        <v>1826</v>
      </c>
      <c r="BC1207" s="56">
        <f>AW1207+AX1207</f>
      </c>
      <c r="BD1207" s="56">
        <f>G1207/(100-BE1207)*100</f>
      </c>
      <c r="BE1207" s="56" t="n">
        <v>0</v>
      </c>
      <c r="BF1207" s="56">
        <f>1207</f>
      </c>
      <c r="BH1207" s="56">
        <f>F1207*AO1207</f>
      </c>
      <c r="BI1207" s="56">
        <f>F1207*AP1207</f>
      </c>
      <c r="BJ1207" s="56">
        <f>F1207*G1207</f>
      </c>
      <c r="BK1207" s="56"/>
      <c r="BL1207" s="56"/>
      <c r="BW1207" s="56" t="n">
        <v>21</v>
      </c>
      <c r="BX1207" s="14" t="s">
        <v>1997</v>
      </c>
    </row>
    <row r="1208" customHeight="true" ht="13.5">
      <c r="A1208" s="112"/>
      <c r="C1208" s="81" t="s">
        <v>2010</v>
      </c>
      <c r="D1208" s="113"/>
      <c r="E1208" s="113"/>
      <c r="F1208" s="113"/>
      <c r="G1208" s="113"/>
      <c r="H1208" s="113"/>
      <c r="I1208" s="113"/>
      <c r="J1208" s="113"/>
      <c r="K1208" s="114"/>
    </row>
    <row r="1209">
      <c r="A1209" s="112"/>
      <c r="C1209" s="140" t="s">
        <v>58</v>
      </c>
      <c r="D1209" s="113" t="s">
        <v>53</v>
      </c>
      <c r="F1209" s="141" t="n">
        <v>1</v>
      </c>
      <c r="K1209" s="142"/>
    </row>
    <row r="1210" ht="24.75">
      <c r="A1210" s="9" t="s">
        <v>2011</v>
      </c>
      <c r="B1210" s="10" t="s">
        <v>2012</v>
      </c>
      <c r="C1210" s="14" t="s">
        <v>1997</v>
      </c>
      <c r="D1210" s="10"/>
      <c r="E1210" s="10" t="s">
        <v>273</v>
      </c>
      <c r="F1210" s="56" t="n">
        <v>1</v>
      </c>
      <c r="G1210" s="56" t="n">
        <v>0</v>
      </c>
      <c r="H1210" s="56">
        <f>F1210*AO1210</f>
      </c>
      <c r="I1210" s="56">
        <f>F1210*AP1210</f>
      </c>
      <c r="J1210" s="56">
        <f>F1210*G1210</f>
      </c>
      <c r="K1210" s="111" t="s">
        <v>71</v>
      </c>
      <c r="Z1210" s="56">
        <f>IF(AQ1210="5",BJ1210,0)</f>
      </c>
      <c r="AB1210" s="56">
        <f>IF(AQ1210="1",BH1210,0)</f>
      </c>
      <c r="AC1210" s="56">
        <f>IF(AQ1210="1",BI1210,0)</f>
      </c>
      <c r="AD1210" s="56">
        <f>IF(AQ1210="7",BH1210,0)</f>
      </c>
      <c r="AE1210" s="56">
        <f>IF(AQ1210="7",BI1210,0)</f>
      </c>
      <c r="AF1210" s="56">
        <f>IF(AQ1210="2",BH1210,0)</f>
      </c>
      <c r="AG1210" s="56">
        <f>IF(AQ1210="2",BI1210,0)</f>
      </c>
      <c r="AH1210" s="56">
        <f>IF(AQ1210="0",BJ1210,0)</f>
      </c>
      <c r="AI1210" s="28" t="s">
        <v>1820</v>
      </c>
      <c r="AJ1210" s="56">
        <f>IF(AN1210=0,J1210,0)</f>
      </c>
      <c r="AK1210" s="56">
        <f>IF(AN1210=12,J1210,0)</f>
      </c>
      <c r="AL1210" s="56">
        <f>IF(AN1210=21,J1210,0)</f>
      </c>
      <c r="AN1210" s="56" t="n">
        <v>21</v>
      </c>
      <c r="AO1210" s="56">
        <f>G1210*0</f>
      </c>
      <c r="AP1210" s="56">
        <f>G1210*(1-0)</f>
      </c>
      <c r="AQ1210" s="57" t="s">
        <v>61</v>
      </c>
      <c r="AV1210" s="56">
        <f>AW1210+AX1210</f>
      </c>
      <c r="AW1210" s="56">
        <f>F1210*AO1210</f>
      </c>
      <c r="AX1210" s="56">
        <f>F1210*AP1210</f>
      </c>
      <c r="AY1210" s="57" t="s">
        <v>1985</v>
      </c>
      <c r="AZ1210" s="57" t="s">
        <v>1825</v>
      </c>
      <c r="BA1210" s="28" t="s">
        <v>1826</v>
      </c>
      <c r="BC1210" s="56">
        <f>AW1210+AX1210</f>
      </c>
      <c r="BD1210" s="56">
        <f>G1210/(100-BE1210)*100</f>
      </c>
      <c r="BE1210" s="56" t="n">
        <v>0</v>
      </c>
      <c r="BF1210" s="56">
        <f>1210</f>
      </c>
      <c r="BH1210" s="56">
        <f>F1210*AO1210</f>
      </c>
      <c r="BI1210" s="56">
        <f>F1210*AP1210</f>
      </c>
      <c r="BJ1210" s="56">
        <f>F1210*G1210</f>
      </c>
      <c r="BK1210" s="56"/>
      <c r="BL1210" s="56"/>
      <c r="BW1210" s="56" t="n">
        <v>21</v>
      </c>
      <c r="BX1210" s="14" t="s">
        <v>1997</v>
      </c>
    </row>
    <row r="1211" customHeight="true" ht="13.5">
      <c r="A1211" s="112"/>
      <c r="C1211" s="81" t="s">
        <v>2013</v>
      </c>
      <c r="D1211" s="113"/>
      <c r="E1211" s="113"/>
      <c r="F1211" s="113"/>
      <c r="G1211" s="113"/>
      <c r="H1211" s="113"/>
      <c r="I1211" s="113"/>
      <c r="J1211" s="113"/>
      <c r="K1211" s="114"/>
    </row>
    <row r="1212">
      <c r="A1212" s="112"/>
      <c r="C1212" s="140" t="s">
        <v>58</v>
      </c>
      <c r="D1212" s="113" t="s">
        <v>53</v>
      </c>
      <c r="F1212" s="141" t="n">
        <v>1</v>
      </c>
      <c r="K1212" s="142"/>
    </row>
    <row r="1213" ht="24.75">
      <c r="A1213" s="9" t="s">
        <v>2014</v>
      </c>
      <c r="B1213" s="10" t="s">
        <v>2015</v>
      </c>
      <c r="C1213" s="14" t="s">
        <v>2016</v>
      </c>
      <c r="D1213" s="10"/>
      <c r="E1213" s="10" t="s">
        <v>273</v>
      </c>
      <c r="F1213" s="56" t="n">
        <v>1</v>
      </c>
      <c r="G1213" s="56" t="n">
        <v>0</v>
      </c>
      <c r="H1213" s="56">
        <f>F1213*AO1213</f>
      </c>
      <c r="I1213" s="56">
        <f>F1213*AP1213</f>
      </c>
      <c r="J1213" s="56">
        <f>F1213*G1213</f>
      </c>
      <c r="K1213" s="111" t="s">
        <v>71</v>
      </c>
      <c r="Z1213" s="56">
        <f>IF(AQ1213="5",BJ1213,0)</f>
      </c>
      <c r="AB1213" s="56">
        <f>IF(AQ1213="1",BH1213,0)</f>
      </c>
      <c r="AC1213" s="56">
        <f>IF(AQ1213="1",BI1213,0)</f>
      </c>
      <c r="AD1213" s="56">
        <f>IF(AQ1213="7",BH1213,0)</f>
      </c>
      <c r="AE1213" s="56">
        <f>IF(AQ1213="7",BI1213,0)</f>
      </c>
      <c r="AF1213" s="56">
        <f>IF(AQ1213="2",BH1213,0)</f>
      </c>
      <c r="AG1213" s="56">
        <f>IF(AQ1213="2",BI1213,0)</f>
      </c>
      <c r="AH1213" s="56">
        <f>IF(AQ1213="0",BJ1213,0)</f>
      </c>
      <c r="AI1213" s="28" t="s">
        <v>1820</v>
      </c>
      <c r="AJ1213" s="56">
        <f>IF(AN1213=0,J1213,0)</f>
      </c>
      <c r="AK1213" s="56">
        <f>IF(AN1213=12,J1213,0)</f>
      </c>
      <c r="AL1213" s="56">
        <f>IF(AN1213=21,J1213,0)</f>
      </c>
      <c r="AN1213" s="56" t="n">
        <v>21</v>
      </c>
      <c r="AO1213" s="56">
        <f>G1213*0</f>
      </c>
      <c r="AP1213" s="56">
        <f>G1213*(1-0)</f>
      </c>
      <c r="AQ1213" s="57" t="s">
        <v>61</v>
      </c>
      <c r="AV1213" s="56">
        <f>AW1213+AX1213</f>
      </c>
      <c r="AW1213" s="56">
        <f>F1213*AO1213</f>
      </c>
      <c r="AX1213" s="56">
        <f>F1213*AP1213</f>
      </c>
      <c r="AY1213" s="57" t="s">
        <v>1985</v>
      </c>
      <c r="AZ1213" s="57" t="s">
        <v>1825</v>
      </c>
      <c r="BA1213" s="28" t="s">
        <v>1826</v>
      </c>
      <c r="BC1213" s="56">
        <f>AW1213+AX1213</f>
      </c>
      <c r="BD1213" s="56">
        <f>G1213/(100-BE1213)*100</f>
      </c>
      <c r="BE1213" s="56" t="n">
        <v>0</v>
      </c>
      <c r="BF1213" s="56">
        <f>1213</f>
      </c>
      <c r="BH1213" s="56">
        <f>F1213*AO1213</f>
      </c>
      <c r="BI1213" s="56">
        <f>F1213*AP1213</f>
      </c>
      <c r="BJ1213" s="56">
        <f>F1213*G1213</f>
      </c>
      <c r="BK1213" s="56"/>
      <c r="BL1213" s="56"/>
      <c r="BW1213" s="56" t="n">
        <v>21</v>
      </c>
      <c r="BX1213" s="14" t="s">
        <v>2016</v>
      </c>
    </row>
    <row r="1214" customHeight="true" ht="13.5">
      <c r="A1214" s="112"/>
      <c r="C1214" s="81" t="s">
        <v>2017</v>
      </c>
      <c r="D1214" s="113"/>
      <c r="E1214" s="113"/>
      <c r="F1214" s="113"/>
      <c r="G1214" s="113"/>
      <c r="H1214" s="113"/>
      <c r="I1214" s="113"/>
      <c r="J1214" s="113"/>
      <c r="K1214" s="114"/>
    </row>
    <row r="1215">
      <c r="A1215" s="112"/>
      <c r="C1215" s="140" t="s">
        <v>58</v>
      </c>
      <c r="D1215" s="113" t="s">
        <v>53</v>
      </c>
      <c r="F1215" s="141" t="n">
        <v>1</v>
      </c>
      <c r="K1215" s="142"/>
    </row>
    <row r="1216" ht="24.75">
      <c r="A1216" s="9" t="s">
        <v>2018</v>
      </c>
      <c r="B1216" s="10" t="s">
        <v>2019</v>
      </c>
      <c r="C1216" s="14" t="s">
        <v>2020</v>
      </c>
      <c r="D1216" s="10"/>
      <c r="E1216" s="10" t="s">
        <v>273</v>
      </c>
      <c r="F1216" s="56" t="n">
        <v>12</v>
      </c>
      <c r="G1216" s="56" t="n">
        <v>0</v>
      </c>
      <c r="H1216" s="56">
        <f>F1216*AO1216</f>
      </c>
      <c r="I1216" s="56">
        <f>F1216*AP1216</f>
      </c>
      <c r="J1216" s="56">
        <f>F1216*G1216</f>
      </c>
      <c r="K1216" s="111" t="s">
        <v>71</v>
      </c>
      <c r="Z1216" s="56">
        <f>IF(AQ1216="5",BJ1216,0)</f>
      </c>
      <c r="AB1216" s="56">
        <f>IF(AQ1216="1",BH1216,0)</f>
      </c>
      <c r="AC1216" s="56">
        <f>IF(AQ1216="1",BI1216,0)</f>
      </c>
      <c r="AD1216" s="56">
        <f>IF(AQ1216="7",BH1216,0)</f>
      </c>
      <c r="AE1216" s="56">
        <f>IF(AQ1216="7",BI1216,0)</f>
      </c>
      <c r="AF1216" s="56">
        <f>IF(AQ1216="2",BH1216,0)</f>
      </c>
      <c r="AG1216" s="56">
        <f>IF(AQ1216="2",BI1216,0)</f>
      </c>
      <c r="AH1216" s="56">
        <f>IF(AQ1216="0",BJ1216,0)</f>
      </c>
      <c r="AI1216" s="28" t="s">
        <v>1820</v>
      </c>
      <c r="AJ1216" s="56">
        <f>IF(AN1216=0,J1216,0)</f>
      </c>
      <c r="AK1216" s="56">
        <f>IF(AN1216=12,J1216,0)</f>
      </c>
      <c r="AL1216" s="56">
        <f>IF(AN1216=21,J1216,0)</f>
      </c>
      <c r="AN1216" s="56" t="n">
        <v>21</v>
      </c>
      <c r="AO1216" s="56">
        <f>G1216*0</f>
      </c>
      <c r="AP1216" s="56">
        <f>G1216*(1-0)</f>
      </c>
      <c r="AQ1216" s="57" t="s">
        <v>61</v>
      </c>
      <c r="AV1216" s="56">
        <f>AW1216+AX1216</f>
      </c>
      <c r="AW1216" s="56">
        <f>F1216*AO1216</f>
      </c>
      <c r="AX1216" s="56">
        <f>F1216*AP1216</f>
      </c>
      <c r="AY1216" s="57" t="s">
        <v>1985</v>
      </c>
      <c r="AZ1216" s="57" t="s">
        <v>1825</v>
      </c>
      <c r="BA1216" s="28" t="s">
        <v>1826</v>
      </c>
      <c r="BC1216" s="56">
        <f>AW1216+AX1216</f>
      </c>
      <c r="BD1216" s="56">
        <f>G1216/(100-BE1216)*100</f>
      </c>
      <c r="BE1216" s="56" t="n">
        <v>0</v>
      </c>
      <c r="BF1216" s="56">
        <f>1216</f>
      </c>
      <c r="BH1216" s="56">
        <f>F1216*AO1216</f>
      </c>
      <c r="BI1216" s="56">
        <f>F1216*AP1216</f>
      </c>
      <c r="BJ1216" s="56">
        <f>F1216*G1216</f>
      </c>
      <c r="BK1216" s="56"/>
      <c r="BL1216" s="56"/>
      <c r="BW1216" s="56" t="n">
        <v>21</v>
      </c>
      <c r="BX1216" s="14" t="s">
        <v>2020</v>
      </c>
    </row>
    <row r="1217" customHeight="true" ht="13.5">
      <c r="A1217" s="112"/>
      <c r="C1217" s="81" t="s">
        <v>2021</v>
      </c>
      <c r="D1217" s="113"/>
      <c r="E1217" s="113"/>
      <c r="F1217" s="113"/>
      <c r="G1217" s="113"/>
      <c r="H1217" s="113"/>
      <c r="I1217" s="113"/>
      <c r="J1217" s="113"/>
      <c r="K1217" s="114"/>
    </row>
    <row r="1218">
      <c r="A1218" s="112"/>
      <c r="C1218" s="140" t="s">
        <v>118</v>
      </c>
      <c r="D1218" s="113" t="s">
        <v>53</v>
      </c>
      <c r="F1218" s="141" t="n">
        <v>12</v>
      </c>
      <c r="K1218" s="142"/>
    </row>
    <row r="1219" ht="24.75">
      <c r="A1219" s="9" t="s">
        <v>2022</v>
      </c>
      <c r="B1219" s="10" t="s">
        <v>2023</v>
      </c>
      <c r="C1219" s="14" t="s">
        <v>2020</v>
      </c>
      <c r="D1219" s="10"/>
      <c r="E1219" s="10" t="s">
        <v>273</v>
      </c>
      <c r="F1219" s="56" t="n">
        <v>4</v>
      </c>
      <c r="G1219" s="56" t="n">
        <v>0</v>
      </c>
      <c r="H1219" s="56">
        <f>F1219*AO1219</f>
      </c>
      <c r="I1219" s="56">
        <f>F1219*AP1219</f>
      </c>
      <c r="J1219" s="56">
        <f>F1219*G1219</f>
      </c>
      <c r="K1219" s="111" t="s">
        <v>71</v>
      </c>
      <c r="Z1219" s="56">
        <f>IF(AQ1219="5",BJ1219,0)</f>
      </c>
      <c r="AB1219" s="56">
        <f>IF(AQ1219="1",BH1219,0)</f>
      </c>
      <c r="AC1219" s="56">
        <f>IF(AQ1219="1",BI1219,0)</f>
      </c>
      <c r="AD1219" s="56">
        <f>IF(AQ1219="7",BH1219,0)</f>
      </c>
      <c r="AE1219" s="56">
        <f>IF(AQ1219="7",BI1219,0)</f>
      </c>
      <c r="AF1219" s="56">
        <f>IF(AQ1219="2",BH1219,0)</f>
      </c>
      <c r="AG1219" s="56">
        <f>IF(AQ1219="2",BI1219,0)</f>
      </c>
      <c r="AH1219" s="56">
        <f>IF(AQ1219="0",BJ1219,0)</f>
      </c>
      <c r="AI1219" s="28" t="s">
        <v>1820</v>
      </c>
      <c r="AJ1219" s="56">
        <f>IF(AN1219=0,J1219,0)</f>
      </c>
      <c r="AK1219" s="56">
        <f>IF(AN1219=12,J1219,0)</f>
      </c>
      <c r="AL1219" s="56">
        <f>IF(AN1219=21,J1219,0)</f>
      </c>
      <c r="AN1219" s="56" t="n">
        <v>21</v>
      </c>
      <c r="AO1219" s="56">
        <f>G1219*0</f>
      </c>
      <c r="AP1219" s="56">
        <f>G1219*(1-0)</f>
      </c>
      <c r="AQ1219" s="57" t="s">
        <v>61</v>
      </c>
      <c r="AV1219" s="56">
        <f>AW1219+AX1219</f>
      </c>
      <c r="AW1219" s="56">
        <f>F1219*AO1219</f>
      </c>
      <c r="AX1219" s="56">
        <f>F1219*AP1219</f>
      </c>
      <c r="AY1219" s="57" t="s">
        <v>1985</v>
      </c>
      <c r="AZ1219" s="57" t="s">
        <v>1825</v>
      </c>
      <c r="BA1219" s="28" t="s">
        <v>1826</v>
      </c>
      <c r="BC1219" s="56">
        <f>AW1219+AX1219</f>
      </c>
      <c r="BD1219" s="56">
        <f>G1219/(100-BE1219)*100</f>
      </c>
      <c r="BE1219" s="56" t="n">
        <v>0</v>
      </c>
      <c r="BF1219" s="56">
        <f>1219</f>
      </c>
      <c r="BH1219" s="56">
        <f>F1219*AO1219</f>
      </c>
      <c r="BI1219" s="56">
        <f>F1219*AP1219</f>
      </c>
      <c r="BJ1219" s="56">
        <f>F1219*G1219</f>
      </c>
      <c r="BK1219" s="56"/>
      <c r="BL1219" s="56"/>
      <c r="BW1219" s="56" t="n">
        <v>21</v>
      </c>
      <c r="BX1219" s="14" t="s">
        <v>2020</v>
      </c>
    </row>
    <row r="1220" customHeight="true" ht="13.5">
      <c r="A1220" s="112"/>
      <c r="C1220" s="81" t="s">
        <v>2024</v>
      </c>
      <c r="D1220" s="113"/>
      <c r="E1220" s="113"/>
      <c r="F1220" s="113"/>
      <c r="G1220" s="113"/>
      <c r="H1220" s="113"/>
      <c r="I1220" s="113"/>
      <c r="J1220" s="113"/>
      <c r="K1220" s="114"/>
    </row>
    <row r="1221">
      <c r="A1221" s="112"/>
      <c r="C1221" s="140" t="s">
        <v>76</v>
      </c>
      <c r="D1221" s="113" t="s">
        <v>53</v>
      </c>
      <c r="F1221" s="141" t="n">
        <v>4</v>
      </c>
      <c r="K1221" s="142"/>
    </row>
    <row r="1222" ht="24.75">
      <c r="A1222" s="9" t="s">
        <v>2025</v>
      </c>
      <c r="B1222" s="10" t="s">
        <v>2026</v>
      </c>
      <c r="C1222" s="14" t="s">
        <v>2020</v>
      </c>
      <c r="D1222" s="10"/>
      <c r="E1222" s="10" t="s">
        <v>273</v>
      </c>
      <c r="F1222" s="56" t="n">
        <v>1</v>
      </c>
      <c r="G1222" s="56" t="n">
        <v>0</v>
      </c>
      <c r="H1222" s="56">
        <f>F1222*AO1222</f>
      </c>
      <c r="I1222" s="56">
        <f>F1222*AP1222</f>
      </c>
      <c r="J1222" s="56">
        <f>F1222*G1222</f>
      </c>
      <c r="K1222" s="111" t="s">
        <v>71</v>
      </c>
      <c r="Z1222" s="56">
        <f>IF(AQ1222="5",BJ1222,0)</f>
      </c>
      <c r="AB1222" s="56">
        <f>IF(AQ1222="1",BH1222,0)</f>
      </c>
      <c r="AC1222" s="56">
        <f>IF(AQ1222="1",BI1222,0)</f>
      </c>
      <c r="AD1222" s="56">
        <f>IF(AQ1222="7",BH1222,0)</f>
      </c>
      <c r="AE1222" s="56">
        <f>IF(AQ1222="7",BI1222,0)</f>
      </c>
      <c r="AF1222" s="56">
        <f>IF(AQ1222="2",BH1222,0)</f>
      </c>
      <c r="AG1222" s="56">
        <f>IF(AQ1222="2",BI1222,0)</f>
      </c>
      <c r="AH1222" s="56">
        <f>IF(AQ1222="0",BJ1222,0)</f>
      </c>
      <c r="AI1222" s="28" t="s">
        <v>1820</v>
      </c>
      <c r="AJ1222" s="56">
        <f>IF(AN1222=0,J1222,0)</f>
      </c>
      <c r="AK1222" s="56">
        <f>IF(AN1222=12,J1222,0)</f>
      </c>
      <c r="AL1222" s="56">
        <f>IF(AN1222=21,J1222,0)</f>
      </c>
      <c r="AN1222" s="56" t="n">
        <v>21</v>
      </c>
      <c r="AO1222" s="56">
        <f>G1222*0</f>
      </c>
      <c r="AP1222" s="56">
        <f>G1222*(1-0)</f>
      </c>
      <c r="AQ1222" s="57" t="s">
        <v>61</v>
      </c>
      <c r="AV1222" s="56">
        <f>AW1222+AX1222</f>
      </c>
      <c r="AW1222" s="56">
        <f>F1222*AO1222</f>
      </c>
      <c r="AX1222" s="56">
        <f>F1222*AP1222</f>
      </c>
      <c r="AY1222" s="57" t="s">
        <v>1985</v>
      </c>
      <c r="AZ1222" s="57" t="s">
        <v>1825</v>
      </c>
      <c r="BA1222" s="28" t="s">
        <v>1826</v>
      </c>
      <c r="BC1222" s="56">
        <f>AW1222+AX1222</f>
      </c>
      <c r="BD1222" s="56">
        <f>G1222/(100-BE1222)*100</f>
      </c>
      <c r="BE1222" s="56" t="n">
        <v>0</v>
      </c>
      <c r="BF1222" s="56">
        <f>1222</f>
      </c>
      <c r="BH1222" s="56">
        <f>F1222*AO1222</f>
      </c>
      <c r="BI1222" s="56">
        <f>F1222*AP1222</f>
      </c>
      <c r="BJ1222" s="56">
        <f>F1222*G1222</f>
      </c>
      <c r="BK1222" s="56"/>
      <c r="BL1222" s="56"/>
      <c r="BW1222" s="56" t="n">
        <v>21</v>
      </c>
      <c r="BX1222" s="14" t="s">
        <v>2020</v>
      </c>
    </row>
    <row r="1223" customHeight="true" ht="13.5">
      <c r="A1223" s="112"/>
      <c r="C1223" s="81" t="s">
        <v>2027</v>
      </c>
      <c r="D1223" s="113"/>
      <c r="E1223" s="113"/>
      <c r="F1223" s="113"/>
      <c r="G1223" s="113"/>
      <c r="H1223" s="113"/>
      <c r="I1223" s="113"/>
      <c r="J1223" s="113"/>
      <c r="K1223" s="114"/>
    </row>
    <row r="1224">
      <c r="A1224" s="112"/>
      <c r="C1224" s="140" t="s">
        <v>58</v>
      </c>
      <c r="D1224" s="113" t="s">
        <v>53</v>
      </c>
      <c r="F1224" s="141" t="n">
        <v>1</v>
      </c>
      <c r="K1224" s="142"/>
    </row>
    <row r="1225" ht="24.75">
      <c r="A1225" s="9" t="s">
        <v>2028</v>
      </c>
      <c r="B1225" s="10" t="s">
        <v>2029</v>
      </c>
      <c r="C1225" s="14" t="s">
        <v>2020</v>
      </c>
      <c r="D1225" s="10"/>
      <c r="E1225" s="10" t="s">
        <v>273</v>
      </c>
      <c r="F1225" s="56" t="n">
        <v>1</v>
      </c>
      <c r="G1225" s="56" t="n">
        <v>0</v>
      </c>
      <c r="H1225" s="56">
        <f>F1225*AO1225</f>
      </c>
      <c r="I1225" s="56">
        <f>F1225*AP1225</f>
      </c>
      <c r="J1225" s="56">
        <f>F1225*G1225</f>
      </c>
      <c r="K1225" s="111" t="s">
        <v>71</v>
      </c>
      <c r="Z1225" s="56">
        <f>IF(AQ1225="5",BJ1225,0)</f>
      </c>
      <c r="AB1225" s="56">
        <f>IF(AQ1225="1",BH1225,0)</f>
      </c>
      <c r="AC1225" s="56">
        <f>IF(AQ1225="1",BI1225,0)</f>
      </c>
      <c r="AD1225" s="56">
        <f>IF(AQ1225="7",BH1225,0)</f>
      </c>
      <c r="AE1225" s="56">
        <f>IF(AQ1225="7",BI1225,0)</f>
      </c>
      <c r="AF1225" s="56">
        <f>IF(AQ1225="2",BH1225,0)</f>
      </c>
      <c r="AG1225" s="56">
        <f>IF(AQ1225="2",BI1225,0)</f>
      </c>
      <c r="AH1225" s="56">
        <f>IF(AQ1225="0",BJ1225,0)</f>
      </c>
      <c r="AI1225" s="28" t="s">
        <v>1820</v>
      </c>
      <c r="AJ1225" s="56">
        <f>IF(AN1225=0,J1225,0)</f>
      </c>
      <c r="AK1225" s="56">
        <f>IF(AN1225=12,J1225,0)</f>
      </c>
      <c r="AL1225" s="56">
        <f>IF(AN1225=21,J1225,0)</f>
      </c>
      <c r="AN1225" s="56" t="n">
        <v>21</v>
      </c>
      <c r="AO1225" s="56">
        <f>G1225*0</f>
      </c>
      <c r="AP1225" s="56">
        <f>G1225*(1-0)</f>
      </c>
      <c r="AQ1225" s="57" t="s">
        <v>61</v>
      </c>
      <c r="AV1225" s="56">
        <f>AW1225+AX1225</f>
      </c>
      <c r="AW1225" s="56">
        <f>F1225*AO1225</f>
      </c>
      <c r="AX1225" s="56">
        <f>F1225*AP1225</f>
      </c>
      <c r="AY1225" s="57" t="s">
        <v>1985</v>
      </c>
      <c r="AZ1225" s="57" t="s">
        <v>1825</v>
      </c>
      <c r="BA1225" s="28" t="s">
        <v>1826</v>
      </c>
      <c r="BC1225" s="56">
        <f>AW1225+AX1225</f>
      </c>
      <c r="BD1225" s="56">
        <f>G1225/(100-BE1225)*100</f>
      </c>
      <c r="BE1225" s="56" t="n">
        <v>0</v>
      </c>
      <c r="BF1225" s="56">
        <f>1225</f>
      </c>
      <c r="BH1225" s="56">
        <f>F1225*AO1225</f>
      </c>
      <c r="BI1225" s="56">
        <f>F1225*AP1225</f>
      </c>
      <c r="BJ1225" s="56">
        <f>F1225*G1225</f>
      </c>
      <c r="BK1225" s="56"/>
      <c r="BL1225" s="56"/>
      <c r="BW1225" s="56" t="n">
        <v>21</v>
      </c>
      <c r="BX1225" s="14" t="s">
        <v>2020</v>
      </c>
    </row>
    <row r="1226" customHeight="true" ht="13.5">
      <c r="A1226" s="112"/>
      <c r="C1226" s="81" t="s">
        <v>2030</v>
      </c>
      <c r="D1226" s="113"/>
      <c r="E1226" s="113"/>
      <c r="F1226" s="113"/>
      <c r="G1226" s="113"/>
      <c r="H1226" s="113"/>
      <c r="I1226" s="113"/>
      <c r="J1226" s="113"/>
      <c r="K1226" s="114"/>
    </row>
    <row r="1227">
      <c r="A1227" s="112"/>
      <c r="C1227" s="140" t="s">
        <v>58</v>
      </c>
      <c r="D1227" s="113" t="s">
        <v>53</v>
      </c>
      <c r="F1227" s="141" t="n">
        <v>1</v>
      </c>
      <c r="K1227" s="142"/>
    </row>
    <row r="1228" ht="24.75">
      <c r="A1228" s="9" t="s">
        <v>2031</v>
      </c>
      <c r="B1228" s="10" t="s">
        <v>2032</v>
      </c>
      <c r="C1228" s="14" t="s">
        <v>2020</v>
      </c>
      <c r="D1228" s="10"/>
      <c r="E1228" s="10" t="s">
        <v>273</v>
      </c>
      <c r="F1228" s="56" t="n">
        <v>29</v>
      </c>
      <c r="G1228" s="56" t="n">
        <v>0</v>
      </c>
      <c r="H1228" s="56">
        <f>F1228*AO1228</f>
      </c>
      <c r="I1228" s="56">
        <f>F1228*AP1228</f>
      </c>
      <c r="J1228" s="56">
        <f>F1228*G1228</f>
      </c>
      <c r="K1228" s="111" t="s">
        <v>71</v>
      </c>
      <c r="Z1228" s="56">
        <f>IF(AQ1228="5",BJ1228,0)</f>
      </c>
      <c r="AB1228" s="56">
        <f>IF(AQ1228="1",BH1228,0)</f>
      </c>
      <c r="AC1228" s="56">
        <f>IF(AQ1228="1",BI1228,0)</f>
      </c>
      <c r="AD1228" s="56">
        <f>IF(AQ1228="7",BH1228,0)</f>
      </c>
      <c r="AE1228" s="56">
        <f>IF(AQ1228="7",BI1228,0)</f>
      </c>
      <c r="AF1228" s="56">
        <f>IF(AQ1228="2",BH1228,0)</f>
      </c>
      <c r="AG1228" s="56">
        <f>IF(AQ1228="2",BI1228,0)</f>
      </c>
      <c r="AH1228" s="56">
        <f>IF(AQ1228="0",BJ1228,0)</f>
      </c>
      <c r="AI1228" s="28" t="s">
        <v>1820</v>
      </c>
      <c r="AJ1228" s="56">
        <f>IF(AN1228=0,J1228,0)</f>
      </c>
      <c r="AK1228" s="56">
        <f>IF(AN1228=12,J1228,0)</f>
      </c>
      <c r="AL1228" s="56">
        <f>IF(AN1228=21,J1228,0)</f>
      </c>
      <c r="AN1228" s="56" t="n">
        <v>21</v>
      </c>
      <c r="AO1228" s="56">
        <f>G1228*0</f>
      </c>
      <c r="AP1228" s="56">
        <f>G1228*(1-0)</f>
      </c>
      <c r="AQ1228" s="57" t="s">
        <v>61</v>
      </c>
      <c r="AV1228" s="56">
        <f>AW1228+AX1228</f>
      </c>
      <c r="AW1228" s="56">
        <f>F1228*AO1228</f>
      </c>
      <c r="AX1228" s="56">
        <f>F1228*AP1228</f>
      </c>
      <c r="AY1228" s="57" t="s">
        <v>1985</v>
      </c>
      <c r="AZ1228" s="57" t="s">
        <v>1825</v>
      </c>
      <c r="BA1228" s="28" t="s">
        <v>1826</v>
      </c>
      <c r="BC1228" s="56">
        <f>AW1228+AX1228</f>
      </c>
      <c r="BD1228" s="56">
        <f>G1228/(100-BE1228)*100</f>
      </c>
      <c r="BE1228" s="56" t="n">
        <v>0</v>
      </c>
      <c r="BF1228" s="56">
        <f>1228</f>
      </c>
      <c r="BH1228" s="56">
        <f>F1228*AO1228</f>
      </c>
      <c r="BI1228" s="56">
        <f>F1228*AP1228</f>
      </c>
      <c r="BJ1228" s="56">
        <f>F1228*G1228</f>
      </c>
      <c r="BK1228" s="56"/>
      <c r="BL1228" s="56"/>
      <c r="BW1228" s="56" t="n">
        <v>21</v>
      </c>
      <c r="BX1228" s="14" t="s">
        <v>2020</v>
      </c>
    </row>
    <row r="1229" customHeight="true" ht="13.5">
      <c r="A1229" s="112"/>
      <c r="C1229" s="81" t="s">
        <v>2033</v>
      </c>
      <c r="D1229" s="113"/>
      <c r="E1229" s="113"/>
      <c r="F1229" s="113"/>
      <c r="G1229" s="113"/>
      <c r="H1229" s="113"/>
      <c r="I1229" s="113"/>
      <c r="J1229" s="113"/>
      <c r="K1229" s="114"/>
    </row>
    <row r="1230">
      <c r="A1230" s="112"/>
      <c r="C1230" s="140" t="s">
        <v>239</v>
      </c>
      <c r="D1230" s="113" t="s">
        <v>53</v>
      </c>
      <c r="F1230" s="141" t="n">
        <v>29</v>
      </c>
      <c r="K1230" s="142"/>
    </row>
    <row r="1231" ht="24.75">
      <c r="A1231" s="9" t="s">
        <v>2034</v>
      </c>
      <c r="B1231" s="10" t="s">
        <v>2035</v>
      </c>
      <c r="C1231" s="14" t="s">
        <v>2020</v>
      </c>
      <c r="D1231" s="10"/>
      <c r="E1231" s="10" t="s">
        <v>273</v>
      </c>
      <c r="F1231" s="56" t="n">
        <v>13</v>
      </c>
      <c r="G1231" s="56" t="n">
        <v>0</v>
      </c>
      <c r="H1231" s="56">
        <f>F1231*AO1231</f>
      </c>
      <c r="I1231" s="56">
        <f>F1231*AP1231</f>
      </c>
      <c r="J1231" s="56">
        <f>F1231*G1231</f>
      </c>
      <c r="K1231" s="111" t="s">
        <v>71</v>
      </c>
      <c r="Z1231" s="56">
        <f>IF(AQ1231="5",BJ1231,0)</f>
      </c>
      <c r="AB1231" s="56">
        <f>IF(AQ1231="1",BH1231,0)</f>
      </c>
      <c r="AC1231" s="56">
        <f>IF(AQ1231="1",BI1231,0)</f>
      </c>
      <c r="AD1231" s="56">
        <f>IF(AQ1231="7",BH1231,0)</f>
      </c>
      <c r="AE1231" s="56">
        <f>IF(AQ1231="7",BI1231,0)</f>
      </c>
      <c r="AF1231" s="56">
        <f>IF(AQ1231="2",BH1231,0)</f>
      </c>
      <c r="AG1231" s="56">
        <f>IF(AQ1231="2",BI1231,0)</f>
      </c>
      <c r="AH1231" s="56">
        <f>IF(AQ1231="0",BJ1231,0)</f>
      </c>
      <c r="AI1231" s="28" t="s">
        <v>1820</v>
      </c>
      <c r="AJ1231" s="56">
        <f>IF(AN1231=0,J1231,0)</f>
      </c>
      <c r="AK1231" s="56">
        <f>IF(AN1231=12,J1231,0)</f>
      </c>
      <c r="AL1231" s="56">
        <f>IF(AN1231=21,J1231,0)</f>
      </c>
      <c r="AN1231" s="56" t="n">
        <v>21</v>
      </c>
      <c r="AO1231" s="56">
        <f>G1231*0</f>
      </c>
      <c r="AP1231" s="56">
        <f>G1231*(1-0)</f>
      </c>
      <c r="AQ1231" s="57" t="s">
        <v>61</v>
      </c>
      <c r="AV1231" s="56">
        <f>AW1231+AX1231</f>
      </c>
      <c r="AW1231" s="56">
        <f>F1231*AO1231</f>
      </c>
      <c r="AX1231" s="56">
        <f>F1231*AP1231</f>
      </c>
      <c r="AY1231" s="57" t="s">
        <v>1985</v>
      </c>
      <c r="AZ1231" s="57" t="s">
        <v>1825</v>
      </c>
      <c r="BA1231" s="28" t="s">
        <v>1826</v>
      </c>
      <c r="BC1231" s="56">
        <f>AW1231+AX1231</f>
      </c>
      <c r="BD1231" s="56">
        <f>G1231/(100-BE1231)*100</f>
      </c>
      <c r="BE1231" s="56" t="n">
        <v>0</v>
      </c>
      <c r="BF1231" s="56">
        <f>1231</f>
      </c>
      <c r="BH1231" s="56">
        <f>F1231*AO1231</f>
      </c>
      <c r="BI1231" s="56">
        <f>F1231*AP1231</f>
      </c>
      <c r="BJ1231" s="56">
        <f>F1231*G1231</f>
      </c>
      <c r="BK1231" s="56"/>
      <c r="BL1231" s="56"/>
      <c r="BW1231" s="56" t="n">
        <v>21</v>
      </c>
      <c r="BX1231" s="14" t="s">
        <v>2020</v>
      </c>
    </row>
    <row r="1232" customHeight="true" ht="13.5">
      <c r="A1232" s="112"/>
      <c r="C1232" s="81" t="s">
        <v>2036</v>
      </c>
      <c r="D1232" s="113"/>
      <c r="E1232" s="113"/>
      <c r="F1232" s="113"/>
      <c r="G1232" s="113"/>
      <c r="H1232" s="113"/>
      <c r="I1232" s="113"/>
      <c r="J1232" s="113"/>
      <c r="K1232" s="114"/>
    </row>
    <row r="1233">
      <c r="A1233" s="112"/>
      <c r="C1233" s="140" t="s">
        <v>127</v>
      </c>
      <c r="D1233" s="113" t="s">
        <v>53</v>
      </c>
      <c r="F1233" s="141" t="n">
        <v>13</v>
      </c>
      <c r="K1233" s="142"/>
    </row>
    <row r="1234" ht="24.75">
      <c r="A1234" s="9" t="s">
        <v>2037</v>
      </c>
      <c r="B1234" s="10" t="s">
        <v>2038</v>
      </c>
      <c r="C1234" s="14" t="s">
        <v>2020</v>
      </c>
      <c r="D1234" s="10"/>
      <c r="E1234" s="10" t="s">
        <v>273</v>
      </c>
      <c r="F1234" s="56" t="n">
        <v>1</v>
      </c>
      <c r="G1234" s="56" t="n">
        <v>0</v>
      </c>
      <c r="H1234" s="56">
        <f>F1234*AO1234</f>
      </c>
      <c r="I1234" s="56">
        <f>F1234*AP1234</f>
      </c>
      <c r="J1234" s="56">
        <f>F1234*G1234</f>
      </c>
      <c r="K1234" s="111" t="s">
        <v>71</v>
      </c>
      <c r="Z1234" s="56">
        <f>IF(AQ1234="5",BJ1234,0)</f>
      </c>
      <c r="AB1234" s="56">
        <f>IF(AQ1234="1",BH1234,0)</f>
      </c>
      <c r="AC1234" s="56">
        <f>IF(AQ1234="1",BI1234,0)</f>
      </c>
      <c r="AD1234" s="56">
        <f>IF(AQ1234="7",BH1234,0)</f>
      </c>
      <c r="AE1234" s="56">
        <f>IF(AQ1234="7",BI1234,0)</f>
      </c>
      <c r="AF1234" s="56">
        <f>IF(AQ1234="2",BH1234,0)</f>
      </c>
      <c r="AG1234" s="56">
        <f>IF(AQ1234="2",BI1234,0)</f>
      </c>
      <c r="AH1234" s="56">
        <f>IF(AQ1234="0",BJ1234,0)</f>
      </c>
      <c r="AI1234" s="28" t="s">
        <v>1820</v>
      </c>
      <c r="AJ1234" s="56">
        <f>IF(AN1234=0,J1234,0)</f>
      </c>
      <c r="AK1234" s="56">
        <f>IF(AN1234=12,J1234,0)</f>
      </c>
      <c r="AL1234" s="56">
        <f>IF(AN1234=21,J1234,0)</f>
      </c>
      <c r="AN1234" s="56" t="n">
        <v>21</v>
      </c>
      <c r="AO1234" s="56">
        <f>G1234*0</f>
      </c>
      <c r="AP1234" s="56">
        <f>G1234*(1-0)</f>
      </c>
      <c r="AQ1234" s="57" t="s">
        <v>61</v>
      </c>
      <c r="AV1234" s="56">
        <f>AW1234+AX1234</f>
      </c>
      <c r="AW1234" s="56">
        <f>F1234*AO1234</f>
      </c>
      <c r="AX1234" s="56">
        <f>F1234*AP1234</f>
      </c>
      <c r="AY1234" s="57" t="s">
        <v>1985</v>
      </c>
      <c r="AZ1234" s="57" t="s">
        <v>1825</v>
      </c>
      <c r="BA1234" s="28" t="s">
        <v>1826</v>
      </c>
      <c r="BC1234" s="56">
        <f>AW1234+AX1234</f>
      </c>
      <c r="BD1234" s="56">
        <f>G1234/(100-BE1234)*100</f>
      </c>
      <c r="BE1234" s="56" t="n">
        <v>0</v>
      </c>
      <c r="BF1234" s="56">
        <f>1234</f>
      </c>
      <c r="BH1234" s="56">
        <f>F1234*AO1234</f>
      </c>
      <c r="BI1234" s="56">
        <f>F1234*AP1234</f>
      </c>
      <c r="BJ1234" s="56">
        <f>F1234*G1234</f>
      </c>
      <c r="BK1234" s="56"/>
      <c r="BL1234" s="56"/>
      <c r="BW1234" s="56" t="n">
        <v>21</v>
      </c>
      <c r="BX1234" s="14" t="s">
        <v>2020</v>
      </c>
    </row>
    <row r="1235" customHeight="true" ht="13.5">
      <c r="A1235" s="112"/>
      <c r="C1235" s="81" t="s">
        <v>2039</v>
      </c>
      <c r="D1235" s="113"/>
      <c r="E1235" s="113"/>
      <c r="F1235" s="113"/>
      <c r="G1235" s="113"/>
      <c r="H1235" s="113"/>
      <c r="I1235" s="113"/>
      <c r="J1235" s="113"/>
      <c r="K1235" s="114"/>
    </row>
    <row r="1236">
      <c r="A1236" s="112"/>
      <c r="C1236" s="140" t="s">
        <v>58</v>
      </c>
      <c r="D1236" s="113" t="s">
        <v>53</v>
      </c>
      <c r="F1236" s="141" t="n">
        <v>1</v>
      </c>
      <c r="K1236" s="142"/>
    </row>
    <row r="1237">
      <c r="A1237" s="9" t="s">
        <v>2040</v>
      </c>
      <c r="B1237" s="10" t="s">
        <v>2041</v>
      </c>
      <c r="C1237" s="14" t="s">
        <v>2042</v>
      </c>
      <c r="D1237" s="10"/>
      <c r="E1237" s="10" t="s">
        <v>273</v>
      </c>
      <c r="F1237" s="56" t="n">
        <v>25</v>
      </c>
      <c r="G1237" s="56" t="n">
        <v>0</v>
      </c>
      <c r="H1237" s="56">
        <f>F1237*AO1237</f>
      </c>
      <c r="I1237" s="56">
        <f>F1237*AP1237</f>
      </c>
      <c r="J1237" s="56">
        <f>F1237*G1237</f>
      </c>
      <c r="K1237" s="111" t="s">
        <v>71</v>
      </c>
      <c r="Z1237" s="56">
        <f>IF(AQ1237="5",BJ1237,0)</f>
      </c>
      <c r="AB1237" s="56">
        <f>IF(AQ1237="1",BH1237,0)</f>
      </c>
      <c r="AC1237" s="56">
        <f>IF(AQ1237="1",BI1237,0)</f>
      </c>
      <c r="AD1237" s="56">
        <f>IF(AQ1237="7",BH1237,0)</f>
      </c>
      <c r="AE1237" s="56">
        <f>IF(AQ1237="7",BI1237,0)</f>
      </c>
      <c r="AF1237" s="56">
        <f>IF(AQ1237="2",BH1237,0)</f>
      </c>
      <c r="AG1237" s="56">
        <f>IF(AQ1237="2",BI1237,0)</f>
      </c>
      <c r="AH1237" s="56">
        <f>IF(AQ1237="0",BJ1237,0)</f>
      </c>
      <c r="AI1237" s="28" t="s">
        <v>1820</v>
      </c>
      <c r="AJ1237" s="56">
        <f>IF(AN1237=0,J1237,0)</f>
      </c>
      <c r="AK1237" s="56">
        <f>IF(AN1237=12,J1237,0)</f>
      </c>
      <c r="AL1237" s="56">
        <f>IF(AN1237=21,J1237,0)</f>
      </c>
      <c r="AN1237" s="56" t="n">
        <v>21</v>
      </c>
      <c r="AO1237" s="56">
        <f>G1237*0</f>
      </c>
      <c r="AP1237" s="56">
        <f>G1237*(1-0)</f>
      </c>
      <c r="AQ1237" s="57" t="s">
        <v>61</v>
      </c>
      <c r="AV1237" s="56">
        <f>AW1237+AX1237</f>
      </c>
      <c r="AW1237" s="56">
        <f>F1237*AO1237</f>
      </c>
      <c r="AX1237" s="56">
        <f>F1237*AP1237</f>
      </c>
      <c r="AY1237" s="57" t="s">
        <v>1985</v>
      </c>
      <c r="AZ1237" s="57" t="s">
        <v>1825</v>
      </c>
      <c r="BA1237" s="28" t="s">
        <v>1826</v>
      </c>
      <c r="BC1237" s="56">
        <f>AW1237+AX1237</f>
      </c>
      <c r="BD1237" s="56">
        <f>G1237/(100-BE1237)*100</f>
      </c>
      <c r="BE1237" s="56" t="n">
        <v>0</v>
      </c>
      <c r="BF1237" s="56">
        <f>1237</f>
      </c>
      <c r="BH1237" s="56">
        <f>F1237*AO1237</f>
      </c>
      <c r="BI1237" s="56">
        <f>F1237*AP1237</f>
      </c>
      <c r="BJ1237" s="56">
        <f>F1237*G1237</f>
      </c>
      <c r="BK1237" s="56"/>
      <c r="BL1237" s="56"/>
      <c r="BW1237" s="56" t="n">
        <v>21</v>
      </c>
      <c r="BX1237" s="14" t="s">
        <v>2042</v>
      </c>
    </row>
    <row r="1238" customHeight="true" ht="13.5">
      <c r="A1238" s="112"/>
      <c r="C1238" s="81" t="s">
        <v>2043</v>
      </c>
      <c r="D1238" s="113"/>
      <c r="E1238" s="113"/>
      <c r="F1238" s="113"/>
      <c r="G1238" s="113"/>
      <c r="H1238" s="113"/>
      <c r="I1238" s="113"/>
      <c r="J1238" s="113"/>
      <c r="K1238" s="114"/>
    </row>
    <row r="1239">
      <c r="A1239" s="112"/>
      <c r="C1239" s="140" t="s">
        <v>213</v>
      </c>
      <c r="D1239" s="113" t="s">
        <v>53</v>
      </c>
      <c r="F1239" s="141" t="n">
        <v>25</v>
      </c>
      <c r="K1239" s="142"/>
    </row>
    <row r="1240">
      <c r="A1240" s="9" t="s">
        <v>2044</v>
      </c>
      <c r="B1240" s="10" t="s">
        <v>2045</v>
      </c>
      <c r="C1240" s="14" t="s">
        <v>2042</v>
      </c>
      <c r="D1240" s="10"/>
      <c r="E1240" s="10" t="s">
        <v>273</v>
      </c>
      <c r="F1240" s="56" t="n">
        <v>2</v>
      </c>
      <c r="G1240" s="56" t="n">
        <v>0</v>
      </c>
      <c r="H1240" s="56">
        <f>F1240*AO1240</f>
      </c>
      <c r="I1240" s="56">
        <f>F1240*AP1240</f>
      </c>
      <c r="J1240" s="56">
        <f>F1240*G1240</f>
      </c>
      <c r="K1240" s="111" t="s">
        <v>71</v>
      </c>
      <c r="Z1240" s="56">
        <f>IF(AQ1240="5",BJ1240,0)</f>
      </c>
      <c r="AB1240" s="56">
        <f>IF(AQ1240="1",BH1240,0)</f>
      </c>
      <c r="AC1240" s="56">
        <f>IF(AQ1240="1",BI1240,0)</f>
      </c>
      <c r="AD1240" s="56">
        <f>IF(AQ1240="7",BH1240,0)</f>
      </c>
      <c r="AE1240" s="56">
        <f>IF(AQ1240="7",BI1240,0)</f>
      </c>
      <c r="AF1240" s="56">
        <f>IF(AQ1240="2",BH1240,0)</f>
      </c>
      <c r="AG1240" s="56">
        <f>IF(AQ1240="2",BI1240,0)</f>
      </c>
      <c r="AH1240" s="56">
        <f>IF(AQ1240="0",BJ1240,0)</f>
      </c>
      <c r="AI1240" s="28" t="s">
        <v>1820</v>
      </c>
      <c r="AJ1240" s="56">
        <f>IF(AN1240=0,J1240,0)</f>
      </c>
      <c r="AK1240" s="56">
        <f>IF(AN1240=12,J1240,0)</f>
      </c>
      <c r="AL1240" s="56">
        <f>IF(AN1240=21,J1240,0)</f>
      </c>
      <c r="AN1240" s="56" t="n">
        <v>21</v>
      </c>
      <c r="AO1240" s="56">
        <f>G1240*0</f>
      </c>
      <c r="AP1240" s="56">
        <f>G1240*(1-0)</f>
      </c>
      <c r="AQ1240" s="57" t="s">
        <v>61</v>
      </c>
      <c r="AV1240" s="56">
        <f>AW1240+AX1240</f>
      </c>
      <c r="AW1240" s="56">
        <f>F1240*AO1240</f>
      </c>
      <c r="AX1240" s="56">
        <f>F1240*AP1240</f>
      </c>
      <c r="AY1240" s="57" t="s">
        <v>1985</v>
      </c>
      <c r="AZ1240" s="57" t="s">
        <v>1825</v>
      </c>
      <c r="BA1240" s="28" t="s">
        <v>1826</v>
      </c>
      <c r="BC1240" s="56">
        <f>AW1240+AX1240</f>
      </c>
      <c r="BD1240" s="56">
        <f>G1240/(100-BE1240)*100</f>
      </c>
      <c r="BE1240" s="56" t="n">
        <v>0</v>
      </c>
      <c r="BF1240" s="56">
        <f>1240</f>
      </c>
      <c r="BH1240" s="56">
        <f>F1240*AO1240</f>
      </c>
      <c r="BI1240" s="56">
        <f>F1240*AP1240</f>
      </c>
      <c r="BJ1240" s="56">
        <f>F1240*G1240</f>
      </c>
      <c r="BK1240" s="56"/>
      <c r="BL1240" s="56"/>
      <c r="BW1240" s="56" t="n">
        <v>21</v>
      </c>
      <c r="BX1240" s="14" t="s">
        <v>2042</v>
      </c>
    </row>
    <row r="1241" customHeight="true" ht="13.5">
      <c r="A1241" s="112"/>
      <c r="C1241" s="81" t="s">
        <v>2046</v>
      </c>
      <c r="D1241" s="113"/>
      <c r="E1241" s="113"/>
      <c r="F1241" s="113"/>
      <c r="G1241" s="113"/>
      <c r="H1241" s="113"/>
      <c r="I1241" s="113"/>
      <c r="J1241" s="113"/>
      <c r="K1241" s="114"/>
    </row>
    <row r="1242">
      <c r="A1242" s="112"/>
      <c r="C1242" s="140" t="s">
        <v>61</v>
      </c>
      <c r="D1242" s="113" t="s">
        <v>53</v>
      </c>
      <c r="F1242" s="141" t="n">
        <v>2</v>
      </c>
      <c r="K1242" s="142"/>
    </row>
    <row r="1243">
      <c r="A1243" s="9" t="s">
        <v>2047</v>
      </c>
      <c r="B1243" s="10" t="s">
        <v>2048</v>
      </c>
      <c r="C1243" s="14" t="s">
        <v>2042</v>
      </c>
      <c r="D1243" s="10"/>
      <c r="E1243" s="10" t="s">
        <v>273</v>
      </c>
      <c r="F1243" s="56" t="n">
        <v>1</v>
      </c>
      <c r="G1243" s="56" t="n">
        <v>0</v>
      </c>
      <c r="H1243" s="56">
        <f>F1243*AO1243</f>
      </c>
      <c r="I1243" s="56">
        <f>F1243*AP1243</f>
      </c>
      <c r="J1243" s="56">
        <f>F1243*G1243</f>
      </c>
      <c r="K1243" s="111" t="s">
        <v>71</v>
      </c>
      <c r="Z1243" s="56">
        <f>IF(AQ1243="5",BJ1243,0)</f>
      </c>
      <c r="AB1243" s="56">
        <f>IF(AQ1243="1",BH1243,0)</f>
      </c>
      <c r="AC1243" s="56">
        <f>IF(AQ1243="1",BI1243,0)</f>
      </c>
      <c r="AD1243" s="56">
        <f>IF(AQ1243="7",BH1243,0)</f>
      </c>
      <c r="AE1243" s="56">
        <f>IF(AQ1243="7",BI1243,0)</f>
      </c>
      <c r="AF1243" s="56">
        <f>IF(AQ1243="2",BH1243,0)</f>
      </c>
      <c r="AG1243" s="56">
        <f>IF(AQ1243="2",BI1243,0)</f>
      </c>
      <c r="AH1243" s="56">
        <f>IF(AQ1243="0",BJ1243,0)</f>
      </c>
      <c r="AI1243" s="28" t="s">
        <v>1820</v>
      </c>
      <c r="AJ1243" s="56">
        <f>IF(AN1243=0,J1243,0)</f>
      </c>
      <c r="AK1243" s="56">
        <f>IF(AN1243=12,J1243,0)</f>
      </c>
      <c r="AL1243" s="56">
        <f>IF(AN1243=21,J1243,0)</f>
      </c>
      <c r="AN1243" s="56" t="n">
        <v>21</v>
      </c>
      <c r="AO1243" s="56">
        <f>G1243*0</f>
      </c>
      <c r="AP1243" s="56">
        <f>G1243*(1-0)</f>
      </c>
      <c r="AQ1243" s="57" t="s">
        <v>61</v>
      </c>
      <c r="AV1243" s="56">
        <f>AW1243+AX1243</f>
      </c>
      <c r="AW1243" s="56">
        <f>F1243*AO1243</f>
      </c>
      <c r="AX1243" s="56">
        <f>F1243*AP1243</f>
      </c>
      <c r="AY1243" s="57" t="s">
        <v>1985</v>
      </c>
      <c r="AZ1243" s="57" t="s">
        <v>1825</v>
      </c>
      <c r="BA1243" s="28" t="s">
        <v>1826</v>
      </c>
      <c r="BC1243" s="56">
        <f>AW1243+AX1243</f>
      </c>
      <c r="BD1243" s="56">
        <f>G1243/(100-BE1243)*100</f>
      </c>
      <c r="BE1243" s="56" t="n">
        <v>0</v>
      </c>
      <c r="BF1243" s="56">
        <f>1243</f>
      </c>
      <c r="BH1243" s="56">
        <f>F1243*AO1243</f>
      </c>
      <c r="BI1243" s="56">
        <f>F1243*AP1243</f>
      </c>
      <c r="BJ1243" s="56">
        <f>F1243*G1243</f>
      </c>
      <c r="BK1243" s="56"/>
      <c r="BL1243" s="56"/>
      <c r="BW1243" s="56" t="n">
        <v>21</v>
      </c>
      <c r="BX1243" s="14" t="s">
        <v>2042</v>
      </c>
    </row>
    <row r="1244" customHeight="true" ht="13.5">
      <c r="A1244" s="112"/>
      <c r="C1244" s="81" t="s">
        <v>2049</v>
      </c>
      <c r="D1244" s="113"/>
      <c r="E1244" s="113"/>
      <c r="F1244" s="113"/>
      <c r="G1244" s="113"/>
      <c r="H1244" s="113"/>
      <c r="I1244" s="113"/>
      <c r="J1244" s="113"/>
      <c r="K1244" s="114"/>
    </row>
    <row r="1245">
      <c r="A1245" s="112"/>
      <c r="C1245" s="140" t="s">
        <v>58</v>
      </c>
      <c r="D1245" s="113" t="s">
        <v>53</v>
      </c>
      <c r="F1245" s="141" t="n">
        <v>1</v>
      </c>
      <c r="K1245" s="142"/>
    </row>
    <row r="1246">
      <c r="A1246" s="9" t="s">
        <v>2050</v>
      </c>
      <c r="B1246" s="10" t="s">
        <v>2051</v>
      </c>
      <c r="C1246" s="14" t="s">
        <v>2042</v>
      </c>
      <c r="D1246" s="10"/>
      <c r="E1246" s="10" t="s">
        <v>273</v>
      </c>
      <c r="F1246" s="56" t="n">
        <v>1</v>
      </c>
      <c r="G1246" s="56" t="n">
        <v>0</v>
      </c>
      <c r="H1246" s="56">
        <f>F1246*AO1246</f>
      </c>
      <c r="I1246" s="56">
        <f>F1246*AP1246</f>
      </c>
      <c r="J1246" s="56">
        <f>F1246*G1246</f>
      </c>
      <c r="K1246" s="111" t="s">
        <v>71</v>
      </c>
      <c r="Z1246" s="56">
        <f>IF(AQ1246="5",BJ1246,0)</f>
      </c>
      <c r="AB1246" s="56">
        <f>IF(AQ1246="1",BH1246,0)</f>
      </c>
      <c r="AC1246" s="56">
        <f>IF(AQ1246="1",BI1246,0)</f>
      </c>
      <c r="AD1246" s="56">
        <f>IF(AQ1246="7",BH1246,0)</f>
      </c>
      <c r="AE1246" s="56">
        <f>IF(AQ1246="7",BI1246,0)</f>
      </c>
      <c r="AF1246" s="56">
        <f>IF(AQ1246="2",BH1246,0)</f>
      </c>
      <c r="AG1246" s="56">
        <f>IF(AQ1246="2",BI1246,0)</f>
      </c>
      <c r="AH1246" s="56">
        <f>IF(AQ1246="0",BJ1246,0)</f>
      </c>
      <c r="AI1246" s="28" t="s">
        <v>1820</v>
      </c>
      <c r="AJ1246" s="56">
        <f>IF(AN1246=0,J1246,0)</f>
      </c>
      <c r="AK1246" s="56">
        <f>IF(AN1246=12,J1246,0)</f>
      </c>
      <c r="AL1246" s="56">
        <f>IF(AN1246=21,J1246,0)</f>
      </c>
      <c r="AN1246" s="56" t="n">
        <v>21</v>
      </c>
      <c r="AO1246" s="56">
        <f>G1246*0</f>
      </c>
      <c r="AP1246" s="56">
        <f>G1246*(1-0)</f>
      </c>
      <c r="AQ1246" s="57" t="s">
        <v>61</v>
      </c>
      <c r="AV1246" s="56">
        <f>AW1246+AX1246</f>
      </c>
      <c r="AW1246" s="56">
        <f>F1246*AO1246</f>
      </c>
      <c r="AX1246" s="56">
        <f>F1246*AP1246</f>
      </c>
      <c r="AY1246" s="57" t="s">
        <v>1985</v>
      </c>
      <c r="AZ1246" s="57" t="s">
        <v>1825</v>
      </c>
      <c r="BA1246" s="28" t="s">
        <v>1826</v>
      </c>
      <c r="BC1246" s="56">
        <f>AW1246+AX1246</f>
      </c>
      <c r="BD1246" s="56">
        <f>G1246/(100-BE1246)*100</f>
      </c>
      <c r="BE1246" s="56" t="n">
        <v>0</v>
      </c>
      <c r="BF1246" s="56">
        <f>1246</f>
      </c>
      <c r="BH1246" s="56">
        <f>F1246*AO1246</f>
      </c>
      <c r="BI1246" s="56">
        <f>F1246*AP1246</f>
      </c>
      <c r="BJ1246" s="56">
        <f>F1246*G1246</f>
      </c>
      <c r="BK1246" s="56"/>
      <c r="BL1246" s="56"/>
      <c r="BW1246" s="56" t="n">
        <v>21</v>
      </c>
      <c r="BX1246" s="14" t="s">
        <v>2042</v>
      </c>
    </row>
    <row r="1247" customHeight="true" ht="13.5">
      <c r="A1247" s="112"/>
      <c r="C1247" s="81" t="s">
        <v>2052</v>
      </c>
      <c r="D1247" s="113"/>
      <c r="E1247" s="113"/>
      <c r="F1247" s="113"/>
      <c r="G1247" s="113"/>
      <c r="H1247" s="113"/>
      <c r="I1247" s="113"/>
      <c r="J1247" s="113"/>
      <c r="K1247" s="114"/>
    </row>
    <row r="1248">
      <c r="A1248" s="112"/>
      <c r="C1248" s="140" t="s">
        <v>58</v>
      </c>
      <c r="D1248" s="113" t="s">
        <v>53</v>
      </c>
      <c r="F1248" s="141" t="n">
        <v>1</v>
      </c>
      <c r="K1248" s="142"/>
    </row>
    <row r="1249">
      <c r="A1249" s="9" t="s">
        <v>2053</v>
      </c>
      <c r="B1249" s="10" t="s">
        <v>2054</v>
      </c>
      <c r="C1249" s="14" t="s">
        <v>2042</v>
      </c>
      <c r="D1249" s="10"/>
      <c r="E1249" s="10" t="s">
        <v>273</v>
      </c>
      <c r="F1249" s="56" t="n">
        <v>28</v>
      </c>
      <c r="G1249" s="56" t="n">
        <v>0</v>
      </c>
      <c r="H1249" s="56">
        <f>F1249*AO1249</f>
      </c>
      <c r="I1249" s="56">
        <f>F1249*AP1249</f>
      </c>
      <c r="J1249" s="56">
        <f>F1249*G1249</f>
      </c>
      <c r="K1249" s="111" t="s">
        <v>71</v>
      </c>
      <c r="Z1249" s="56">
        <f>IF(AQ1249="5",BJ1249,0)</f>
      </c>
      <c r="AB1249" s="56">
        <f>IF(AQ1249="1",BH1249,0)</f>
      </c>
      <c r="AC1249" s="56">
        <f>IF(AQ1249="1",BI1249,0)</f>
      </c>
      <c r="AD1249" s="56">
        <f>IF(AQ1249="7",BH1249,0)</f>
      </c>
      <c r="AE1249" s="56">
        <f>IF(AQ1249="7",BI1249,0)</f>
      </c>
      <c r="AF1249" s="56">
        <f>IF(AQ1249="2",BH1249,0)</f>
      </c>
      <c r="AG1249" s="56">
        <f>IF(AQ1249="2",BI1249,0)</f>
      </c>
      <c r="AH1249" s="56">
        <f>IF(AQ1249="0",BJ1249,0)</f>
      </c>
      <c r="AI1249" s="28" t="s">
        <v>1820</v>
      </c>
      <c r="AJ1249" s="56">
        <f>IF(AN1249=0,J1249,0)</f>
      </c>
      <c r="AK1249" s="56">
        <f>IF(AN1249=12,J1249,0)</f>
      </c>
      <c r="AL1249" s="56">
        <f>IF(AN1249=21,J1249,0)</f>
      </c>
      <c r="AN1249" s="56" t="n">
        <v>21</v>
      </c>
      <c r="AO1249" s="56">
        <f>G1249*0</f>
      </c>
      <c r="AP1249" s="56">
        <f>G1249*(1-0)</f>
      </c>
      <c r="AQ1249" s="57" t="s">
        <v>61</v>
      </c>
      <c r="AV1249" s="56">
        <f>AW1249+AX1249</f>
      </c>
      <c r="AW1249" s="56">
        <f>F1249*AO1249</f>
      </c>
      <c r="AX1249" s="56">
        <f>F1249*AP1249</f>
      </c>
      <c r="AY1249" s="57" t="s">
        <v>1985</v>
      </c>
      <c r="AZ1249" s="57" t="s">
        <v>1825</v>
      </c>
      <c r="BA1249" s="28" t="s">
        <v>1826</v>
      </c>
      <c r="BC1249" s="56">
        <f>AW1249+AX1249</f>
      </c>
      <c r="BD1249" s="56">
        <f>G1249/(100-BE1249)*100</f>
      </c>
      <c r="BE1249" s="56" t="n">
        <v>0</v>
      </c>
      <c r="BF1249" s="56">
        <f>1249</f>
      </c>
      <c r="BH1249" s="56">
        <f>F1249*AO1249</f>
      </c>
      <c r="BI1249" s="56">
        <f>F1249*AP1249</f>
      </c>
      <c r="BJ1249" s="56">
        <f>F1249*G1249</f>
      </c>
      <c r="BK1249" s="56"/>
      <c r="BL1249" s="56"/>
      <c r="BW1249" s="56" t="n">
        <v>21</v>
      </c>
      <c r="BX1249" s="14" t="s">
        <v>2042</v>
      </c>
    </row>
    <row r="1250" customHeight="true" ht="13.5">
      <c r="A1250" s="112"/>
      <c r="C1250" s="81" t="s">
        <v>2055</v>
      </c>
      <c r="D1250" s="113"/>
      <c r="E1250" s="113"/>
      <c r="F1250" s="113"/>
      <c r="G1250" s="113"/>
      <c r="H1250" s="113"/>
      <c r="I1250" s="113"/>
      <c r="J1250" s="113"/>
      <c r="K1250" s="114"/>
    </row>
    <row r="1251">
      <c r="A1251" s="112"/>
      <c r="C1251" s="140" t="s">
        <v>231</v>
      </c>
      <c r="D1251" s="113" t="s">
        <v>53</v>
      </c>
      <c r="F1251" s="141" t="n">
        <v>28</v>
      </c>
      <c r="K1251" s="142"/>
    </row>
    <row r="1252">
      <c r="A1252" s="9" t="s">
        <v>2056</v>
      </c>
      <c r="B1252" s="10" t="s">
        <v>2057</v>
      </c>
      <c r="C1252" s="14" t="s">
        <v>2042</v>
      </c>
      <c r="D1252" s="10"/>
      <c r="E1252" s="10" t="s">
        <v>393</v>
      </c>
      <c r="F1252" s="56" t="n">
        <v>14</v>
      </c>
      <c r="G1252" s="56" t="n">
        <v>0</v>
      </c>
      <c r="H1252" s="56">
        <f>F1252*AO1252</f>
      </c>
      <c r="I1252" s="56">
        <f>F1252*AP1252</f>
      </c>
      <c r="J1252" s="56">
        <f>F1252*G1252</f>
      </c>
      <c r="K1252" s="111" t="s">
        <v>71</v>
      </c>
      <c r="Z1252" s="56">
        <f>IF(AQ1252="5",BJ1252,0)</f>
      </c>
      <c r="AB1252" s="56">
        <f>IF(AQ1252="1",BH1252,0)</f>
      </c>
      <c r="AC1252" s="56">
        <f>IF(AQ1252="1",BI1252,0)</f>
      </c>
      <c r="AD1252" s="56">
        <f>IF(AQ1252="7",BH1252,0)</f>
      </c>
      <c r="AE1252" s="56">
        <f>IF(AQ1252="7",BI1252,0)</f>
      </c>
      <c r="AF1252" s="56">
        <f>IF(AQ1252="2",BH1252,0)</f>
      </c>
      <c r="AG1252" s="56">
        <f>IF(AQ1252="2",BI1252,0)</f>
      </c>
      <c r="AH1252" s="56">
        <f>IF(AQ1252="0",BJ1252,0)</f>
      </c>
      <c r="AI1252" s="28" t="s">
        <v>1820</v>
      </c>
      <c r="AJ1252" s="56">
        <f>IF(AN1252=0,J1252,0)</f>
      </c>
      <c r="AK1252" s="56">
        <f>IF(AN1252=12,J1252,0)</f>
      </c>
      <c r="AL1252" s="56">
        <f>IF(AN1252=21,J1252,0)</f>
      </c>
      <c r="AN1252" s="56" t="n">
        <v>21</v>
      </c>
      <c r="AO1252" s="56">
        <f>G1252*0</f>
      </c>
      <c r="AP1252" s="56">
        <f>G1252*(1-0)</f>
      </c>
      <c r="AQ1252" s="57" t="s">
        <v>61</v>
      </c>
      <c r="AV1252" s="56">
        <f>AW1252+AX1252</f>
      </c>
      <c r="AW1252" s="56">
        <f>F1252*AO1252</f>
      </c>
      <c r="AX1252" s="56">
        <f>F1252*AP1252</f>
      </c>
      <c r="AY1252" s="57" t="s">
        <v>1985</v>
      </c>
      <c r="AZ1252" s="57" t="s">
        <v>1825</v>
      </c>
      <c r="BA1252" s="28" t="s">
        <v>1826</v>
      </c>
      <c r="BC1252" s="56">
        <f>AW1252+AX1252</f>
      </c>
      <c r="BD1252" s="56">
        <f>G1252/(100-BE1252)*100</f>
      </c>
      <c r="BE1252" s="56" t="n">
        <v>0</v>
      </c>
      <c r="BF1252" s="56">
        <f>1252</f>
      </c>
      <c r="BH1252" s="56">
        <f>F1252*AO1252</f>
      </c>
      <c r="BI1252" s="56">
        <f>F1252*AP1252</f>
      </c>
      <c r="BJ1252" s="56">
        <f>F1252*G1252</f>
      </c>
      <c r="BK1252" s="56"/>
      <c r="BL1252" s="56"/>
      <c r="BW1252" s="56" t="n">
        <v>21</v>
      </c>
      <c r="BX1252" s="14" t="s">
        <v>2042</v>
      </c>
    </row>
    <row r="1253" customHeight="true" ht="13.5">
      <c r="A1253" s="112"/>
      <c r="C1253" s="81" t="s">
        <v>2058</v>
      </c>
      <c r="D1253" s="113"/>
      <c r="E1253" s="113"/>
      <c r="F1253" s="113"/>
      <c r="G1253" s="113"/>
      <c r="H1253" s="113"/>
      <c r="I1253" s="113"/>
      <c r="J1253" s="113"/>
      <c r="K1253" s="114"/>
    </row>
    <row r="1254">
      <c r="A1254" s="112"/>
      <c r="C1254" s="140" t="s">
        <v>134</v>
      </c>
      <c r="D1254" s="113" t="s">
        <v>53</v>
      </c>
      <c r="F1254" s="141" t="n">
        <v>14</v>
      </c>
      <c r="K1254" s="142"/>
    </row>
    <row r="1255" ht="24.75">
      <c r="A1255" s="9" t="s">
        <v>2059</v>
      </c>
      <c r="B1255" s="10" t="s">
        <v>2060</v>
      </c>
      <c r="C1255" s="14" t="s">
        <v>2061</v>
      </c>
      <c r="D1255" s="10"/>
      <c r="E1255" s="10" t="s">
        <v>273</v>
      </c>
      <c r="F1255" s="56" t="n">
        <v>24</v>
      </c>
      <c r="G1255" s="56" t="n">
        <v>0</v>
      </c>
      <c r="H1255" s="56">
        <f>F1255*AO1255</f>
      </c>
      <c r="I1255" s="56">
        <f>F1255*AP1255</f>
      </c>
      <c r="J1255" s="56">
        <f>F1255*G1255</f>
      </c>
      <c r="K1255" s="111" t="s">
        <v>71</v>
      </c>
      <c r="Z1255" s="56">
        <f>IF(AQ1255="5",BJ1255,0)</f>
      </c>
      <c r="AB1255" s="56">
        <f>IF(AQ1255="1",BH1255,0)</f>
      </c>
      <c r="AC1255" s="56">
        <f>IF(AQ1255="1",BI1255,0)</f>
      </c>
      <c r="AD1255" s="56">
        <f>IF(AQ1255="7",BH1255,0)</f>
      </c>
      <c r="AE1255" s="56">
        <f>IF(AQ1255="7",BI1255,0)</f>
      </c>
      <c r="AF1255" s="56">
        <f>IF(AQ1255="2",BH1255,0)</f>
      </c>
      <c r="AG1255" s="56">
        <f>IF(AQ1255="2",BI1255,0)</f>
      </c>
      <c r="AH1255" s="56">
        <f>IF(AQ1255="0",BJ1255,0)</f>
      </c>
      <c r="AI1255" s="28" t="s">
        <v>1820</v>
      </c>
      <c r="AJ1255" s="56">
        <f>IF(AN1255=0,J1255,0)</f>
      </c>
      <c r="AK1255" s="56">
        <f>IF(AN1255=12,J1255,0)</f>
      </c>
      <c r="AL1255" s="56">
        <f>IF(AN1255=21,J1255,0)</f>
      </c>
      <c r="AN1255" s="56" t="n">
        <v>21</v>
      </c>
      <c r="AO1255" s="56">
        <f>G1255*0</f>
      </c>
      <c r="AP1255" s="56">
        <f>G1255*(1-0)</f>
      </c>
      <c r="AQ1255" s="57" t="s">
        <v>61</v>
      </c>
      <c r="AV1255" s="56">
        <f>AW1255+AX1255</f>
      </c>
      <c r="AW1255" s="56">
        <f>F1255*AO1255</f>
      </c>
      <c r="AX1255" s="56">
        <f>F1255*AP1255</f>
      </c>
      <c r="AY1255" s="57" t="s">
        <v>1985</v>
      </c>
      <c r="AZ1255" s="57" t="s">
        <v>1825</v>
      </c>
      <c r="BA1255" s="28" t="s">
        <v>1826</v>
      </c>
      <c r="BC1255" s="56">
        <f>AW1255+AX1255</f>
      </c>
      <c r="BD1255" s="56">
        <f>G1255/(100-BE1255)*100</f>
      </c>
      <c r="BE1255" s="56" t="n">
        <v>0</v>
      </c>
      <c r="BF1255" s="56">
        <f>1255</f>
      </c>
      <c r="BH1255" s="56">
        <f>F1255*AO1255</f>
      </c>
      <c r="BI1255" s="56">
        <f>F1255*AP1255</f>
      </c>
      <c r="BJ1255" s="56">
        <f>F1255*G1255</f>
      </c>
      <c r="BK1255" s="56"/>
      <c r="BL1255" s="56"/>
      <c r="BW1255" s="56" t="n">
        <v>21</v>
      </c>
      <c r="BX1255" s="14" t="s">
        <v>2061</v>
      </c>
    </row>
    <row r="1256" customHeight="true" ht="13.5">
      <c r="A1256" s="112"/>
      <c r="C1256" s="81" t="s">
        <v>2062</v>
      </c>
      <c r="D1256" s="113"/>
      <c r="E1256" s="113"/>
      <c r="F1256" s="113"/>
      <c r="G1256" s="113"/>
      <c r="H1256" s="113"/>
      <c r="I1256" s="113"/>
      <c r="J1256" s="113"/>
      <c r="K1256" s="114"/>
    </row>
    <row r="1257">
      <c r="A1257" s="112"/>
      <c r="C1257" s="140" t="s">
        <v>208</v>
      </c>
      <c r="D1257" s="113" t="s">
        <v>53</v>
      </c>
      <c r="F1257" s="141" t="n">
        <v>24</v>
      </c>
      <c r="K1257" s="142"/>
    </row>
    <row r="1258" ht="24.75">
      <c r="A1258" s="9" t="s">
        <v>2063</v>
      </c>
      <c r="B1258" s="10" t="s">
        <v>2064</v>
      </c>
      <c r="C1258" s="14" t="s">
        <v>2061</v>
      </c>
      <c r="D1258" s="10"/>
      <c r="E1258" s="10" t="s">
        <v>273</v>
      </c>
      <c r="F1258" s="56" t="n">
        <v>21</v>
      </c>
      <c r="G1258" s="56" t="n">
        <v>0</v>
      </c>
      <c r="H1258" s="56">
        <f>F1258*AO1258</f>
      </c>
      <c r="I1258" s="56">
        <f>F1258*AP1258</f>
      </c>
      <c r="J1258" s="56">
        <f>F1258*G1258</f>
      </c>
      <c r="K1258" s="111" t="s">
        <v>71</v>
      </c>
      <c r="Z1258" s="56">
        <f>IF(AQ1258="5",BJ1258,0)</f>
      </c>
      <c r="AB1258" s="56">
        <f>IF(AQ1258="1",BH1258,0)</f>
      </c>
      <c r="AC1258" s="56">
        <f>IF(AQ1258="1",BI1258,0)</f>
      </c>
      <c r="AD1258" s="56">
        <f>IF(AQ1258="7",BH1258,0)</f>
      </c>
      <c r="AE1258" s="56">
        <f>IF(AQ1258="7",BI1258,0)</f>
      </c>
      <c r="AF1258" s="56">
        <f>IF(AQ1258="2",BH1258,0)</f>
      </c>
      <c r="AG1258" s="56">
        <f>IF(AQ1258="2",BI1258,0)</f>
      </c>
      <c r="AH1258" s="56">
        <f>IF(AQ1258="0",BJ1258,0)</f>
      </c>
      <c r="AI1258" s="28" t="s">
        <v>1820</v>
      </c>
      <c r="AJ1258" s="56">
        <f>IF(AN1258=0,J1258,0)</f>
      </c>
      <c r="AK1258" s="56">
        <f>IF(AN1258=12,J1258,0)</f>
      </c>
      <c r="AL1258" s="56">
        <f>IF(AN1258=21,J1258,0)</f>
      </c>
      <c r="AN1258" s="56" t="n">
        <v>21</v>
      </c>
      <c r="AO1258" s="56">
        <f>G1258*0</f>
      </c>
      <c r="AP1258" s="56">
        <f>G1258*(1-0)</f>
      </c>
      <c r="AQ1258" s="57" t="s">
        <v>61</v>
      </c>
      <c r="AV1258" s="56">
        <f>AW1258+AX1258</f>
      </c>
      <c r="AW1258" s="56">
        <f>F1258*AO1258</f>
      </c>
      <c r="AX1258" s="56">
        <f>F1258*AP1258</f>
      </c>
      <c r="AY1258" s="57" t="s">
        <v>1985</v>
      </c>
      <c r="AZ1258" s="57" t="s">
        <v>1825</v>
      </c>
      <c r="BA1258" s="28" t="s">
        <v>1826</v>
      </c>
      <c r="BC1258" s="56">
        <f>AW1258+AX1258</f>
      </c>
      <c r="BD1258" s="56">
        <f>G1258/(100-BE1258)*100</f>
      </c>
      <c r="BE1258" s="56" t="n">
        <v>0</v>
      </c>
      <c r="BF1258" s="56">
        <f>1258</f>
      </c>
      <c r="BH1258" s="56">
        <f>F1258*AO1258</f>
      </c>
      <c r="BI1258" s="56">
        <f>F1258*AP1258</f>
      </c>
      <c r="BJ1258" s="56">
        <f>F1258*G1258</f>
      </c>
      <c r="BK1258" s="56"/>
      <c r="BL1258" s="56"/>
      <c r="BW1258" s="56" t="n">
        <v>21</v>
      </c>
      <c r="BX1258" s="14" t="s">
        <v>2061</v>
      </c>
    </row>
    <row r="1259" customHeight="true" ht="13.5">
      <c r="A1259" s="112"/>
      <c r="C1259" s="81" t="s">
        <v>2065</v>
      </c>
      <c r="D1259" s="113"/>
      <c r="E1259" s="113"/>
      <c r="F1259" s="113"/>
      <c r="G1259" s="113"/>
      <c r="H1259" s="113"/>
      <c r="I1259" s="113"/>
      <c r="J1259" s="113"/>
      <c r="K1259" s="114"/>
    </row>
    <row r="1260">
      <c r="A1260" s="112"/>
      <c r="C1260" s="140" t="s">
        <v>183</v>
      </c>
      <c r="D1260" s="113" t="s">
        <v>53</v>
      </c>
      <c r="F1260" s="141" t="n">
        <v>21</v>
      </c>
      <c r="K1260" s="142"/>
    </row>
    <row r="1261" ht="24.75">
      <c r="A1261" s="9" t="s">
        <v>2066</v>
      </c>
      <c r="B1261" s="10" t="s">
        <v>2067</v>
      </c>
      <c r="C1261" s="14" t="s">
        <v>2068</v>
      </c>
      <c r="D1261" s="10"/>
      <c r="E1261" s="10" t="s">
        <v>273</v>
      </c>
      <c r="F1261" s="56" t="n">
        <v>8</v>
      </c>
      <c r="G1261" s="56" t="n">
        <v>0</v>
      </c>
      <c r="H1261" s="56">
        <f>F1261*AO1261</f>
      </c>
      <c r="I1261" s="56">
        <f>F1261*AP1261</f>
      </c>
      <c r="J1261" s="56">
        <f>F1261*G1261</f>
      </c>
      <c r="K1261" s="111" t="s">
        <v>71</v>
      </c>
      <c r="Z1261" s="56">
        <f>IF(AQ1261="5",BJ1261,0)</f>
      </c>
      <c r="AB1261" s="56">
        <f>IF(AQ1261="1",BH1261,0)</f>
      </c>
      <c r="AC1261" s="56">
        <f>IF(AQ1261="1",BI1261,0)</f>
      </c>
      <c r="AD1261" s="56">
        <f>IF(AQ1261="7",BH1261,0)</f>
      </c>
      <c r="AE1261" s="56">
        <f>IF(AQ1261="7",BI1261,0)</f>
      </c>
      <c r="AF1261" s="56">
        <f>IF(AQ1261="2",BH1261,0)</f>
      </c>
      <c r="AG1261" s="56">
        <f>IF(AQ1261="2",BI1261,0)</f>
      </c>
      <c r="AH1261" s="56">
        <f>IF(AQ1261="0",BJ1261,0)</f>
      </c>
      <c r="AI1261" s="28" t="s">
        <v>1820</v>
      </c>
      <c r="AJ1261" s="56">
        <f>IF(AN1261=0,J1261,0)</f>
      </c>
      <c r="AK1261" s="56">
        <f>IF(AN1261=12,J1261,0)</f>
      </c>
      <c r="AL1261" s="56">
        <f>IF(AN1261=21,J1261,0)</f>
      </c>
      <c r="AN1261" s="56" t="n">
        <v>21</v>
      </c>
      <c r="AO1261" s="56">
        <f>G1261*0</f>
      </c>
      <c r="AP1261" s="56">
        <f>G1261*(1-0)</f>
      </c>
      <c r="AQ1261" s="57" t="s">
        <v>61</v>
      </c>
      <c r="AV1261" s="56">
        <f>AW1261+AX1261</f>
      </c>
      <c r="AW1261" s="56">
        <f>F1261*AO1261</f>
      </c>
      <c r="AX1261" s="56">
        <f>F1261*AP1261</f>
      </c>
      <c r="AY1261" s="57" t="s">
        <v>1985</v>
      </c>
      <c r="AZ1261" s="57" t="s">
        <v>1825</v>
      </c>
      <c r="BA1261" s="28" t="s">
        <v>1826</v>
      </c>
      <c r="BC1261" s="56">
        <f>AW1261+AX1261</f>
      </c>
      <c r="BD1261" s="56">
        <f>G1261/(100-BE1261)*100</f>
      </c>
      <c r="BE1261" s="56" t="n">
        <v>0</v>
      </c>
      <c r="BF1261" s="56">
        <f>1261</f>
      </c>
      <c r="BH1261" s="56">
        <f>F1261*AO1261</f>
      </c>
      <c r="BI1261" s="56">
        <f>F1261*AP1261</f>
      </c>
      <c r="BJ1261" s="56">
        <f>F1261*G1261</f>
      </c>
      <c r="BK1261" s="56"/>
      <c r="BL1261" s="56"/>
      <c r="BW1261" s="56" t="n">
        <v>21</v>
      </c>
      <c r="BX1261" s="14" t="s">
        <v>2068</v>
      </c>
    </row>
    <row r="1262" customHeight="true" ht="13.5">
      <c r="A1262" s="112"/>
      <c r="C1262" s="81" t="s">
        <v>2069</v>
      </c>
      <c r="D1262" s="113"/>
      <c r="E1262" s="113"/>
      <c r="F1262" s="113"/>
      <c r="G1262" s="113"/>
      <c r="H1262" s="113"/>
      <c r="I1262" s="113"/>
      <c r="J1262" s="113"/>
      <c r="K1262" s="114"/>
    </row>
    <row r="1263">
      <c r="A1263" s="112"/>
      <c r="C1263" s="140" t="s">
        <v>88</v>
      </c>
      <c r="D1263" s="113" t="s">
        <v>53</v>
      </c>
      <c r="F1263" s="141" t="n">
        <v>8</v>
      </c>
      <c r="K1263" s="142"/>
    </row>
    <row r="1264" ht="24.75">
      <c r="A1264" s="9" t="s">
        <v>2070</v>
      </c>
      <c r="B1264" s="10" t="s">
        <v>2071</v>
      </c>
      <c r="C1264" s="14" t="s">
        <v>2068</v>
      </c>
      <c r="D1264" s="10"/>
      <c r="E1264" s="10" t="s">
        <v>273</v>
      </c>
      <c r="F1264" s="56" t="n">
        <v>24</v>
      </c>
      <c r="G1264" s="56" t="n">
        <v>0</v>
      </c>
      <c r="H1264" s="56">
        <f>F1264*AO1264</f>
      </c>
      <c r="I1264" s="56">
        <f>F1264*AP1264</f>
      </c>
      <c r="J1264" s="56">
        <f>F1264*G1264</f>
      </c>
      <c r="K1264" s="111" t="s">
        <v>71</v>
      </c>
      <c r="Z1264" s="56">
        <f>IF(AQ1264="5",BJ1264,0)</f>
      </c>
      <c r="AB1264" s="56">
        <f>IF(AQ1264="1",BH1264,0)</f>
      </c>
      <c r="AC1264" s="56">
        <f>IF(AQ1264="1",BI1264,0)</f>
      </c>
      <c r="AD1264" s="56">
        <f>IF(AQ1264="7",BH1264,0)</f>
      </c>
      <c r="AE1264" s="56">
        <f>IF(AQ1264="7",BI1264,0)</f>
      </c>
      <c r="AF1264" s="56">
        <f>IF(AQ1264="2",BH1264,0)</f>
      </c>
      <c r="AG1264" s="56">
        <f>IF(AQ1264="2",BI1264,0)</f>
      </c>
      <c r="AH1264" s="56">
        <f>IF(AQ1264="0",BJ1264,0)</f>
      </c>
      <c r="AI1264" s="28" t="s">
        <v>1820</v>
      </c>
      <c r="AJ1264" s="56">
        <f>IF(AN1264=0,J1264,0)</f>
      </c>
      <c r="AK1264" s="56">
        <f>IF(AN1264=12,J1264,0)</f>
      </c>
      <c r="AL1264" s="56">
        <f>IF(AN1264=21,J1264,0)</f>
      </c>
      <c r="AN1264" s="56" t="n">
        <v>21</v>
      </c>
      <c r="AO1264" s="56">
        <f>G1264*0</f>
      </c>
      <c r="AP1264" s="56">
        <f>G1264*(1-0)</f>
      </c>
      <c r="AQ1264" s="57" t="s">
        <v>61</v>
      </c>
      <c r="AV1264" s="56">
        <f>AW1264+AX1264</f>
      </c>
      <c r="AW1264" s="56">
        <f>F1264*AO1264</f>
      </c>
      <c r="AX1264" s="56">
        <f>F1264*AP1264</f>
      </c>
      <c r="AY1264" s="57" t="s">
        <v>1985</v>
      </c>
      <c r="AZ1264" s="57" t="s">
        <v>1825</v>
      </c>
      <c r="BA1264" s="28" t="s">
        <v>1826</v>
      </c>
      <c r="BC1264" s="56">
        <f>AW1264+AX1264</f>
      </c>
      <c r="BD1264" s="56">
        <f>G1264/(100-BE1264)*100</f>
      </c>
      <c r="BE1264" s="56" t="n">
        <v>0</v>
      </c>
      <c r="BF1264" s="56">
        <f>1264</f>
      </c>
      <c r="BH1264" s="56">
        <f>F1264*AO1264</f>
      </c>
      <c r="BI1264" s="56">
        <f>F1264*AP1264</f>
      </c>
      <c r="BJ1264" s="56">
        <f>F1264*G1264</f>
      </c>
      <c r="BK1264" s="56"/>
      <c r="BL1264" s="56"/>
      <c r="BW1264" s="56" t="n">
        <v>21</v>
      </c>
      <c r="BX1264" s="14" t="s">
        <v>2068</v>
      </c>
    </row>
    <row r="1265" customHeight="true" ht="13.5">
      <c r="A1265" s="112"/>
      <c r="C1265" s="81" t="s">
        <v>2072</v>
      </c>
      <c r="D1265" s="113"/>
      <c r="E1265" s="113"/>
      <c r="F1265" s="113"/>
      <c r="G1265" s="113"/>
      <c r="H1265" s="113"/>
      <c r="I1265" s="113"/>
      <c r="J1265" s="113"/>
      <c r="K1265" s="114"/>
    </row>
    <row r="1266">
      <c r="A1266" s="112"/>
      <c r="C1266" s="140" t="s">
        <v>208</v>
      </c>
      <c r="D1266" s="113" t="s">
        <v>53</v>
      </c>
      <c r="F1266" s="141" t="n">
        <v>24</v>
      </c>
      <c r="K1266" s="142"/>
    </row>
    <row r="1267" ht="24.75">
      <c r="A1267" s="9" t="s">
        <v>2073</v>
      </c>
      <c r="B1267" s="10" t="s">
        <v>2074</v>
      </c>
      <c r="C1267" s="14" t="s">
        <v>2075</v>
      </c>
      <c r="D1267" s="10"/>
      <c r="E1267" s="10" t="s">
        <v>393</v>
      </c>
      <c r="F1267" s="56" t="n">
        <v>70</v>
      </c>
      <c r="G1267" s="56" t="n">
        <v>0</v>
      </c>
      <c r="H1267" s="56">
        <f>F1267*AO1267</f>
      </c>
      <c r="I1267" s="56">
        <f>F1267*AP1267</f>
      </c>
      <c r="J1267" s="56">
        <f>F1267*G1267</f>
      </c>
      <c r="K1267" s="111" t="s">
        <v>71</v>
      </c>
      <c r="Z1267" s="56">
        <f>IF(AQ1267="5",BJ1267,0)</f>
      </c>
      <c r="AB1267" s="56">
        <f>IF(AQ1267="1",BH1267,0)</f>
      </c>
      <c r="AC1267" s="56">
        <f>IF(AQ1267="1",BI1267,0)</f>
      </c>
      <c r="AD1267" s="56">
        <f>IF(AQ1267="7",BH1267,0)</f>
      </c>
      <c r="AE1267" s="56">
        <f>IF(AQ1267="7",BI1267,0)</f>
      </c>
      <c r="AF1267" s="56">
        <f>IF(AQ1267="2",BH1267,0)</f>
      </c>
      <c r="AG1267" s="56">
        <f>IF(AQ1267="2",BI1267,0)</f>
      </c>
      <c r="AH1267" s="56">
        <f>IF(AQ1267="0",BJ1267,0)</f>
      </c>
      <c r="AI1267" s="28" t="s">
        <v>1820</v>
      </c>
      <c r="AJ1267" s="56">
        <f>IF(AN1267=0,J1267,0)</f>
      </c>
      <c r="AK1267" s="56">
        <f>IF(AN1267=12,J1267,0)</f>
      </c>
      <c r="AL1267" s="56">
        <f>IF(AN1267=21,J1267,0)</f>
      </c>
      <c r="AN1267" s="56" t="n">
        <v>21</v>
      </c>
      <c r="AO1267" s="56">
        <f>G1267*0</f>
      </c>
      <c r="AP1267" s="56">
        <f>G1267*(1-0)</f>
      </c>
      <c r="AQ1267" s="57" t="s">
        <v>61</v>
      </c>
      <c r="AV1267" s="56">
        <f>AW1267+AX1267</f>
      </c>
      <c r="AW1267" s="56">
        <f>F1267*AO1267</f>
      </c>
      <c r="AX1267" s="56">
        <f>F1267*AP1267</f>
      </c>
      <c r="AY1267" s="57" t="s">
        <v>1985</v>
      </c>
      <c r="AZ1267" s="57" t="s">
        <v>1825</v>
      </c>
      <c r="BA1267" s="28" t="s">
        <v>1826</v>
      </c>
      <c r="BC1267" s="56">
        <f>AW1267+AX1267</f>
      </c>
      <c r="BD1267" s="56">
        <f>G1267/(100-BE1267)*100</f>
      </c>
      <c r="BE1267" s="56" t="n">
        <v>0</v>
      </c>
      <c r="BF1267" s="56">
        <f>1267</f>
      </c>
      <c r="BH1267" s="56">
        <f>F1267*AO1267</f>
      </c>
      <c r="BI1267" s="56">
        <f>F1267*AP1267</f>
      </c>
      <c r="BJ1267" s="56">
        <f>F1267*G1267</f>
      </c>
      <c r="BK1267" s="56"/>
      <c r="BL1267" s="56"/>
      <c r="BW1267" s="56" t="n">
        <v>21</v>
      </c>
      <c r="BX1267" s="14" t="s">
        <v>2075</v>
      </c>
    </row>
    <row r="1268" customHeight="true" ht="13.5">
      <c r="A1268" s="112"/>
      <c r="C1268" s="81" t="s">
        <v>2076</v>
      </c>
      <c r="D1268" s="113"/>
      <c r="E1268" s="113"/>
      <c r="F1268" s="113"/>
      <c r="G1268" s="113"/>
      <c r="H1268" s="113"/>
      <c r="I1268" s="113"/>
      <c r="J1268" s="113"/>
      <c r="K1268" s="114"/>
    </row>
    <row r="1269">
      <c r="A1269" s="112"/>
      <c r="C1269" s="140" t="s">
        <v>518</v>
      </c>
      <c r="D1269" s="113" t="s">
        <v>53</v>
      </c>
      <c r="F1269" s="141" t="n">
        <v>70</v>
      </c>
      <c r="K1269" s="142"/>
    </row>
    <row r="1270" ht="24.75">
      <c r="A1270" s="9" t="s">
        <v>2077</v>
      </c>
      <c r="B1270" s="10" t="s">
        <v>2078</v>
      </c>
      <c r="C1270" s="14" t="s">
        <v>2075</v>
      </c>
      <c r="D1270" s="10"/>
      <c r="E1270" s="10" t="s">
        <v>393</v>
      </c>
      <c r="F1270" s="56" t="n">
        <v>20</v>
      </c>
      <c r="G1270" s="56" t="n">
        <v>0</v>
      </c>
      <c r="H1270" s="56">
        <f>F1270*AO1270</f>
      </c>
      <c r="I1270" s="56">
        <f>F1270*AP1270</f>
      </c>
      <c r="J1270" s="56">
        <f>F1270*G1270</f>
      </c>
      <c r="K1270" s="111" t="s">
        <v>71</v>
      </c>
      <c r="Z1270" s="56">
        <f>IF(AQ1270="5",BJ1270,0)</f>
      </c>
      <c r="AB1270" s="56">
        <f>IF(AQ1270="1",BH1270,0)</f>
      </c>
      <c r="AC1270" s="56">
        <f>IF(AQ1270="1",BI1270,0)</f>
      </c>
      <c r="AD1270" s="56">
        <f>IF(AQ1270="7",BH1270,0)</f>
      </c>
      <c r="AE1270" s="56">
        <f>IF(AQ1270="7",BI1270,0)</f>
      </c>
      <c r="AF1270" s="56">
        <f>IF(AQ1270="2",BH1270,0)</f>
      </c>
      <c r="AG1270" s="56">
        <f>IF(AQ1270="2",BI1270,0)</f>
      </c>
      <c r="AH1270" s="56">
        <f>IF(AQ1270="0",BJ1270,0)</f>
      </c>
      <c r="AI1270" s="28" t="s">
        <v>1820</v>
      </c>
      <c r="AJ1270" s="56">
        <f>IF(AN1270=0,J1270,0)</f>
      </c>
      <c r="AK1270" s="56">
        <f>IF(AN1270=12,J1270,0)</f>
      </c>
      <c r="AL1270" s="56">
        <f>IF(AN1270=21,J1270,0)</f>
      </c>
      <c r="AN1270" s="56" t="n">
        <v>21</v>
      </c>
      <c r="AO1270" s="56">
        <f>G1270*0</f>
      </c>
      <c r="AP1270" s="56">
        <f>G1270*(1-0)</f>
      </c>
      <c r="AQ1270" s="57" t="s">
        <v>61</v>
      </c>
      <c r="AV1270" s="56">
        <f>AW1270+AX1270</f>
      </c>
      <c r="AW1270" s="56">
        <f>F1270*AO1270</f>
      </c>
      <c r="AX1270" s="56">
        <f>F1270*AP1270</f>
      </c>
      <c r="AY1270" s="57" t="s">
        <v>1985</v>
      </c>
      <c r="AZ1270" s="57" t="s">
        <v>1825</v>
      </c>
      <c r="BA1270" s="28" t="s">
        <v>1826</v>
      </c>
      <c r="BC1270" s="56">
        <f>AW1270+AX1270</f>
      </c>
      <c r="BD1270" s="56">
        <f>G1270/(100-BE1270)*100</f>
      </c>
      <c r="BE1270" s="56" t="n">
        <v>0</v>
      </c>
      <c r="BF1270" s="56">
        <f>1270</f>
      </c>
      <c r="BH1270" s="56">
        <f>F1270*AO1270</f>
      </c>
      <c r="BI1270" s="56">
        <f>F1270*AP1270</f>
      </c>
      <c r="BJ1270" s="56">
        <f>F1270*G1270</f>
      </c>
      <c r="BK1270" s="56"/>
      <c r="BL1270" s="56"/>
      <c r="BW1270" s="56" t="n">
        <v>21</v>
      </c>
      <c r="BX1270" s="14" t="s">
        <v>2075</v>
      </c>
    </row>
    <row r="1271" customHeight="true" ht="13.5">
      <c r="A1271" s="112"/>
      <c r="C1271" s="81" t="s">
        <v>2079</v>
      </c>
      <c r="D1271" s="113"/>
      <c r="E1271" s="113"/>
      <c r="F1271" s="113"/>
      <c r="G1271" s="113"/>
      <c r="H1271" s="113"/>
      <c r="I1271" s="113"/>
      <c r="J1271" s="113"/>
      <c r="K1271" s="114"/>
    </row>
    <row r="1272">
      <c r="A1272" s="112"/>
      <c r="C1272" s="140" t="s">
        <v>177</v>
      </c>
      <c r="D1272" s="113" t="s">
        <v>53</v>
      </c>
      <c r="F1272" s="141" t="n">
        <v>20</v>
      </c>
      <c r="K1272" s="142"/>
    </row>
    <row r="1273" ht="24.75">
      <c r="A1273" s="9" t="s">
        <v>2080</v>
      </c>
      <c r="B1273" s="10" t="s">
        <v>2081</v>
      </c>
      <c r="C1273" s="14" t="s">
        <v>2075</v>
      </c>
      <c r="D1273" s="10"/>
      <c r="E1273" s="10" t="s">
        <v>393</v>
      </c>
      <c r="F1273" s="56" t="n">
        <v>25</v>
      </c>
      <c r="G1273" s="56" t="n">
        <v>0</v>
      </c>
      <c r="H1273" s="56">
        <f>F1273*AO1273</f>
      </c>
      <c r="I1273" s="56">
        <f>F1273*AP1273</f>
      </c>
      <c r="J1273" s="56">
        <f>F1273*G1273</f>
      </c>
      <c r="K1273" s="111" t="s">
        <v>71</v>
      </c>
      <c r="Z1273" s="56">
        <f>IF(AQ1273="5",BJ1273,0)</f>
      </c>
      <c r="AB1273" s="56">
        <f>IF(AQ1273="1",BH1273,0)</f>
      </c>
      <c r="AC1273" s="56">
        <f>IF(AQ1273="1",BI1273,0)</f>
      </c>
      <c r="AD1273" s="56">
        <f>IF(AQ1273="7",BH1273,0)</f>
      </c>
      <c r="AE1273" s="56">
        <f>IF(AQ1273="7",BI1273,0)</f>
      </c>
      <c r="AF1273" s="56">
        <f>IF(AQ1273="2",BH1273,0)</f>
      </c>
      <c r="AG1273" s="56">
        <f>IF(AQ1273="2",BI1273,0)</f>
      </c>
      <c r="AH1273" s="56">
        <f>IF(AQ1273="0",BJ1273,0)</f>
      </c>
      <c r="AI1273" s="28" t="s">
        <v>1820</v>
      </c>
      <c r="AJ1273" s="56">
        <f>IF(AN1273=0,J1273,0)</f>
      </c>
      <c r="AK1273" s="56">
        <f>IF(AN1273=12,J1273,0)</f>
      </c>
      <c r="AL1273" s="56">
        <f>IF(AN1273=21,J1273,0)</f>
      </c>
      <c r="AN1273" s="56" t="n">
        <v>21</v>
      </c>
      <c r="AO1273" s="56">
        <f>G1273*0</f>
      </c>
      <c r="AP1273" s="56">
        <f>G1273*(1-0)</f>
      </c>
      <c r="AQ1273" s="57" t="s">
        <v>61</v>
      </c>
      <c r="AV1273" s="56">
        <f>AW1273+AX1273</f>
      </c>
      <c r="AW1273" s="56">
        <f>F1273*AO1273</f>
      </c>
      <c r="AX1273" s="56">
        <f>F1273*AP1273</f>
      </c>
      <c r="AY1273" s="57" t="s">
        <v>1985</v>
      </c>
      <c r="AZ1273" s="57" t="s">
        <v>1825</v>
      </c>
      <c r="BA1273" s="28" t="s">
        <v>1826</v>
      </c>
      <c r="BC1273" s="56">
        <f>AW1273+AX1273</f>
      </c>
      <c r="BD1273" s="56">
        <f>G1273/(100-BE1273)*100</f>
      </c>
      <c r="BE1273" s="56" t="n">
        <v>0</v>
      </c>
      <c r="BF1273" s="56">
        <f>1273</f>
      </c>
      <c r="BH1273" s="56">
        <f>F1273*AO1273</f>
      </c>
      <c r="BI1273" s="56">
        <f>F1273*AP1273</f>
      </c>
      <c r="BJ1273" s="56">
        <f>F1273*G1273</f>
      </c>
      <c r="BK1273" s="56"/>
      <c r="BL1273" s="56"/>
      <c r="BW1273" s="56" t="n">
        <v>21</v>
      </c>
      <c r="BX1273" s="14" t="s">
        <v>2075</v>
      </c>
    </row>
    <row r="1274" customHeight="true" ht="13.5">
      <c r="A1274" s="112"/>
      <c r="C1274" s="81" t="s">
        <v>2082</v>
      </c>
      <c r="D1274" s="113"/>
      <c r="E1274" s="113"/>
      <c r="F1274" s="113"/>
      <c r="G1274" s="113"/>
      <c r="H1274" s="113"/>
      <c r="I1274" s="113"/>
      <c r="J1274" s="113"/>
      <c r="K1274" s="114"/>
    </row>
    <row r="1275">
      <c r="A1275" s="112"/>
      <c r="C1275" s="140" t="s">
        <v>213</v>
      </c>
      <c r="D1275" s="113" t="s">
        <v>53</v>
      </c>
      <c r="F1275" s="141" t="n">
        <v>25</v>
      </c>
      <c r="K1275" s="142"/>
    </row>
    <row r="1276" ht="24.75">
      <c r="A1276" s="9" t="s">
        <v>2083</v>
      </c>
      <c r="B1276" s="10" t="s">
        <v>2084</v>
      </c>
      <c r="C1276" s="14" t="s">
        <v>2075</v>
      </c>
      <c r="D1276" s="10"/>
      <c r="E1276" s="10" t="s">
        <v>393</v>
      </c>
      <c r="F1276" s="56" t="n">
        <v>15</v>
      </c>
      <c r="G1276" s="56" t="n">
        <v>0</v>
      </c>
      <c r="H1276" s="56">
        <f>F1276*AO1276</f>
      </c>
      <c r="I1276" s="56">
        <f>F1276*AP1276</f>
      </c>
      <c r="J1276" s="56">
        <f>F1276*G1276</f>
      </c>
      <c r="K1276" s="111" t="s">
        <v>71</v>
      </c>
      <c r="Z1276" s="56">
        <f>IF(AQ1276="5",BJ1276,0)</f>
      </c>
      <c r="AB1276" s="56">
        <f>IF(AQ1276="1",BH1276,0)</f>
      </c>
      <c r="AC1276" s="56">
        <f>IF(AQ1276="1",BI1276,0)</f>
      </c>
      <c r="AD1276" s="56">
        <f>IF(AQ1276="7",BH1276,0)</f>
      </c>
      <c r="AE1276" s="56">
        <f>IF(AQ1276="7",BI1276,0)</f>
      </c>
      <c r="AF1276" s="56">
        <f>IF(AQ1276="2",BH1276,0)</f>
      </c>
      <c r="AG1276" s="56">
        <f>IF(AQ1276="2",BI1276,0)</f>
      </c>
      <c r="AH1276" s="56">
        <f>IF(AQ1276="0",BJ1276,0)</f>
      </c>
      <c r="AI1276" s="28" t="s">
        <v>1820</v>
      </c>
      <c r="AJ1276" s="56">
        <f>IF(AN1276=0,J1276,0)</f>
      </c>
      <c r="AK1276" s="56">
        <f>IF(AN1276=12,J1276,0)</f>
      </c>
      <c r="AL1276" s="56">
        <f>IF(AN1276=21,J1276,0)</f>
      </c>
      <c r="AN1276" s="56" t="n">
        <v>21</v>
      </c>
      <c r="AO1276" s="56">
        <f>G1276*0</f>
      </c>
      <c r="AP1276" s="56">
        <f>G1276*(1-0)</f>
      </c>
      <c r="AQ1276" s="57" t="s">
        <v>61</v>
      </c>
      <c r="AV1276" s="56">
        <f>AW1276+AX1276</f>
      </c>
      <c r="AW1276" s="56">
        <f>F1276*AO1276</f>
      </c>
      <c r="AX1276" s="56">
        <f>F1276*AP1276</f>
      </c>
      <c r="AY1276" s="57" t="s">
        <v>1985</v>
      </c>
      <c r="AZ1276" s="57" t="s">
        <v>1825</v>
      </c>
      <c r="BA1276" s="28" t="s">
        <v>1826</v>
      </c>
      <c r="BC1276" s="56">
        <f>AW1276+AX1276</f>
      </c>
      <c r="BD1276" s="56">
        <f>G1276/(100-BE1276)*100</f>
      </c>
      <c r="BE1276" s="56" t="n">
        <v>0</v>
      </c>
      <c r="BF1276" s="56">
        <f>1276</f>
      </c>
      <c r="BH1276" s="56">
        <f>F1276*AO1276</f>
      </c>
      <c r="BI1276" s="56">
        <f>F1276*AP1276</f>
      </c>
      <c r="BJ1276" s="56">
        <f>F1276*G1276</f>
      </c>
      <c r="BK1276" s="56"/>
      <c r="BL1276" s="56"/>
      <c r="BW1276" s="56" t="n">
        <v>21</v>
      </c>
      <c r="BX1276" s="14" t="s">
        <v>2075</v>
      </c>
    </row>
    <row r="1277" customHeight="true" ht="13.5">
      <c r="A1277" s="112"/>
      <c r="C1277" s="81" t="s">
        <v>2085</v>
      </c>
      <c r="D1277" s="113"/>
      <c r="E1277" s="113"/>
      <c r="F1277" s="113"/>
      <c r="G1277" s="113"/>
      <c r="H1277" s="113"/>
      <c r="I1277" s="113"/>
      <c r="J1277" s="113"/>
      <c r="K1277" s="114"/>
    </row>
    <row r="1278">
      <c r="A1278" s="112"/>
      <c r="C1278" s="140" t="s">
        <v>137</v>
      </c>
      <c r="D1278" s="113" t="s">
        <v>53</v>
      </c>
      <c r="F1278" s="141" t="n">
        <v>15</v>
      </c>
      <c r="K1278" s="142"/>
    </row>
    <row r="1279" ht="24.75">
      <c r="A1279" s="9" t="s">
        <v>2086</v>
      </c>
      <c r="B1279" s="10" t="s">
        <v>2087</v>
      </c>
      <c r="C1279" s="14" t="s">
        <v>2088</v>
      </c>
      <c r="D1279" s="10"/>
      <c r="E1279" s="10" t="s">
        <v>393</v>
      </c>
      <c r="F1279" s="56" t="n">
        <v>25</v>
      </c>
      <c r="G1279" s="56" t="n">
        <v>0</v>
      </c>
      <c r="H1279" s="56">
        <f>F1279*AO1279</f>
      </c>
      <c r="I1279" s="56">
        <f>F1279*AP1279</f>
      </c>
      <c r="J1279" s="56">
        <f>F1279*G1279</f>
      </c>
      <c r="K1279" s="111" t="s">
        <v>71</v>
      </c>
      <c r="Z1279" s="56">
        <f>IF(AQ1279="5",BJ1279,0)</f>
      </c>
      <c r="AB1279" s="56">
        <f>IF(AQ1279="1",BH1279,0)</f>
      </c>
      <c r="AC1279" s="56">
        <f>IF(AQ1279="1",BI1279,0)</f>
      </c>
      <c r="AD1279" s="56">
        <f>IF(AQ1279="7",BH1279,0)</f>
      </c>
      <c r="AE1279" s="56">
        <f>IF(AQ1279="7",BI1279,0)</f>
      </c>
      <c r="AF1279" s="56">
        <f>IF(AQ1279="2",BH1279,0)</f>
      </c>
      <c r="AG1279" s="56">
        <f>IF(AQ1279="2",BI1279,0)</f>
      </c>
      <c r="AH1279" s="56">
        <f>IF(AQ1279="0",BJ1279,0)</f>
      </c>
      <c r="AI1279" s="28" t="s">
        <v>1820</v>
      </c>
      <c r="AJ1279" s="56">
        <f>IF(AN1279=0,J1279,0)</f>
      </c>
      <c r="AK1279" s="56">
        <f>IF(AN1279=12,J1279,0)</f>
      </c>
      <c r="AL1279" s="56">
        <f>IF(AN1279=21,J1279,0)</f>
      </c>
      <c r="AN1279" s="56" t="n">
        <v>21</v>
      </c>
      <c r="AO1279" s="56">
        <f>G1279*0</f>
      </c>
      <c r="AP1279" s="56">
        <f>G1279*(1-0)</f>
      </c>
      <c r="AQ1279" s="57" t="s">
        <v>61</v>
      </c>
      <c r="AV1279" s="56">
        <f>AW1279+AX1279</f>
      </c>
      <c r="AW1279" s="56">
        <f>F1279*AO1279</f>
      </c>
      <c r="AX1279" s="56">
        <f>F1279*AP1279</f>
      </c>
      <c r="AY1279" s="57" t="s">
        <v>1985</v>
      </c>
      <c r="AZ1279" s="57" t="s">
        <v>1825</v>
      </c>
      <c r="BA1279" s="28" t="s">
        <v>1826</v>
      </c>
      <c r="BC1279" s="56">
        <f>AW1279+AX1279</f>
      </c>
      <c r="BD1279" s="56">
        <f>G1279/(100-BE1279)*100</f>
      </c>
      <c r="BE1279" s="56" t="n">
        <v>0</v>
      </c>
      <c r="BF1279" s="56">
        <f>1279</f>
      </c>
      <c r="BH1279" s="56">
        <f>F1279*AO1279</f>
      </c>
      <c r="BI1279" s="56">
        <f>F1279*AP1279</f>
      </c>
      <c r="BJ1279" s="56">
        <f>F1279*G1279</f>
      </c>
      <c r="BK1279" s="56"/>
      <c r="BL1279" s="56"/>
      <c r="BW1279" s="56" t="n">
        <v>21</v>
      </c>
      <c r="BX1279" s="14" t="s">
        <v>2088</v>
      </c>
    </row>
    <row r="1280" customHeight="true" ht="13.5">
      <c r="A1280" s="112"/>
      <c r="C1280" s="81" t="s">
        <v>2089</v>
      </c>
      <c r="D1280" s="113"/>
      <c r="E1280" s="113"/>
      <c r="F1280" s="113"/>
      <c r="G1280" s="113"/>
      <c r="H1280" s="113"/>
      <c r="I1280" s="113"/>
      <c r="J1280" s="113"/>
      <c r="K1280" s="114"/>
    </row>
    <row r="1281">
      <c r="A1281" s="112"/>
      <c r="C1281" s="140" t="s">
        <v>213</v>
      </c>
      <c r="D1281" s="113" t="s">
        <v>53</v>
      </c>
      <c r="F1281" s="141" t="n">
        <v>25</v>
      </c>
      <c r="K1281" s="142"/>
    </row>
    <row r="1282" ht="24.75">
      <c r="A1282" s="9" t="s">
        <v>2090</v>
      </c>
      <c r="B1282" s="10" t="s">
        <v>2091</v>
      </c>
      <c r="C1282" s="14" t="s">
        <v>2088</v>
      </c>
      <c r="D1282" s="10"/>
      <c r="E1282" s="10" t="s">
        <v>393</v>
      </c>
      <c r="F1282" s="56" t="n">
        <v>25</v>
      </c>
      <c r="G1282" s="56" t="n">
        <v>0</v>
      </c>
      <c r="H1282" s="56">
        <f>F1282*AO1282</f>
      </c>
      <c r="I1282" s="56">
        <f>F1282*AP1282</f>
      </c>
      <c r="J1282" s="56">
        <f>F1282*G1282</f>
      </c>
      <c r="K1282" s="111" t="s">
        <v>71</v>
      </c>
      <c r="Z1282" s="56">
        <f>IF(AQ1282="5",BJ1282,0)</f>
      </c>
      <c r="AB1282" s="56">
        <f>IF(AQ1282="1",BH1282,0)</f>
      </c>
      <c r="AC1282" s="56">
        <f>IF(AQ1282="1",BI1282,0)</f>
      </c>
      <c r="AD1282" s="56">
        <f>IF(AQ1282="7",BH1282,0)</f>
      </c>
      <c r="AE1282" s="56">
        <f>IF(AQ1282="7",BI1282,0)</f>
      </c>
      <c r="AF1282" s="56">
        <f>IF(AQ1282="2",BH1282,0)</f>
      </c>
      <c r="AG1282" s="56">
        <f>IF(AQ1282="2",BI1282,0)</f>
      </c>
      <c r="AH1282" s="56">
        <f>IF(AQ1282="0",BJ1282,0)</f>
      </c>
      <c r="AI1282" s="28" t="s">
        <v>1820</v>
      </c>
      <c r="AJ1282" s="56">
        <f>IF(AN1282=0,J1282,0)</f>
      </c>
      <c r="AK1282" s="56">
        <f>IF(AN1282=12,J1282,0)</f>
      </c>
      <c r="AL1282" s="56">
        <f>IF(AN1282=21,J1282,0)</f>
      </c>
      <c r="AN1282" s="56" t="n">
        <v>21</v>
      </c>
      <c r="AO1282" s="56">
        <f>G1282*0</f>
      </c>
      <c r="AP1282" s="56">
        <f>G1282*(1-0)</f>
      </c>
      <c r="AQ1282" s="57" t="s">
        <v>61</v>
      </c>
      <c r="AV1282" s="56">
        <f>AW1282+AX1282</f>
      </c>
      <c r="AW1282" s="56">
        <f>F1282*AO1282</f>
      </c>
      <c r="AX1282" s="56">
        <f>F1282*AP1282</f>
      </c>
      <c r="AY1282" s="57" t="s">
        <v>1985</v>
      </c>
      <c r="AZ1282" s="57" t="s">
        <v>1825</v>
      </c>
      <c r="BA1282" s="28" t="s">
        <v>1826</v>
      </c>
      <c r="BC1282" s="56">
        <f>AW1282+AX1282</f>
      </c>
      <c r="BD1282" s="56">
        <f>G1282/(100-BE1282)*100</f>
      </c>
      <c r="BE1282" s="56" t="n">
        <v>0</v>
      </c>
      <c r="BF1282" s="56">
        <f>1282</f>
      </c>
      <c r="BH1282" s="56">
        <f>F1282*AO1282</f>
      </c>
      <c r="BI1282" s="56">
        <f>F1282*AP1282</f>
      </c>
      <c r="BJ1282" s="56">
        <f>F1282*G1282</f>
      </c>
      <c r="BK1282" s="56"/>
      <c r="BL1282" s="56"/>
      <c r="BW1282" s="56" t="n">
        <v>21</v>
      </c>
      <c r="BX1282" s="14" t="s">
        <v>2088</v>
      </c>
    </row>
    <row r="1283" customHeight="true" ht="13.5">
      <c r="A1283" s="112"/>
      <c r="C1283" s="81" t="s">
        <v>2092</v>
      </c>
      <c r="D1283" s="113"/>
      <c r="E1283" s="113"/>
      <c r="F1283" s="113"/>
      <c r="G1283" s="113"/>
      <c r="H1283" s="113"/>
      <c r="I1283" s="113"/>
      <c r="J1283" s="113"/>
      <c r="K1283" s="114"/>
    </row>
    <row r="1284">
      <c r="A1284" s="112"/>
      <c r="C1284" s="140" t="s">
        <v>213</v>
      </c>
      <c r="D1284" s="113" t="s">
        <v>53</v>
      </c>
      <c r="F1284" s="141" t="n">
        <v>25</v>
      </c>
      <c r="K1284" s="142"/>
    </row>
    <row r="1285" ht="24.75">
      <c r="A1285" s="9" t="s">
        <v>2093</v>
      </c>
      <c r="B1285" s="10" t="s">
        <v>2094</v>
      </c>
      <c r="C1285" s="14" t="s">
        <v>2095</v>
      </c>
      <c r="D1285" s="10"/>
      <c r="E1285" s="10" t="s">
        <v>273</v>
      </c>
      <c r="F1285" s="56" t="n">
        <v>18</v>
      </c>
      <c r="G1285" s="56" t="n">
        <v>0</v>
      </c>
      <c r="H1285" s="56">
        <f>F1285*AO1285</f>
      </c>
      <c r="I1285" s="56">
        <f>F1285*AP1285</f>
      </c>
      <c r="J1285" s="56">
        <f>F1285*G1285</f>
      </c>
      <c r="K1285" s="111" t="s">
        <v>71</v>
      </c>
      <c r="Z1285" s="56">
        <f>IF(AQ1285="5",BJ1285,0)</f>
      </c>
      <c r="AB1285" s="56">
        <f>IF(AQ1285="1",BH1285,0)</f>
      </c>
      <c r="AC1285" s="56">
        <f>IF(AQ1285="1",BI1285,0)</f>
      </c>
      <c r="AD1285" s="56">
        <f>IF(AQ1285="7",BH1285,0)</f>
      </c>
      <c r="AE1285" s="56">
        <f>IF(AQ1285="7",BI1285,0)</f>
      </c>
      <c r="AF1285" s="56">
        <f>IF(AQ1285="2",BH1285,0)</f>
      </c>
      <c r="AG1285" s="56">
        <f>IF(AQ1285="2",BI1285,0)</f>
      </c>
      <c r="AH1285" s="56">
        <f>IF(AQ1285="0",BJ1285,0)</f>
      </c>
      <c r="AI1285" s="28" t="s">
        <v>1820</v>
      </c>
      <c r="AJ1285" s="56">
        <f>IF(AN1285=0,J1285,0)</f>
      </c>
      <c r="AK1285" s="56">
        <f>IF(AN1285=12,J1285,0)</f>
      </c>
      <c r="AL1285" s="56">
        <f>IF(AN1285=21,J1285,0)</f>
      </c>
      <c r="AN1285" s="56" t="n">
        <v>21</v>
      </c>
      <c r="AO1285" s="56">
        <f>G1285*0</f>
      </c>
      <c r="AP1285" s="56">
        <f>G1285*(1-0)</f>
      </c>
      <c r="AQ1285" s="57" t="s">
        <v>61</v>
      </c>
      <c r="AV1285" s="56">
        <f>AW1285+AX1285</f>
      </c>
      <c r="AW1285" s="56">
        <f>F1285*AO1285</f>
      </c>
      <c r="AX1285" s="56">
        <f>F1285*AP1285</f>
      </c>
      <c r="AY1285" s="57" t="s">
        <v>1985</v>
      </c>
      <c r="AZ1285" s="57" t="s">
        <v>1825</v>
      </c>
      <c r="BA1285" s="28" t="s">
        <v>1826</v>
      </c>
      <c r="BC1285" s="56">
        <f>AW1285+AX1285</f>
      </c>
      <c r="BD1285" s="56">
        <f>G1285/(100-BE1285)*100</f>
      </c>
      <c r="BE1285" s="56" t="n">
        <v>0</v>
      </c>
      <c r="BF1285" s="56">
        <f>1285</f>
      </c>
      <c r="BH1285" s="56">
        <f>F1285*AO1285</f>
      </c>
      <c r="BI1285" s="56">
        <f>F1285*AP1285</f>
      </c>
      <c r="BJ1285" s="56">
        <f>F1285*G1285</f>
      </c>
      <c r="BK1285" s="56"/>
      <c r="BL1285" s="56"/>
      <c r="BW1285" s="56" t="n">
        <v>21</v>
      </c>
      <c r="BX1285" s="14" t="s">
        <v>2095</v>
      </c>
    </row>
    <row r="1286" customHeight="true" ht="13.5">
      <c r="A1286" s="112"/>
      <c r="C1286" s="81" t="s">
        <v>2096</v>
      </c>
      <c r="D1286" s="113"/>
      <c r="E1286" s="113"/>
      <c r="F1286" s="113"/>
      <c r="G1286" s="113"/>
      <c r="H1286" s="113"/>
      <c r="I1286" s="113"/>
      <c r="J1286" s="113"/>
      <c r="K1286" s="114"/>
    </row>
    <row r="1287">
      <c r="A1287" s="112"/>
      <c r="C1287" s="140" t="s">
        <v>161</v>
      </c>
      <c r="D1287" s="113" t="s">
        <v>53</v>
      </c>
      <c r="F1287" s="141" t="n">
        <v>18</v>
      </c>
      <c r="K1287" s="142"/>
    </row>
    <row r="1288" ht="24.75">
      <c r="A1288" s="9" t="s">
        <v>2097</v>
      </c>
      <c r="B1288" s="10" t="s">
        <v>2098</v>
      </c>
      <c r="C1288" s="14" t="s">
        <v>2095</v>
      </c>
      <c r="D1288" s="10"/>
      <c r="E1288" s="10" t="s">
        <v>273</v>
      </c>
      <c r="F1288" s="56" t="n">
        <v>4</v>
      </c>
      <c r="G1288" s="56" t="n">
        <v>0</v>
      </c>
      <c r="H1288" s="56">
        <f>F1288*AO1288</f>
      </c>
      <c r="I1288" s="56">
        <f>F1288*AP1288</f>
      </c>
      <c r="J1288" s="56">
        <f>F1288*G1288</f>
      </c>
      <c r="K1288" s="111" t="s">
        <v>71</v>
      </c>
      <c r="Z1288" s="56">
        <f>IF(AQ1288="5",BJ1288,0)</f>
      </c>
      <c r="AB1288" s="56">
        <f>IF(AQ1288="1",BH1288,0)</f>
      </c>
      <c r="AC1288" s="56">
        <f>IF(AQ1288="1",BI1288,0)</f>
      </c>
      <c r="AD1288" s="56">
        <f>IF(AQ1288="7",BH1288,0)</f>
      </c>
      <c r="AE1288" s="56">
        <f>IF(AQ1288="7",BI1288,0)</f>
      </c>
      <c r="AF1288" s="56">
        <f>IF(AQ1288="2",BH1288,0)</f>
      </c>
      <c r="AG1288" s="56">
        <f>IF(AQ1288="2",BI1288,0)</f>
      </c>
      <c r="AH1288" s="56">
        <f>IF(AQ1288="0",BJ1288,0)</f>
      </c>
      <c r="AI1288" s="28" t="s">
        <v>1820</v>
      </c>
      <c r="AJ1288" s="56">
        <f>IF(AN1288=0,J1288,0)</f>
      </c>
      <c r="AK1288" s="56">
        <f>IF(AN1288=12,J1288,0)</f>
      </c>
      <c r="AL1288" s="56">
        <f>IF(AN1288=21,J1288,0)</f>
      </c>
      <c r="AN1288" s="56" t="n">
        <v>21</v>
      </c>
      <c r="AO1288" s="56">
        <f>G1288*0</f>
      </c>
      <c r="AP1288" s="56">
        <f>G1288*(1-0)</f>
      </c>
      <c r="AQ1288" s="57" t="s">
        <v>61</v>
      </c>
      <c r="AV1288" s="56">
        <f>AW1288+AX1288</f>
      </c>
      <c r="AW1288" s="56">
        <f>F1288*AO1288</f>
      </c>
      <c r="AX1288" s="56">
        <f>F1288*AP1288</f>
      </c>
      <c r="AY1288" s="57" t="s">
        <v>1985</v>
      </c>
      <c r="AZ1288" s="57" t="s">
        <v>1825</v>
      </c>
      <c r="BA1288" s="28" t="s">
        <v>1826</v>
      </c>
      <c r="BC1288" s="56">
        <f>AW1288+AX1288</f>
      </c>
      <c r="BD1288" s="56">
        <f>G1288/(100-BE1288)*100</f>
      </c>
      <c r="BE1288" s="56" t="n">
        <v>0</v>
      </c>
      <c r="BF1288" s="56">
        <f>1288</f>
      </c>
      <c r="BH1288" s="56">
        <f>F1288*AO1288</f>
      </c>
      <c r="BI1288" s="56">
        <f>F1288*AP1288</f>
      </c>
      <c r="BJ1288" s="56">
        <f>F1288*G1288</f>
      </c>
      <c r="BK1288" s="56"/>
      <c r="BL1288" s="56"/>
      <c r="BW1288" s="56" t="n">
        <v>21</v>
      </c>
      <c r="BX1288" s="14" t="s">
        <v>2095</v>
      </c>
    </row>
    <row r="1289" customHeight="true" ht="13.5">
      <c r="A1289" s="112"/>
      <c r="C1289" s="81" t="s">
        <v>2099</v>
      </c>
      <c r="D1289" s="113"/>
      <c r="E1289" s="113"/>
      <c r="F1289" s="113"/>
      <c r="G1289" s="113"/>
      <c r="H1289" s="113"/>
      <c r="I1289" s="113"/>
      <c r="J1289" s="113"/>
      <c r="K1289" s="114"/>
    </row>
    <row r="1290">
      <c r="A1290" s="112"/>
      <c r="C1290" s="140" t="s">
        <v>76</v>
      </c>
      <c r="D1290" s="113" t="s">
        <v>53</v>
      </c>
      <c r="F1290" s="141" t="n">
        <v>4</v>
      </c>
      <c r="K1290" s="142"/>
    </row>
    <row r="1291">
      <c r="A1291" s="9" t="s">
        <v>2100</v>
      </c>
      <c r="B1291" s="10" t="s">
        <v>2101</v>
      </c>
      <c r="C1291" s="14" t="s">
        <v>2102</v>
      </c>
      <c r="D1291" s="10"/>
      <c r="E1291" s="10" t="s">
        <v>393</v>
      </c>
      <c r="F1291" s="56" t="n">
        <v>20</v>
      </c>
      <c r="G1291" s="56" t="n">
        <v>0</v>
      </c>
      <c r="H1291" s="56">
        <f>F1291*AO1291</f>
      </c>
      <c r="I1291" s="56">
        <f>F1291*AP1291</f>
      </c>
      <c r="J1291" s="56">
        <f>F1291*G1291</f>
      </c>
      <c r="K1291" s="111" t="s">
        <v>71</v>
      </c>
      <c r="Z1291" s="56">
        <f>IF(AQ1291="5",BJ1291,0)</f>
      </c>
      <c r="AB1291" s="56">
        <f>IF(AQ1291="1",BH1291,0)</f>
      </c>
      <c r="AC1291" s="56">
        <f>IF(AQ1291="1",BI1291,0)</f>
      </c>
      <c r="AD1291" s="56">
        <f>IF(AQ1291="7",BH1291,0)</f>
      </c>
      <c r="AE1291" s="56">
        <f>IF(AQ1291="7",BI1291,0)</f>
      </c>
      <c r="AF1291" s="56">
        <f>IF(AQ1291="2",BH1291,0)</f>
      </c>
      <c r="AG1291" s="56">
        <f>IF(AQ1291="2",BI1291,0)</f>
      </c>
      <c r="AH1291" s="56">
        <f>IF(AQ1291="0",BJ1291,0)</f>
      </c>
      <c r="AI1291" s="28" t="s">
        <v>1820</v>
      </c>
      <c r="AJ1291" s="56">
        <f>IF(AN1291=0,J1291,0)</f>
      </c>
      <c r="AK1291" s="56">
        <f>IF(AN1291=12,J1291,0)</f>
      </c>
      <c r="AL1291" s="56">
        <f>IF(AN1291=21,J1291,0)</f>
      </c>
      <c r="AN1291" s="56" t="n">
        <v>21</v>
      </c>
      <c r="AO1291" s="56">
        <f>G1291*0</f>
      </c>
      <c r="AP1291" s="56">
        <f>G1291*(1-0)</f>
      </c>
      <c r="AQ1291" s="57" t="s">
        <v>61</v>
      </c>
      <c r="AV1291" s="56">
        <f>AW1291+AX1291</f>
      </c>
      <c r="AW1291" s="56">
        <f>F1291*AO1291</f>
      </c>
      <c r="AX1291" s="56">
        <f>F1291*AP1291</f>
      </c>
      <c r="AY1291" s="57" t="s">
        <v>1985</v>
      </c>
      <c r="AZ1291" s="57" t="s">
        <v>1825</v>
      </c>
      <c r="BA1291" s="28" t="s">
        <v>1826</v>
      </c>
      <c r="BC1291" s="56">
        <f>AW1291+AX1291</f>
      </c>
      <c r="BD1291" s="56">
        <f>G1291/(100-BE1291)*100</f>
      </c>
      <c r="BE1291" s="56" t="n">
        <v>0</v>
      </c>
      <c r="BF1291" s="56">
        <f>1291</f>
      </c>
      <c r="BH1291" s="56">
        <f>F1291*AO1291</f>
      </c>
      <c r="BI1291" s="56">
        <f>F1291*AP1291</f>
      </c>
      <c r="BJ1291" s="56">
        <f>F1291*G1291</f>
      </c>
      <c r="BK1291" s="56"/>
      <c r="BL1291" s="56"/>
      <c r="BW1291" s="56" t="n">
        <v>21</v>
      </c>
      <c r="BX1291" s="14" t="s">
        <v>2102</v>
      </c>
    </row>
    <row r="1292" customHeight="true" ht="13.5">
      <c r="A1292" s="112"/>
      <c r="C1292" s="81" t="s">
        <v>2103</v>
      </c>
      <c r="D1292" s="113"/>
      <c r="E1292" s="113"/>
      <c r="F1292" s="113"/>
      <c r="G1292" s="113"/>
      <c r="H1292" s="113"/>
      <c r="I1292" s="113"/>
      <c r="J1292" s="113"/>
      <c r="K1292" s="114"/>
    </row>
    <row r="1293">
      <c r="A1293" s="112"/>
      <c r="C1293" s="140" t="s">
        <v>177</v>
      </c>
      <c r="D1293" s="113" t="s">
        <v>53</v>
      </c>
      <c r="F1293" s="141" t="n">
        <v>20</v>
      </c>
      <c r="K1293" s="142"/>
    </row>
    <row r="1294">
      <c r="A1294" s="9" t="s">
        <v>2104</v>
      </c>
      <c r="B1294" s="10" t="s">
        <v>2105</v>
      </c>
      <c r="C1294" s="14" t="s">
        <v>2102</v>
      </c>
      <c r="D1294" s="10"/>
      <c r="E1294" s="10" t="s">
        <v>393</v>
      </c>
      <c r="F1294" s="56" t="n">
        <v>20</v>
      </c>
      <c r="G1294" s="56" t="n">
        <v>0</v>
      </c>
      <c r="H1294" s="56">
        <f>F1294*AO1294</f>
      </c>
      <c r="I1294" s="56">
        <f>F1294*AP1294</f>
      </c>
      <c r="J1294" s="56">
        <f>F1294*G1294</f>
      </c>
      <c r="K1294" s="111" t="s">
        <v>71</v>
      </c>
      <c r="Z1294" s="56">
        <f>IF(AQ1294="5",BJ1294,0)</f>
      </c>
      <c r="AB1294" s="56">
        <f>IF(AQ1294="1",BH1294,0)</f>
      </c>
      <c r="AC1294" s="56">
        <f>IF(AQ1294="1",BI1294,0)</f>
      </c>
      <c r="AD1294" s="56">
        <f>IF(AQ1294="7",BH1294,0)</f>
      </c>
      <c r="AE1294" s="56">
        <f>IF(AQ1294="7",BI1294,0)</f>
      </c>
      <c r="AF1294" s="56">
        <f>IF(AQ1294="2",BH1294,0)</f>
      </c>
      <c r="AG1294" s="56">
        <f>IF(AQ1294="2",BI1294,0)</f>
      </c>
      <c r="AH1294" s="56">
        <f>IF(AQ1294="0",BJ1294,0)</f>
      </c>
      <c r="AI1294" s="28" t="s">
        <v>1820</v>
      </c>
      <c r="AJ1294" s="56">
        <f>IF(AN1294=0,J1294,0)</f>
      </c>
      <c r="AK1294" s="56">
        <f>IF(AN1294=12,J1294,0)</f>
      </c>
      <c r="AL1294" s="56">
        <f>IF(AN1294=21,J1294,0)</f>
      </c>
      <c r="AN1294" s="56" t="n">
        <v>21</v>
      </c>
      <c r="AO1294" s="56">
        <f>G1294*0</f>
      </c>
      <c r="AP1294" s="56">
        <f>G1294*(1-0)</f>
      </c>
      <c r="AQ1294" s="57" t="s">
        <v>61</v>
      </c>
      <c r="AV1294" s="56">
        <f>AW1294+AX1294</f>
      </c>
      <c r="AW1294" s="56">
        <f>F1294*AO1294</f>
      </c>
      <c r="AX1294" s="56">
        <f>F1294*AP1294</f>
      </c>
      <c r="AY1294" s="57" t="s">
        <v>1985</v>
      </c>
      <c r="AZ1294" s="57" t="s">
        <v>1825</v>
      </c>
      <c r="BA1294" s="28" t="s">
        <v>1826</v>
      </c>
      <c r="BC1294" s="56">
        <f>AW1294+AX1294</f>
      </c>
      <c r="BD1294" s="56">
        <f>G1294/(100-BE1294)*100</f>
      </c>
      <c r="BE1294" s="56" t="n">
        <v>0</v>
      </c>
      <c r="BF1294" s="56">
        <f>1294</f>
      </c>
      <c r="BH1294" s="56">
        <f>F1294*AO1294</f>
      </c>
      <c r="BI1294" s="56">
        <f>F1294*AP1294</f>
      </c>
      <c r="BJ1294" s="56">
        <f>F1294*G1294</f>
      </c>
      <c r="BK1294" s="56"/>
      <c r="BL1294" s="56"/>
      <c r="BW1294" s="56" t="n">
        <v>21</v>
      </c>
      <c r="BX1294" s="14" t="s">
        <v>2102</v>
      </c>
    </row>
    <row r="1295" customHeight="true" ht="13.5">
      <c r="A1295" s="112"/>
      <c r="C1295" s="81" t="s">
        <v>2106</v>
      </c>
      <c r="D1295" s="113"/>
      <c r="E1295" s="113"/>
      <c r="F1295" s="113"/>
      <c r="G1295" s="113"/>
      <c r="H1295" s="113"/>
      <c r="I1295" s="113"/>
      <c r="J1295" s="113"/>
      <c r="K1295" s="114"/>
    </row>
    <row r="1296">
      <c r="A1296" s="112"/>
      <c r="C1296" s="140" t="s">
        <v>177</v>
      </c>
      <c r="D1296" s="113" t="s">
        <v>53</v>
      </c>
      <c r="F1296" s="141" t="n">
        <v>20</v>
      </c>
      <c r="K1296" s="142"/>
    </row>
    <row r="1297">
      <c r="A1297" s="9" t="s">
        <v>2107</v>
      </c>
      <c r="B1297" s="10" t="s">
        <v>2108</v>
      </c>
      <c r="C1297" s="14" t="s">
        <v>2102</v>
      </c>
      <c r="D1297" s="10"/>
      <c r="E1297" s="10" t="s">
        <v>393</v>
      </c>
      <c r="F1297" s="56" t="n">
        <v>495</v>
      </c>
      <c r="G1297" s="56" t="n">
        <v>0</v>
      </c>
      <c r="H1297" s="56">
        <f>F1297*AO1297</f>
      </c>
      <c r="I1297" s="56">
        <f>F1297*AP1297</f>
      </c>
      <c r="J1297" s="56">
        <f>F1297*G1297</f>
      </c>
      <c r="K1297" s="111" t="s">
        <v>71</v>
      </c>
      <c r="Z1297" s="56">
        <f>IF(AQ1297="5",BJ1297,0)</f>
      </c>
      <c r="AB1297" s="56">
        <f>IF(AQ1297="1",BH1297,0)</f>
      </c>
      <c r="AC1297" s="56">
        <f>IF(AQ1297="1",BI1297,0)</f>
      </c>
      <c r="AD1297" s="56">
        <f>IF(AQ1297="7",BH1297,0)</f>
      </c>
      <c r="AE1297" s="56">
        <f>IF(AQ1297="7",BI1297,0)</f>
      </c>
      <c r="AF1297" s="56">
        <f>IF(AQ1297="2",BH1297,0)</f>
      </c>
      <c r="AG1297" s="56">
        <f>IF(AQ1297="2",BI1297,0)</f>
      </c>
      <c r="AH1297" s="56">
        <f>IF(AQ1297="0",BJ1297,0)</f>
      </c>
      <c r="AI1297" s="28" t="s">
        <v>1820</v>
      </c>
      <c r="AJ1297" s="56">
        <f>IF(AN1297=0,J1297,0)</f>
      </c>
      <c r="AK1297" s="56">
        <f>IF(AN1297=12,J1297,0)</f>
      </c>
      <c r="AL1297" s="56">
        <f>IF(AN1297=21,J1297,0)</f>
      </c>
      <c r="AN1297" s="56" t="n">
        <v>21</v>
      </c>
      <c r="AO1297" s="56">
        <f>G1297*0</f>
      </c>
      <c r="AP1297" s="56">
        <f>G1297*(1-0)</f>
      </c>
      <c r="AQ1297" s="57" t="s">
        <v>61</v>
      </c>
      <c r="AV1297" s="56">
        <f>AW1297+AX1297</f>
      </c>
      <c r="AW1297" s="56">
        <f>F1297*AO1297</f>
      </c>
      <c r="AX1297" s="56">
        <f>F1297*AP1297</f>
      </c>
      <c r="AY1297" s="57" t="s">
        <v>1985</v>
      </c>
      <c r="AZ1297" s="57" t="s">
        <v>1825</v>
      </c>
      <c r="BA1297" s="28" t="s">
        <v>1826</v>
      </c>
      <c r="BC1297" s="56">
        <f>AW1297+AX1297</f>
      </c>
      <c r="BD1297" s="56">
        <f>G1297/(100-BE1297)*100</f>
      </c>
      <c r="BE1297" s="56" t="n">
        <v>0</v>
      </c>
      <c r="BF1297" s="56">
        <f>1297</f>
      </c>
      <c r="BH1297" s="56">
        <f>F1297*AO1297</f>
      </c>
      <c r="BI1297" s="56">
        <f>F1297*AP1297</f>
      </c>
      <c r="BJ1297" s="56">
        <f>F1297*G1297</f>
      </c>
      <c r="BK1297" s="56"/>
      <c r="BL1297" s="56"/>
      <c r="BW1297" s="56" t="n">
        <v>21</v>
      </c>
      <c r="BX1297" s="14" t="s">
        <v>2102</v>
      </c>
    </row>
    <row r="1298" customHeight="true" ht="13.5">
      <c r="A1298" s="112"/>
      <c r="C1298" s="81" t="s">
        <v>2109</v>
      </c>
      <c r="D1298" s="113"/>
      <c r="E1298" s="113"/>
      <c r="F1298" s="113"/>
      <c r="G1298" s="113"/>
      <c r="H1298" s="113"/>
      <c r="I1298" s="113"/>
      <c r="J1298" s="113"/>
      <c r="K1298" s="114"/>
    </row>
    <row r="1299">
      <c r="A1299" s="112"/>
      <c r="C1299" s="140" t="s">
        <v>2110</v>
      </c>
      <c r="D1299" s="113" t="s">
        <v>53</v>
      </c>
      <c r="F1299" s="141" t="n">
        <v>495</v>
      </c>
      <c r="K1299" s="142"/>
    </row>
    <row r="1300">
      <c r="A1300" s="9" t="s">
        <v>2111</v>
      </c>
      <c r="B1300" s="10" t="s">
        <v>2112</v>
      </c>
      <c r="C1300" s="14" t="s">
        <v>2102</v>
      </c>
      <c r="D1300" s="10"/>
      <c r="E1300" s="10" t="s">
        <v>393</v>
      </c>
      <c r="F1300" s="56" t="n">
        <v>50</v>
      </c>
      <c r="G1300" s="56" t="n">
        <v>0</v>
      </c>
      <c r="H1300" s="56">
        <f>F1300*AO1300</f>
      </c>
      <c r="I1300" s="56">
        <f>F1300*AP1300</f>
      </c>
      <c r="J1300" s="56">
        <f>F1300*G1300</f>
      </c>
      <c r="K1300" s="111" t="s">
        <v>71</v>
      </c>
      <c r="Z1300" s="56">
        <f>IF(AQ1300="5",BJ1300,0)</f>
      </c>
      <c r="AB1300" s="56">
        <f>IF(AQ1300="1",BH1300,0)</f>
      </c>
      <c r="AC1300" s="56">
        <f>IF(AQ1300="1",BI1300,0)</f>
      </c>
      <c r="AD1300" s="56">
        <f>IF(AQ1300="7",BH1300,0)</f>
      </c>
      <c r="AE1300" s="56">
        <f>IF(AQ1300="7",BI1300,0)</f>
      </c>
      <c r="AF1300" s="56">
        <f>IF(AQ1300="2",BH1300,0)</f>
      </c>
      <c r="AG1300" s="56">
        <f>IF(AQ1300="2",BI1300,0)</f>
      </c>
      <c r="AH1300" s="56">
        <f>IF(AQ1300="0",BJ1300,0)</f>
      </c>
      <c r="AI1300" s="28" t="s">
        <v>1820</v>
      </c>
      <c r="AJ1300" s="56">
        <f>IF(AN1300=0,J1300,0)</f>
      </c>
      <c r="AK1300" s="56">
        <f>IF(AN1300=12,J1300,0)</f>
      </c>
      <c r="AL1300" s="56">
        <f>IF(AN1300=21,J1300,0)</f>
      </c>
      <c r="AN1300" s="56" t="n">
        <v>21</v>
      </c>
      <c r="AO1300" s="56">
        <f>G1300*0</f>
      </c>
      <c r="AP1300" s="56">
        <f>G1300*(1-0)</f>
      </c>
      <c r="AQ1300" s="57" t="s">
        <v>61</v>
      </c>
      <c r="AV1300" s="56">
        <f>AW1300+AX1300</f>
      </c>
      <c r="AW1300" s="56">
        <f>F1300*AO1300</f>
      </c>
      <c r="AX1300" s="56">
        <f>F1300*AP1300</f>
      </c>
      <c r="AY1300" s="57" t="s">
        <v>1985</v>
      </c>
      <c r="AZ1300" s="57" t="s">
        <v>1825</v>
      </c>
      <c r="BA1300" s="28" t="s">
        <v>1826</v>
      </c>
      <c r="BC1300" s="56">
        <f>AW1300+AX1300</f>
      </c>
      <c r="BD1300" s="56">
        <f>G1300/(100-BE1300)*100</f>
      </c>
      <c r="BE1300" s="56" t="n">
        <v>0</v>
      </c>
      <c r="BF1300" s="56">
        <f>1300</f>
      </c>
      <c r="BH1300" s="56">
        <f>F1300*AO1300</f>
      </c>
      <c r="BI1300" s="56">
        <f>F1300*AP1300</f>
      </c>
      <c r="BJ1300" s="56">
        <f>F1300*G1300</f>
      </c>
      <c r="BK1300" s="56"/>
      <c r="BL1300" s="56"/>
      <c r="BW1300" s="56" t="n">
        <v>21</v>
      </c>
      <c r="BX1300" s="14" t="s">
        <v>2102</v>
      </c>
    </row>
    <row r="1301" customHeight="true" ht="13.5">
      <c r="A1301" s="112"/>
      <c r="C1301" s="81" t="s">
        <v>2113</v>
      </c>
      <c r="D1301" s="113"/>
      <c r="E1301" s="113"/>
      <c r="F1301" s="113"/>
      <c r="G1301" s="113"/>
      <c r="H1301" s="113"/>
      <c r="I1301" s="113"/>
      <c r="J1301" s="113"/>
      <c r="K1301" s="114"/>
    </row>
    <row r="1302">
      <c r="A1302" s="112"/>
      <c r="C1302" s="140" t="s">
        <v>383</v>
      </c>
      <c r="D1302" s="113" t="s">
        <v>53</v>
      </c>
      <c r="F1302" s="141" t="n">
        <v>50</v>
      </c>
      <c r="K1302" s="142"/>
    </row>
    <row r="1303">
      <c r="A1303" s="9" t="s">
        <v>2114</v>
      </c>
      <c r="B1303" s="10" t="s">
        <v>2115</v>
      </c>
      <c r="C1303" s="14" t="s">
        <v>2102</v>
      </c>
      <c r="D1303" s="10"/>
      <c r="E1303" s="10" t="s">
        <v>393</v>
      </c>
      <c r="F1303" s="56" t="n">
        <v>445</v>
      </c>
      <c r="G1303" s="56" t="n">
        <v>0</v>
      </c>
      <c r="H1303" s="56">
        <f>F1303*AO1303</f>
      </c>
      <c r="I1303" s="56">
        <f>F1303*AP1303</f>
      </c>
      <c r="J1303" s="56">
        <f>F1303*G1303</f>
      </c>
      <c r="K1303" s="111" t="s">
        <v>71</v>
      </c>
      <c r="Z1303" s="56">
        <f>IF(AQ1303="5",BJ1303,0)</f>
      </c>
      <c r="AB1303" s="56">
        <f>IF(AQ1303="1",BH1303,0)</f>
      </c>
      <c r="AC1303" s="56">
        <f>IF(AQ1303="1",BI1303,0)</f>
      </c>
      <c r="AD1303" s="56">
        <f>IF(AQ1303="7",BH1303,0)</f>
      </c>
      <c r="AE1303" s="56">
        <f>IF(AQ1303="7",BI1303,0)</f>
      </c>
      <c r="AF1303" s="56">
        <f>IF(AQ1303="2",BH1303,0)</f>
      </c>
      <c r="AG1303" s="56">
        <f>IF(AQ1303="2",BI1303,0)</f>
      </c>
      <c r="AH1303" s="56">
        <f>IF(AQ1303="0",BJ1303,0)</f>
      </c>
      <c r="AI1303" s="28" t="s">
        <v>1820</v>
      </c>
      <c r="AJ1303" s="56">
        <f>IF(AN1303=0,J1303,0)</f>
      </c>
      <c r="AK1303" s="56">
        <f>IF(AN1303=12,J1303,0)</f>
      </c>
      <c r="AL1303" s="56">
        <f>IF(AN1303=21,J1303,0)</f>
      </c>
      <c r="AN1303" s="56" t="n">
        <v>21</v>
      </c>
      <c r="AO1303" s="56">
        <f>G1303*0</f>
      </c>
      <c r="AP1303" s="56">
        <f>G1303*(1-0)</f>
      </c>
      <c r="AQ1303" s="57" t="s">
        <v>61</v>
      </c>
      <c r="AV1303" s="56">
        <f>AW1303+AX1303</f>
      </c>
      <c r="AW1303" s="56">
        <f>F1303*AO1303</f>
      </c>
      <c r="AX1303" s="56">
        <f>F1303*AP1303</f>
      </c>
      <c r="AY1303" s="57" t="s">
        <v>1985</v>
      </c>
      <c r="AZ1303" s="57" t="s">
        <v>1825</v>
      </c>
      <c r="BA1303" s="28" t="s">
        <v>1826</v>
      </c>
      <c r="BC1303" s="56">
        <f>AW1303+AX1303</f>
      </c>
      <c r="BD1303" s="56">
        <f>G1303/(100-BE1303)*100</f>
      </c>
      <c r="BE1303" s="56" t="n">
        <v>0</v>
      </c>
      <c r="BF1303" s="56">
        <f>1303</f>
      </c>
      <c r="BH1303" s="56">
        <f>F1303*AO1303</f>
      </c>
      <c r="BI1303" s="56">
        <f>F1303*AP1303</f>
      </c>
      <c r="BJ1303" s="56">
        <f>F1303*G1303</f>
      </c>
      <c r="BK1303" s="56"/>
      <c r="BL1303" s="56"/>
      <c r="BW1303" s="56" t="n">
        <v>21</v>
      </c>
      <c r="BX1303" s="14" t="s">
        <v>2102</v>
      </c>
    </row>
    <row r="1304" customHeight="true" ht="13.5">
      <c r="A1304" s="112"/>
      <c r="C1304" s="81" t="s">
        <v>2116</v>
      </c>
      <c r="D1304" s="113"/>
      <c r="E1304" s="113"/>
      <c r="F1304" s="113"/>
      <c r="G1304" s="113"/>
      <c r="H1304" s="113"/>
      <c r="I1304" s="113"/>
      <c r="J1304" s="113"/>
      <c r="K1304" s="114"/>
    </row>
    <row r="1305">
      <c r="A1305" s="112"/>
      <c r="C1305" s="140" t="s">
        <v>2117</v>
      </c>
      <c r="D1305" s="113" t="s">
        <v>53</v>
      </c>
      <c r="F1305" s="141" t="n">
        <v>445</v>
      </c>
      <c r="K1305" s="142"/>
    </row>
    <row r="1306">
      <c r="A1306" s="9" t="s">
        <v>2118</v>
      </c>
      <c r="B1306" s="10" t="s">
        <v>2119</v>
      </c>
      <c r="C1306" s="14" t="s">
        <v>2102</v>
      </c>
      <c r="D1306" s="10"/>
      <c r="E1306" s="10" t="s">
        <v>393</v>
      </c>
      <c r="F1306" s="56" t="n">
        <v>70</v>
      </c>
      <c r="G1306" s="56" t="n">
        <v>0</v>
      </c>
      <c r="H1306" s="56">
        <f>F1306*AO1306</f>
      </c>
      <c r="I1306" s="56">
        <f>F1306*AP1306</f>
      </c>
      <c r="J1306" s="56">
        <f>F1306*G1306</f>
      </c>
      <c r="K1306" s="111" t="s">
        <v>71</v>
      </c>
      <c r="Z1306" s="56">
        <f>IF(AQ1306="5",BJ1306,0)</f>
      </c>
      <c r="AB1306" s="56">
        <f>IF(AQ1306="1",BH1306,0)</f>
      </c>
      <c r="AC1306" s="56">
        <f>IF(AQ1306="1",BI1306,0)</f>
      </c>
      <c r="AD1306" s="56">
        <f>IF(AQ1306="7",BH1306,0)</f>
      </c>
      <c r="AE1306" s="56">
        <f>IF(AQ1306="7",BI1306,0)</f>
      </c>
      <c r="AF1306" s="56">
        <f>IF(AQ1306="2",BH1306,0)</f>
      </c>
      <c r="AG1306" s="56">
        <f>IF(AQ1306="2",BI1306,0)</f>
      </c>
      <c r="AH1306" s="56">
        <f>IF(AQ1306="0",BJ1306,0)</f>
      </c>
      <c r="AI1306" s="28" t="s">
        <v>1820</v>
      </c>
      <c r="AJ1306" s="56">
        <f>IF(AN1306=0,J1306,0)</f>
      </c>
      <c r="AK1306" s="56">
        <f>IF(AN1306=12,J1306,0)</f>
      </c>
      <c r="AL1306" s="56">
        <f>IF(AN1306=21,J1306,0)</f>
      </c>
      <c r="AN1306" s="56" t="n">
        <v>21</v>
      </c>
      <c r="AO1306" s="56">
        <f>G1306*0</f>
      </c>
      <c r="AP1306" s="56">
        <f>G1306*(1-0)</f>
      </c>
      <c r="AQ1306" s="57" t="s">
        <v>61</v>
      </c>
      <c r="AV1306" s="56">
        <f>AW1306+AX1306</f>
      </c>
      <c r="AW1306" s="56">
        <f>F1306*AO1306</f>
      </c>
      <c r="AX1306" s="56">
        <f>F1306*AP1306</f>
      </c>
      <c r="AY1306" s="57" t="s">
        <v>1985</v>
      </c>
      <c r="AZ1306" s="57" t="s">
        <v>1825</v>
      </c>
      <c r="BA1306" s="28" t="s">
        <v>1826</v>
      </c>
      <c r="BC1306" s="56">
        <f>AW1306+AX1306</f>
      </c>
      <c r="BD1306" s="56">
        <f>G1306/(100-BE1306)*100</f>
      </c>
      <c r="BE1306" s="56" t="n">
        <v>0</v>
      </c>
      <c r="BF1306" s="56">
        <f>1306</f>
      </c>
      <c r="BH1306" s="56">
        <f>F1306*AO1306</f>
      </c>
      <c r="BI1306" s="56">
        <f>F1306*AP1306</f>
      </c>
      <c r="BJ1306" s="56">
        <f>F1306*G1306</f>
      </c>
      <c r="BK1306" s="56"/>
      <c r="BL1306" s="56"/>
      <c r="BW1306" s="56" t="n">
        <v>21</v>
      </c>
      <c r="BX1306" s="14" t="s">
        <v>2102</v>
      </c>
    </row>
    <row r="1307" customHeight="true" ht="13.5">
      <c r="A1307" s="112"/>
      <c r="C1307" s="81" t="s">
        <v>2120</v>
      </c>
      <c r="D1307" s="113"/>
      <c r="E1307" s="113"/>
      <c r="F1307" s="113"/>
      <c r="G1307" s="113"/>
      <c r="H1307" s="113"/>
      <c r="I1307" s="113"/>
      <c r="J1307" s="113"/>
      <c r="K1307" s="114"/>
    </row>
    <row r="1308">
      <c r="A1308" s="112"/>
      <c r="C1308" s="140" t="s">
        <v>518</v>
      </c>
      <c r="D1308" s="113" t="s">
        <v>53</v>
      </c>
      <c r="F1308" s="141" t="n">
        <v>70</v>
      </c>
      <c r="K1308" s="142"/>
    </row>
    <row r="1309" ht="24.75">
      <c r="A1309" s="9" t="s">
        <v>2121</v>
      </c>
      <c r="B1309" s="10" t="s">
        <v>2122</v>
      </c>
      <c r="C1309" s="14" t="s">
        <v>2123</v>
      </c>
      <c r="D1309" s="10"/>
      <c r="E1309" s="10" t="s">
        <v>393</v>
      </c>
      <c r="F1309" s="56" t="n">
        <v>25</v>
      </c>
      <c r="G1309" s="56" t="n">
        <v>0</v>
      </c>
      <c r="H1309" s="56">
        <f>F1309*AO1309</f>
      </c>
      <c r="I1309" s="56">
        <f>F1309*AP1309</f>
      </c>
      <c r="J1309" s="56">
        <f>F1309*G1309</f>
      </c>
      <c r="K1309" s="111" t="s">
        <v>71</v>
      </c>
      <c r="Z1309" s="56">
        <f>IF(AQ1309="5",BJ1309,0)</f>
      </c>
      <c r="AB1309" s="56">
        <f>IF(AQ1309="1",BH1309,0)</f>
      </c>
      <c r="AC1309" s="56">
        <f>IF(AQ1309="1",BI1309,0)</f>
      </c>
      <c r="AD1309" s="56">
        <f>IF(AQ1309="7",BH1309,0)</f>
      </c>
      <c r="AE1309" s="56">
        <f>IF(AQ1309="7",BI1309,0)</f>
      </c>
      <c r="AF1309" s="56">
        <f>IF(AQ1309="2",BH1309,0)</f>
      </c>
      <c r="AG1309" s="56">
        <f>IF(AQ1309="2",BI1309,0)</f>
      </c>
      <c r="AH1309" s="56">
        <f>IF(AQ1309="0",BJ1309,0)</f>
      </c>
      <c r="AI1309" s="28" t="s">
        <v>1820</v>
      </c>
      <c r="AJ1309" s="56">
        <f>IF(AN1309=0,J1309,0)</f>
      </c>
      <c r="AK1309" s="56">
        <f>IF(AN1309=12,J1309,0)</f>
      </c>
      <c r="AL1309" s="56">
        <f>IF(AN1309=21,J1309,0)</f>
      </c>
      <c r="AN1309" s="56" t="n">
        <v>21</v>
      </c>
      <c r="AO1309" s="56">
        <f>G1309*0</f>
      </c>
      <c r="AP1309" s="56">
        <f>G1309*(1-0)</f>
      </c>
      <c r="AQ1309" s="57" t="s">
        <v>61</v>
      </c>
      <c r="AV1309" s="56">
        <f>AW1309+AX1309</f>
      </c>
      <c r="AW1309" s="56">
        <f>F1309*AO1309</f>
      </c>
      <c r="AX1309" s="56">
        <f>F1309*AP1309</f>
      </c>
      <c r="AY1309" s="57" t="s">
        <v>1985</v>
      </c>
      <c r="AZ1309" s="57" t="s">
        <v>1825</v>
      </c>
      <c r="BA1309" s="28" t="s">
        <v>1826</v>
      </c>
      <c r="BC1309" s="56">
        <f>AW1309+AX1309</f>
      </c>
      <c r="BD1309" s="56">
        <f>G1309/(100-BE1309)*100</f>
      </c>
      <c r="BE1309" s="56" t="n">
        <v>0</v>
      </c>
      <c r="BF1309" s="56">
        <f>1309</f>
      </c>
      <c r="BH1309" s="56">
        <f>F1309*AO1309</f>
      </c>
      <c r="BI1309" s="56">
        <f>F1309*AP1309</f>
      </c>
      <c r="BJ1309" s="56">
        <f>F1309*G1309</f>
      </c>
      <c r="BK1309" s="56"/>
      <c r="BL1309" s="56"/>
      <c r="BW1309" s="56" t="n">
        <v>21</v>
      </c>
      <c r="BX1309" s="14" t="s">
        <v>2123</v>
      </c>
    </row>
    <row r="1310" customHeight="true" ht="13.5">
      <c r="A1310" s="112"/>
      <c r="C1310" s="81" t="s">
        <v>2124</v>
      </c>
      <c r="D1310" s="113"/>
      <c r="E1310" s="113"/>
      <c r="F1310" s="113"/>
      <c r="G1310" s="113"/>
      <c r="H1310" s="113"/>
      <c r="I1310" s="113"/>
      <c r="J1310" s="113"/>
      <c r="K1310" s="114"/>
    </row>
    <row r="1311">
      <c r="A1311" s="112"/>
      <c r="C1311" s="140" t="s">
        <v>213</v>
      </c>
      <c r="D1311" s="113" t="s">
        <v>53</v>
      </c>
      <c r="F1311" s="141" t="n">
        <v>25</v>
      </c>
      <c r="K1311" s="142"/>
    </row>
    <row r="1312">
      <c r="A1312" s="9" t="s">
        <v>2125</v>
      </c>
      <c r="B1312" s="10" t="s">
        <v>2126</v>
      </c>
      <c r="C1312" s="14" t="s">
        <v>2127</v>
      </c>
      <c r="D1312" s="10"/>
      <c r="E1312" s="10" t="s">
        <v>393</v>
      </c>
      <c r="F1312" s="56" t="n">
        <v>60</v>
      </c>
      <c r="G1312" s="56" t="n">
        <v>0</v>
      </c>
      <c r="H1312" s="56">
        <f>F1312*AO1312</f>
      </c>
      <c r="I1312" s="56">
        <f>F1312*AP1312</f>
      </c>
      <c r="J1312" s="56">
        <f>F1312*G1312</f>
      </c>
      <c r="K1312" s="111" t="s">
        <v>71</v>
      </c>
      <c r="Z1312" s="56">
        <f>IF(AQ1312="5",BJ1312,0)</f>
      </c>
      <c r="AB1312" s="56">
        <f>IF(AQ1312="1",BH1312,0)</f>
      </c>
      <c r="AC1312" s="56">
        <f>IF(AQ1312="1",BI1312,0)</f>
      </c>
      <c r="AD1312" s="56">
        <f>IF(AQ1312="7",BH1312,0)</f>
      </c>
      <c r="AE1312" s="56">
        <f>IF(AQ1312="7",BI1312,0)</f>
      </c>
      <c r="AF1312" s="56">
        <f>IF(AQ1312="2",BH1312,0)</f>
      </c>
      <c r="AG1312" s="56">
        <f>IF(AQ1312="2",BI1312,0)</f>
      </c>
      <c r="AH1312" s="56">
        <f>IF(AQ1312="0",BJ1312,0)</f>
      </c>
      <c r="AI1312" s="28" t="s">
        <v>1820</v>
      </c>
      <c r="AJ1312" s="56">
        <f>IF(AN1312=0,J1312,0)</f>
      </c>
      <c r="AK1312" s="56">
        <f>IF(AN1312=12,J1312,0)</f>
      </c>
      <c r="AL1312" s="56">
        <f>IF(AN1312=21,J1312,0)</f>
      </c>
      <c r="AN1312" s="56" t="n">
        <v>21</v>
      </c>
      <c r="AO1312" s="56">
        <f>G1312*0</f>
      </c>
      <c r="AP1312" s="56">
        <f>G1312*(1-0)</f>
      </c>
      <c r="AQ1312" s="57" t="s">
        <v>61</v>
      </c>
      <c r="AV1312" s="56">
        <f>AW1312+AX1312</f>
      </c>
      <c r="AW1312" s="56">
        <f>F1312*AO1312</f>
      </c>
      <c r="AX1312" s="56">
        <f>F1312*AP1312</f>
      </c>
      <c r="AY1312" s="57" t="s">
        <v>1985</v>
      </c>
      <c r="AZ1312" s="57" t="s">
        <v>1825</v>
      </c>
      <c r="BA1312" s="28" t="s">
        <v>1826</v>
      </c>
      <c r="BC1312" s="56">
        <f>AW1312+AX1312</f>
      </c>
      <c r="BD1312" s="56">
        <f>G1312/(100-BE1312)*100</f>
      </c>
      <c r="BE1312" s="56" t="n">
        <v>0</v>
      </c>
      <c r="BF1312" s="56">
        <f>1312</f>
      </c>
      <c r="BH1312" s="56">
        <f>F1312*AO1312</f>
      </c>
      <c r="BI1312" s="56">
        <f>F1312*AP1312</f>
      </c>
      <c r="BJ1312" s="56">
        <f>F1312*G1312</f>
      </c>
      <c r="BK1312" s="56"/>
      <c r="BL1312" s="56"/>
      <c r="BW1312" s="56" t="n">
        <v>21</v>
      </c>
      <c r="BX1312" s="14" t="s">
        <v>2127</v>
      </c>
    </row>
    <row r="1313" customHeight="true" ht="13.5">
      <c r="A1313" s="112"/>
      <c r="C1313" s="81" t="s">
        <v>2128</v>
      </c>
      <c r="D1313" s="113"/>
      <c r="E1313" s="113"/>
      <c r="F1313" s="113"/>
      <c r="G1313" s="113"/>
      <c r="H1313" s="113"/>
      <c r="I1313" s="113"/>
      <c r="J1313" s="113"/>
      <c r="K1313" s="114"/>
    </row>
    <row r="1314">
      <c r="A1314" s="112"/>
      <c r="C1314" s="140" t="s">
        <v>287</v>
      </c>
      <c r="D1314" s="113" t="s">
        <v>53</v>
      </c>
      <c r="F1314" s="141" t="n">
        <v>60</v>
      </c>
      <c r="K1314" s="142"/>
    </row>
    <row r="1315">
      <c r="A1315" s="9" t="s">
        <v>2129</v>
      </c>
      <c r="B1315" s="10" t="s">
        <v>2130</v>
      </c>
      <c r="C1315" s="14" t="s">
        <v>2127</v>
      </c>
      <c r="D1315" s="10"/>
      <c r="E1315" s="10" t="s">
        <v>393</v>
      </c>
      <c r="F1315" s="56" t="n">
        <v>85</v>
      </c>
      <c r="G1315" s="56" t="n">
        <v>0</v>
      </c>
      <c r="H1315" s="56">
        <f>F1315*AO1315</f>
      </c>
      <c r="I1315" s="56">
        <f>F1315*AP1315</f>
      </c>
      <c r="J1315" s="56">
        <f>F1315*G1315</f>
      </c>
      <c r="K1315" s="111" t="s">
        <v>71</v>
      </c>
      <c r="Z1315" s="56">
        <f>IF(AQ1315="5",BJ1315,0)</f>
      </c>
      <c r="AB1315" s="56">
        <f>IF(AQ1315="1",BH1315,0)</f>
      </c>
      <c r="AC1315" s="56">
        <f>IF(AQ1315="1",BI1315,0)</f>
      </c>
      <c r="AD1315" s="56">
        <f>IF(AQ1315="7",BH1315,0)</f>
      </c>
      <c r="AE1315" s="56">
        <f>IF(AQ1315="7",BI1315,0)</f>
      </c>
      <c r="AF1315" s="56">
        <f>IF(AQ1315="2",BH1315,0)</f>
      </c>
      <c r="AG1315" s="56">
        <f>IF(AQ1315="2",BI1315,0)</f>
      </c>
      <c r="AH1315" s="56">
        <f>IF(AQ1315="0",BJ1315,0)</f>
      </c>
      <c r="AI1315" s="28" t="s">
        <v>1820</v>
      </c>
      <c r="AJ1315" s="56">
        <f>IF(AN1315=0,J1315,0)</f>
      </c>
      <c r="AK1315" s="56">
        <f>IF(AN1315=12,J1315,0)</f>
      </c>
      <c r="AL1315" s="56">
        <f>IF(AN1315=21,J1315,0)</f>
      </c>
      <c r="AN1315" s="56" t="n">
        <v>21</v>
      </c>
      <c r="AO1315" s="56">
        <f>G1315*0</f>
      </c>
      <c r="AP1315" s="56">
        <f>G1315*(1-0)</f>
      </c>
      <c r="AQ1315" s="57" t="s">
        <v>61</v>
      </c>
      <c r="AV1315" s="56">
        <f>AW1315+AX1315</f>
      </c>
      <c r="AW1315" s="56">
        <f>F1315*AO1315</f>
      </c>
      <c r="AX1315" s="56">
        <f>F1315*AP1315</f>
      </c>
      <c r="AY1315" s="57" t="s">
        <v>1985</v>
      </c>
      <c r="AZ1315" s="57" t="s">
        <v>1825</v>
      </c>
      <c r="BA1315" s="28" t="s">
        <v>1826</v>
      </c>
      <c r="BC1315" s="56">
        <f>AW1315+AX1315</f>
      </c>
      <c r="BD1315" s="56">
        <f>G1315/(100-BE1315)*100</f>
      </c>
      <c r="BE1315" s="56" t="n">
        <v>0</v>
      </c>
      <c r="BF1315" s="56">
        <f>1315</f>
      </c>
      <c r="BH1315" s="56">
        <f>F1315*AO1315</f>
      </c>
      <c r="BI1315" s="56">
        <f>F1315*AP1315</f>
      </c>
      <c r="BJ1315" s="56">
        <f>F1315*G1315</f>
      </c>
      <c r="BK1315" s="56"/>
      <c r="BL1315" s="56"/>
      <c r="BW1315" s="56" t="n">
        <v>21</v>
      </c>
      <c r="BX1315" s="14" t="s">
        <v>2127</v>
      </c>
    </row>
    <row r="1316" customHeight="true" ht="13.5">
      <c r="A1316" s="112"/>
      <c r="C1316" s="81" t="s">
        <v>2131</v>
      </c>
      <c r="D1316" s="113"/>
      <c r="E1316" s="113"/>
      <c r="F1316" s="113"/>
      <c r="G1316" s="113"/>
      <c r="H1316" s="113"/>
      <c r="I1316" s="113"/>
      <c r="J1316" s="113"/>
      <c r="K1316" s="114"/>
    </row>
    <row r="1317">
      <c r="A1317" s="112"/>
      <c r="C1317" s="140" t="s">
        <v>639</v>
      </c>
      <c r="D1317" s="113" t="s">
        <v>53</v>
      </c>
      <c r="F1317" s="141" t="n">
        <v>85</v>
      </c>
      <c r="K1317" s="142"/>
    </row>
    <row r="1318">
      <c r="A1318" s="9" t="s">
        <v>2132</v>
      </c>
      <c r="B1318" s="10" t="s">
        <v>2133</v>
      </c>
      <c r="C1318" s="14" t="s">
        <v>2134</v>
      </c>
      <c r="D1318" s="10"/>
      <c r="E1318" s="10" t="s">
        <v>273</v>
      </c>
      <c r="F1318" s="56" t="n">
        <v>24</v>
      </c>
      <c r="G1318" s="56" t="n">
        <v>0</v>
      </c>
      <c r="H1318" s="56">
        <f>F1318*AO1318</f>
      </c>
      <c r="I1318" s="56">
        <f>F1318*AP1318</f>
      </c>
      <c r="J1318" s="56">
        <f>F1318*G1318</f>
      </c>
      <c r="K1318" s="111" t="s">
        <v>71</v>
      </c>
      <c r="Z1318" s="56">
        <f>IF(AQ1318="5",BJ1318,0)</f>
      </c>
      <c r="AB1318" s="56">
        <f>IF(AQ1318="1",BH1318,0)</f>
      </c>
      <c r="AC1318" s="56">
        <f>IF(AQ1318="1",BI1318,0)</f>
      </c>
      <c r="AD1318" s="56">
        <f>IF(AQ1318="7",BH1318,0)</f>
      </c>
      <c r="AE1318" s="56">
        <f>IF(AQ1318="7",BI1318,0)</f>
      </c>
      <c r="AF1318" s="56">
        <f>IF(AQ1318="2",BH1318,0)</f>
      </c>
      <c r="AG1318" s="56">
        <f>IF(AQ1318="2",BI1318,0)</f>
      </c>
      <c r="AH1318" s="56">
        <f>IF(AQ1318="0",BJ1318,0)</f>
      </c>
      <c r="AI1318" s="28" t="s">
        <v>1820</v>
      </c>
      <c r="AJ1318" s="56">
        <f>IF(AN1318=0,J1318,0)</f>
      </c>
      <c r="AK1318" s="56">
        <f>IF(AN1318=12,J1318,0)</f>
      </c>
      <c r="AL1318" s="56">
        <f>IF(AN1318=21,J1318,0)</f>
      </c>
      <c r="AN1318" s="56" t="n">
        <v>21</v>
      </c>
      <c r="AO1318" s="56">
        <f>G1318*0</f>
      </c>
      <c r="AP1318" s="56">
        <f>G1318*(1-0)</f>
      </c>
      <c r="AQ1318" s="57" t="s">
        <v>61</v>
      </c>
      <c r="AV1318" s="56">
        <f>AW1318+AX1318</f>
      </c>
      <c r="AW1318" s="56">
        <f>F1318*AO1318</f>
      </c>
      <c r="AX1318" s="56">
        <f>F1318*AP1318</f>
      </c>
      <c r="AY1318" s="57" t="s">
        <v>1985</v>
      </c>
      <c r="AZ1318" s="57" t="s">
        <v>1825</v>
      </c>
      <c r="BA1318" s="28" t="s">
        <v>1826</v>
      </c>
      <c r="BC1318" s="56">
        <f>AW1318+AX1318</f>
      </c>
      <c r="BD1318" s="56">
        <f>G1318/(100-BE1318)*100</f>
      </c>
      <c r="BE1318" s="56" t="n">
        <v>0</v>
      </c>
      <c r="BF1318" s="56">
        <f>1318</f>
      </c>
      <c r="BH1318" s="56">
        <f>F1318*AO1318</f>
      </c>
      <c r="BI1318" s="56">
        <f>F1318*AP1318</f>
      </c>
      <c r="BJ1318" s="56">
        <f>F1318*G1318</f>
      </c>
      <c r="BK1318" s="56"/>
      <c r="BL1318" s="56"/>
      <c r="BW1318" s="56" t="n">
        <v>21</v>
      </c>
      <c r="BX1318" s="14" t="s">
        <v>2134</v>
      </c>
    </row>
    <row r="1319">
      <c r="A1319" s="112"/>
      <c r="C1319" s="140" t="s">
        <v>208</v>
      </c>
      <c r="D1319" s="113" t="s">
        <v>53</v>
      </c>
      <c r="F1319" s="141" t="n">
        <v>24</v>
      </c>
      <c r="K1319" s="142"/>
    </row>
    <row r="1320">
      <c r="A1320" s="9" t="s">
        <v>2135</v>
      </c>
      <c r="B1320" s="10" t="s">
        <v>2136</v>
      </c>
      <c r="C1320" s="14" t="s">
        <v>2137</v>
      </c>
      <c r="D1320" s="10"/>
      <c r="E1320" s="10" t="s">
        <v>273</v>
      </c>
      <c r="F1320" s="56" t="n">
        <v>2</v>
      </c>
      <c r="G1320" s="56" t="n">
        <v>0</v>
      </c>
      <c r="H1320" s="56">
        <f>F1320*AO1320</f>
      </c>
      <c r="I1320" s="56">
        <f>F1320*AP1320</f>
      </c>
      <c r="J1320" s="56">
        <f>F1320*G1320</f>
      </c>
      <c r="K1320" s="111" t="s">
        <v>71</v>
      </c>
      <c r="Z1320" s="56">
        <f>IF(AQ1320="5",BJ1320,0)</f>
      </c>
      <c r="AB1320" s="56">
        <f>IF(AQ1320="1",BH1320,0)</f>
      </c>
      <c r="AC1320" s="56">
        <f>IF(AQ1320="1",BI1320,0)</f>
      </c>
      <c r="AD1320" s="56">
        <f>IF(AQ1320="7",BH1320,0)</f>
      </c>
      <c r="AE1320" s="56">
        <f>IF(AQ1320="7",BI1320,0)</f>
      </c>
      <c r="AF1320" s="56">
        <f>IF(AQ1320="2",BH1320,0)</f>
      </c>
      <c r="AG1320" s="56">
        <f>IF(AQ1320="2",BI1320,0)</f>
      </c>
      <c r="AH1320" s="56">
        <f>IF(AQ1320="0",BJ1320,0)</f>
      </c>
      <c r="AI1320" s="28" t="s">
        <v>1820</v>
      </c>
      <c r="AJ1320" s="56">
        <f>IF(AN1320=0,J1320,0)</f>
      </c>
      <c r="AK1320" s="56">
        <f>IF(AN1320=12,J1320,0)</f>
      </c>
      <c r="AL1320" s="56">
        <f>IF(AN1320=21,J1320,0)</f>
      </c>
      <c r="AN1320" s="56" t="n">
        <v>21</v>
      </c>
      <c r="AO1320" s="56">
        <f>G1320*0</f>
      </c>
      <c r="AP1320" s="56">
        <f>G1320*(1-0)</f>
      </c>
      <c r="AQ1320" s="57" t="s">
        <v>61</v>
      </c>
      <c r="AV1320" s="56">
        <f>AW1320+AX1320</f>
      </c>
      <c r="AW1320" s="56">
        <f>F1320*AO1320</f>
      </c>
      <c r="AX1320" s="56">
        <f>F1320*AP1320</f>
      </c>
      <c r="AY1320" s="57" t="s">
        <v>1985</v>
      </c>
      <c r="AZ1320" s="57" t="s">
        <v>1825</v>
      </c>
      <c r="BA1320" s="28" t="s">
        <v>1826</v>
      </c>
      <c r="BC1320" s="56">
        <f>AW1320+AX1320</f>
      </c>
      <c r="BD1320" s="56">
        <f>G1320/(100-BE1320)*100</f>
      </c>
      <c r="BE1320" s="56" t="n">
        <v>0</v>
      </c>
      <c r="BF1320" s="56">
        <f>1320</f>
      </c>
      <c r="BH1320" s="56">
        <f>F1320*AO1320</f>
      </c>
      <c r="BI1320" s="56">
        <f>F1320*AP1320</f>
      </c>
      <c r="BJ1320" s="56">
        <f>F1320*G1320</f>
      </c>
      <c r="BK1320" s="56"/>
      <c r="BL1320" s="56"/>
      <c r="BW1320" s="56" t="n">
        <v>21</v>
      </c>
      <c r="BX1320" s="14" t="s">
        <v>2137</v>
      </c>
    </row>
    <row r="1321">
      <c r="A1321" s="112"/>
      <c r="C1321" s="140" t="s">
        <v>61</v>
      </c>
      <c r="D1321" s="113" t="s">
        <v>53</v>
      </c>
      <c r="F1321" s="141" t="n">
        <v>2</v>
      </c>
      <c r="K1321" s="142"/>
    </row>
    <row r="1322">
      <c r="A1322" s="9" t="s">
        <v>2138</v>
      </c>
      <c r="B1322" s="10" t="s">
        <v>2139</v>
      </c>
      <c r="C1322" s="14" t="s">
        <v>2140</v>
      </c>
      <c r="D1322" s="10"/>
      <c r="E1322" s="10" t="s">
        <v>273</v>
      </c>
      <c r="F1322" s="56" t="n">
        <v>78</v>
      </c>
      <c r="G1322" s="56" t="n">
        <v>0</v>
      </c>
      <c r="H1322" s="56">
        <f>F1322*AO1322</f>
      </c>
      <c r="I1322" s="56">
        <f>F1322*AP1322</f>
      </c>
      <c r="J1322" s="56">
        <f>F1322*G1322</f>
      </c>
      <c r="K1322" s="111" t="s">
        <v>71</v>
      </c>
      <c r="Z1322" s="56">
        <f>IF(AQ1322="5",BJ1322,0)</f>
      </c>
      <c r="AB1322" s="56">
        <f>IF(AQ1322="1",BH1322,0)</f>
      </c>
      <c r="AC1322" s="56">
        <f>IF(AQ1322="1",BI1322,0)</f>
      </c>
      <c r="AD1322" s="56">
        <f>IF(AQ1322="7",BH1322,0)</f>
      </c>
      <c r="AE1322" s="56">
        <f>IF(AQ1322="7",BI1322,0)</f>
      </c>
      <c r="AF1322" s="56">
        <f>IF(AQ1322="2",BH1322,0)</f>
      </c>
      <c r="AG1322" s="56">
        <f>IF(AQ1322="2",BI1322,0)</f>
      </c>
      <c r="AH1322" s="56">
        <f>IF(AQ1322="0",BJ1322,0)</f>
      </c>
      <c r="AI1322" s="28" t="s">
        <v>1820</v>
      </c>
      <c r="AJ1322" s="56">
        <f>IF(AN1322=0,J1322,0)</f>
      </c>
      <c r="AK1322" s="56">
        <f>IF(AN1322=12,J1322,0)</f>
      </c>
      <c r="AL1322" s="56">
        <f>IF(AN1322=21,J1322,0)</f>
      </c>
      <c r="AN1322" s="56" t="n">
        <v>21</v>
      </c>
      <c r="AO1322" s="56">
        <f>G1322*0</f>
      </c>
      <c r="AP1322" s="56">
        <f>G1322*(1-0)</f>
      </c>
      <c r="AQ1322" s="57" t="s">
        <v>61</v>
      </c>
      <c r="AV1322" s="56">
        <f>AW1322+AX1322</f>
      </c>
      <c r="AW1322" s="56">
        <f>F1322*AO1322</f>
      </c>
      <c r="AX1322" s="56">
        <f>F1322*AP1322</f>
      </c>
      <c r="AY1322" s="57" t="s">
        <v>1985</v>
      </c>
      <c r="AZ1322" s="57" t="s">
        <v>1825</v>
      </c>
      <c r="BA1322" s="28" t="s">
        <v>1826</v>
      </c>
      <c r="BC1322" s="56">
        <f>AW1322+AX1322</f>
      </c>
      <c r="BD1322" s="56">
        <f>G1322/(100-BE1322)*100</f>
      </c>
      <c r="BE1322" s="56" t="n">
        <v>0</v>
      </c>
      <c r="BF1322" s="56">
        <f>1322</f>
      </c>
      <c r="BH1322" s="56">
        <f>F1322*AO1322</f>
      </c>
      <c r="BI1322" s="56">
        <f>F1322*AP1322</f>
      </c>
      <c r="BJ1322" s="56">
        <f>F1322*G1322</f>
      </c>
      <c r="BK1322" s="56"/>
      <c r="BL1322" s="56"/>
      <c r="BW1322" s="56" t="n">
        <v>21</v>
      </c>
      <c r="BX1322" s="14" t="s">
        <v>2140</v>
      </c>
    </row>
    <row r="1323">
      <c r="A1323" s="112"/>
      <c r="C1323" s="140" t="s">
        <v>569</v>
      </c>
      <c r="D1323" s="113" t="s">
        <v>53</v>
      </c>
      <c r="F1323" s="141" t="n">
        <v>78</v>
      </c>
      <c r="K1323" s="142"/>
    </row>
    <row r="1324">
      <c r="A1324" s="9" t="s">
        <v>2141</v>
      </c>
      <c r="B1324" s="10" t="s">
        <v>2142</v>
      </c>
      <c r="C1324" s="14" t="s">
        <v>2143</v>
      </c>
      <c r="D1324" s="10"/>
      <c r="E1324" s="10" t="s">
        <v>273</v>
      </c>
      <c r="F1324" s="56" t="n">
        <v>9</v>
      </c>
      <c r="G1324" s="56" t="n">
        <v>0</v>
      </c>
      <c r="H1324" s="56">
        <f>F1324*AO1324</f>
      </c>
      <c r="I1324" s="56">
        <f>F1324*AP1324</f>
      </c>
      <c r="J1324" s="56">
        <f>F1324*G1324</f>
      </c>
      <c r="K1324" s="111" t="s">
        <v>71</v>
      </c>
      <c r="Z1324" s="56">
        <f>IF(AQ1324="5",BJ1324,0)</f>
      </c>
      <c r="AB1324" s="56">
        <f>IF(AQ1324="1",BH1324,0)</f>
      </c>
      <c r="AC1324" s="56">
        <f>IF(AQ1324="1",BI1324,0)</f>
      </c>
      <c r="AD1324" s="56">
        <f>IF(AQ1324="7",BH1324,0)</f>
      </c>
      <c r="AE1324" s="56">
        <f>IF(AQ1324="7",BI1324,0)</f>
      </c>
      <c r="AF1324" s="56">
        <f>IF(AQ1324="2",BH1324,0)</f>
      </c>
      <c r="AG1324" s="56">
        <f>IF(AQ1324="2",BI1324,0)</f>
      </c>
      <c r="AH1324" s="56">
        <f>IF(AQ1324="0",BJ1324,0)</f>
      </c>
      <c r="AI1324" s="28" t="s">
        <v>1820</v>
      </c>
      <c r="AJ1324" s="56">
        <f>IF(AN1324=0,J1324,0)</f>
      </c>
      <c r="AK1324" s="56">
        <f>IF(AN1324=12,J1324,0)</f>
      </c>
      <c r="AL1324" s="56">
        <f>IF(AN1324=21,J1324,0)</f>
      </c>
      <c r="AN1324" s="56" t="n">
        <v>21</v>
      </c>
      <c r="AO1324" s="56">
        <f>G1324*0</f>
      </c>
      <c r="AP1324" s="56">
        <f>G1324*(1-0)</f>
      </c>
      <c r="AQ1324" s="57" t="s">
        <v>61</v>
      </c>
      <c r="AV1324" s="56">
        <f>AW1324+AX1324</f>
      </c>
      <c r="AW1324" s="56">
        <f>F1324*AO1324</f>
      </c>
      <c r="AX1324" s="56">
        <f>F1324*AP1324</f>
      </c>
      <c r="AY1324" s="57" t="s">
        <v>1985</v>
      </c>
      <c r="AZ1324" s="57" t="s">
        <v>1825</v>
      </c>
      <c r="BA1324" s="28" t="s">
        <v>1826</v>
      </c>
      <c r="BC1324" s="56">
        <f>AW1324+AX1324</f>
      </c>
      <c r="BD1324" s="56">
        <f>G1324/(100-BE1324)*100</f>
      </c>
      <c r="BE1324" s="56" t="n">
        <v>0</v>
      </c>
      <c r="BF1324" s="56">
        <f>1324</f>
      </c>
      <c r="BH1324" s="56">
        <f>F1324*AO1324</f>
      </c>
      <c r="BI1324" s="56">
        <f>F1324*AP1324</f>
      </c>
      <c r="BJ1324" s="56">
        <f>F1324*G1324</f>
      </c>
      <c r="BK1324" s="56"/>
      <c r="BL1324" s="56"/>
      <c r="BW1324" s="56" t="n">
        <v>21</v>
      </c>
      <c r="BX1324" s="14" t="s">
        <v>2143</v>
      </c>
    </row>
    <row r="1325">
      <c r="A1325" s="112"/>
      <c r="C1325" s="140" t="s">
        <v>91</v>
      </c>
      <c r="D1325" s="113" t="s">
        <v>53</v>
      </c>
      <c r="F1325" s="141" t="n">
        <v>9</v>
      </c>
      <c r="K1325" s="142"/>
    </row>
    <row r="1326">
      <c r="A1326" s="9" t="s">
        <v>2144</v>
      </c>
      <c r="B1326" s="10" t="s">
        <v>2145</v>
      </c>
      <c r="C1326" s="14" t="s">
        <v>2146</v>
      </c>
      <c r="D1326" s="10"/>
      <c r="E1326" s="10" t="s">
        <v>393</v>
      </c>
      <c r="F1326" s="56" t="n">
        <v>3</v>
      </c>
      <c r="G1326" s="56" t="n">
        <v>0</v>
      </c>
      <c r="H1326" s="56">
        <f>F1326*AO1326</f>
      </c>
      <c r="I1326" s="56">
        <f>F1326*AP1326</f>
      </c>
      <c r="J1326" s="56">
        <f>F1326*G1326</f>
      </c>
      <c r="K1326" s="111" t="s">
        <v>71</v>
      </c>
      <c r="Z1326" s="56">
        <f>IF(AQ1326="5",BJ1326,0)</f>
      </c>
      <c r="AB1326" s="56">
        <f>IF(AQ1326="1",BH1326,0)</f>
      </c>
      <c r="AC1326" s="56">
        <f>IF(AQ1326="1",BI1326,0)</f>
      </c>
      <c r="AD1326" s="56">
        <f>IF(AQ1326="7",BH1326,0)</f>
      </c>
      <c r="AE1326" s="56">
        <f>IF(AQ1326="7",BI1326,0)</f>
      </c>
      <c r="AF1326" s="56">
        <f>IF(AQ1326="2",BH1326,0)</f>
      </c>
      <c r="AG1326" s="56">
        <f>IF(AQ1326="2",BI1326,0)</f>
      </c>
      <c r="AH1326" s="56">
        <f>IF(AQ1326="0",BJ1326,0)</f>
      </c>
      <c r="AI1326" s="28" t="s">
        <v>1820</v>
      </c>
      <c r="AJ1326" s="56">
        <f>IF(AN1326=0,J1326,0)</f>
      </c>
      <c r="AK1326" s="56">
        <f>IF(AN1326=12,J1326,0)</f>
      </c>
      <c r="AL1326" s="56">
        <f>IF(AN1326=21,J1326,0)</f>
      </c>
      <c r="AN1326" s="56" t="n">
        <v>21</v>
      </c>
      <c r="AO1326" s="56">
        <f>G1326*0</f>
      </c>
      <c r="AP1326" s="56">
        <f>G1326*(1-0)</f>
      </c>
      <c r="AQ1326" s="57" t="s">
        <v>61</v>
      </c>
      <c r="AV1326" s="56">
        <f>AW1326+AX1326</f>
      </c>
      <c r="AW1326" s="56">
        <f>F1326*AO1326</f>
      </c>
      <c r="AX1326" s="56">
        <f>F1326*AP1326</f>
      </c>
      <c r="AY1326" s="57" t="s">
        <v>1985</v>
      </c>
      <c r="AZ1326" s="57" t="s">
        <v>1825</v>
      </c>
      <c r="BA1326" s="28" t="s">
        <v>1826</v>
      </c>
      <c r="BC1326" s="56">
        <f>AW1326+AX1326</f>
      </c>
      <c r="BD1326" s="56">
        <f>G1326/(100-BE1326)*100</f>
      </c>
      <c r="BE1326" s="56" t="n">
        <v>0</v>
      </c>
      <c r="BF1326" s="56">
        <f>1326</f>
      </c>
      <c r="BH1326" s="56">
        <f>F1326*AO1326</f>
      </c>
      <c r="BI1326" s="56">
        <f>F1326*AP1326</f>
      </c>
      <c r="BJ1326" s="56">
        <f>F1326*G1326</f>
      </c>
      <c r="BK1326" s="56"/>
      <c r="BL1326" s="56"/>
      <c r="BW1326" s="56" t="n">
        <v>21</v>
      </c>
      <c r="BX1326" s="14" t="s">
        <v>2146</v>
      </c>
    </row>
    <row r="1327">
      <c r="A1327" s="112"/>
      <c r="C1327" s="140" t="s">
        <v>73</v>
      </c>
      <c r="D1327" s="113" t="s">
        <v>53</v>
      </c>
      <c r="F1327" s="141" t="n">
        <v>3</v>
      </c>
      <c r="K1327" s="142"/>
    </row>
    <row r="1328">
      <c r="A1328" s="9" t="s">
        <v>2147</v>
      </c>
      <c r="B1328" s="10" t="s">
        <v>2148</v>
      </c>
      <c r="C1328" s="14" t="s">
        <v>2149</v>
      </c>
      <c r="D1328" s="10"/>
      <c r="E1328" s="10" t="s">
        <v>393</v>
      </c>
      <c r="F1328" s="56" t="n">
        <v>3</v>
      </c>
      <c r="G1328" s="56" t="n">
        <v>0</v>
      </c>
      <c r="H1328" s="56">
        <f>F1328*AO1328</f>
      </c>
      <c r="I1328" s="56">
        <f>F1328*AP1328</f>
      </c>
      <c r="J1328" s="56">
        <f>F1328*G1328</f>
      </c>
      <c r="K1328" s="111" t="s">
        <v>71</v>
      </c>
      <c r="Z1328" s="56">
        <f>IF(AQ1328="5",BJ1328,0)</f>
      </c>
      <c r="AB1328" s="56">
        <f>IF(AQ1328="1",BH1328,0)</f>
      </c>
      <c r="AC1328" s="56">
        <f>IF(AQ1328="1",BI1328,0)</f>
      </c>
      <c r="AD1328" s="56">
        <f>IF(AQ1328="7",BH1328,0)</f>
      </c>
      <c r="AE1328" s="56">
        <f>IF(AQ1328="7",BI1328,0)</f>
      </c>
      <c r="AF1328" s="56">
        <f>IF(AQ1328="2",BH1328,0)</f>
      </c>
      <c r="AG1328" s="56">
        <f>IF(AQ1328="2",BI1328,0)</f>
      </c>
      <c r="AH1328" s="56">
        <f>IF(AQ1328="0",BJ1328,0)</f>
      </c>
      <c r="AI1328" s="28" t="s">
        <v>1820</v>
      </c>
      <c r="AJ1328" s="56">
        <f>IF(AN1328=0,J1328,0)</f>
      </c>
      <c r="AK1328" s="56">
        <f>IF(AN1328=12,J1328,0)</f>
      </c>
      <c r="AL1328" s="56">
        <f>IF(AN1328=21,J1328,0)</f>
      </c>
      <c r="AN1328" s="56" t="n">
        <v>21</v>
      </c>
      <c r="AO1328" s="56">
        <f>G1328*0</f>
      </c>
      <c r="AP1328" s="56">
        <f>G1328*(1-0)</f>
      </c>
      <c r="AQ1328" s="57" t="s">
        <v>61</v>
      </c>
      <c r="AV1328" s="56">
        <f>AW1328+AX1328</f>
      </c>
      <c r="AW1328" s="56">
        <f>F1328*AO1328</f>
      </c>
      <c r="AX1328" s="56">
        <f>F1328*AP1328</f>
      </c>
      <c r="AY1328" s="57" t="s">
        <v>1985</v>
      </c>
      <c r="AZ1328" s="57" t="s">
        <v>1825</v>
      </c>
      <c r="BA1328" s="28" t="s">
        <v>1826</v>
      </c>
      <c r="BC1328" s="56">
        <f>AW1328+AX1328</f>
      </c>
      <c r="BD1328" s="56">
        <f>G1328/(100-BE1328)*100</f>
      </c>
      <c r="BE1328" s="56" t="n">
        <v>0</v>
      </c>
      <c r="BF1328" s="56">
        <f>1328</f>
      </c>
      <c r="BH1328" s="56">
        <f>F1328*AO1328</f>
      </c>
      <c r="BI1328" s="56">
        <f>F1328*AP1328</f>
      </c>
      <c r="BJ1328" s="56">
        <f>F1328*G1328</f>
      </c>
      <c r="BK1328" s="56"/>
      <c r="BL1328" s="56"/>
      <c r="BW1328" s="56" t="n">
        <v>21</v>
      </c>
      <c r="BX1328" s="14" t="s">
        <v>2149</v>
      </c>
    </row>
    <row r="1329">
      <c r="A1329" s="112"/>
      <c r="C1329" s="140" t="s">
        <v>73</v>
      </c>
      <c r="D1329" s="113" t="s">
        <v>53</v>
      </c>
      <c r="F1329" s="141" t="n">
        <v>3</v>
      </c>
      <c r="K1329" s="142"/>
    </row>
    <row r="1330">
      <c r="A1330" s="9" t="s">
        <v>2150</v>
      </c>
      <c r="B1330" s="10" t="s">
        <v>2151</v>
      </c>
      <c r="C1330" s="14" t="s">
        <v>2152</v>
      </c>
      <c r="D1330" s="10"/>
      <c r="E1330" s="10" t="s">
        <v>393</v>
      </c>
      <c r="F1330" s="56" t="n">
        <v>3</v>
      </c>
      <c r="G1330" s="56" t="n">
        <v>0</v>
      </c>
      <c r="H1330" s="56">
        <f>F1330*AO1330</f>
      </c>
      <c r="I1330" s="56">
        <f>F1330*AP1330</f>
      </c>
      <c r="J1330" s="56">
        <f>F1330*G1330</f>
      </c>
      <c r="K1330" s="111" t="s">
        <v>71</v>
      </c>
      <c r="Z1330" s="56">
        <f>IF(AQ1330="5",BJ1330,0)</f>
      </c>
      <c r="AB1330" s="56">
        <f>IF(AQ1330="1",BH1330,0)</f>
      </c>
      <c r="AC1330" s="56">
        <f>IF(AQ1330="1",BI1330,0)</f>
      </c>
      <c r="AD1330" s="56">
        <f>IF(AQ1330="7",BH1330,0)</f>
      </c>
      <c r="AE1330" s="56">
        <f>IF(AQ1330="7",BI1330,0)</f>
      </c>
      <c r="AF1330" s="56">
        <f>IF(AQ1330="2",BH1330,0)</f>
      </c>
      <c r="AG1330" s="56">
        <f>IF(AQ1330="2",BI1330,0)</f>
      </c>
      <c r="AH1330" s="56">
        <f>IF(AQ1330="0",BJ1330,0)</f>
      </c>
      <c r="AI1330" s="28" t="s">
        <v>1820</v>
      </c>
      <c r="AJ1330" s="56">
        <f>IF(AN1330=0,J1330,0)</f>
      </c>
      <c r="AK1330" s="56">
        <f>IF(AN1330=12,J1330,0)</f>
      </c>
      <c r="AL1330" s="56">
        <f>IF(AN1330=21,J1330,0)</f>
      </c>
      <c r="AN1330" s="56" t="n">
        <v>21</v>
      </c>
      <c r="AO1330" s="56">
        <f>G1330*0</f>
      </c>
      <c r="AP1330" s="56">
        <f>G1330*(1-0)</f>
      </c>
      <c r="AQ1330" s="57" t="s">
        <v>61</v>
      </c>
      <c r="AV1330" s="56">
        <f>AW1330+AX1330</f>
      </c>
      <c r="AW1330" s="56">
        <f>F1330*AO1330</f>
      </c>
      <c r="AX1330" s="56">
        <f>F1330*AP1330</f>
      </c>
      <c r="AY1330" s="57" t="s">
        <v>1985</v>
      </c>
      <c r="AZ1330" s="57" t="s">
        <v>1825</v>
      </c>
      <c r="BA1330" s="28" t="s">
        <v>1826</v>
      </c>
      <c r="BC1330" s="56">
        <f>AW1330+AX1330</f>
      </c>
      <c r="BD1330" s="56">
        <f>G1330/(100-BE1330)*100</f>
      </c>
      <c r="BE1330" s="56" t="n">
        <v>0</v>
      </c>
      <c r="BF1330" s="56">
        <f>1330</f>
      </c>
      <c r="BH1330" s="56">
        <f>F1330*AO1330</f>
      </c>
      <c r="BI1330" s="56">
        <f>F1330*AP1330</f>
      </c>
      <c r="BJ1330" s="56">
        <f>F1330*G1330</f>
      </c>
      <c r="BK1330" s="56"/>
      <c r="BL1330" s="56"/>
      <c r="BW1330" s="56" t="n">
        <v>21</v>
      </c>
      <c r="BX1330" s="14" t="s">
        <v>2152</v>
      </c>
    </row>
    <row r="1331">
      <c r="A1331" s="112"/>
      <c r="C1331" s="140" t="s">
        <v>73</v>
      </c>
      <c r="D1331" s="113" t="s">
        <v>53</v>
      </c>
      <c r="F1331" s="141" t="n">
        <v>3</v>
      </c>
      <c r="K1331" s="142"/>
    </row>
    <row r="1332">
      <c r="A1332" s="9" t="s">
        <v>2153</v>
      </c>
      <c r="B1332" s="10" t="s">
        <v>2154</v>
      </c>
      <c r="C1332" s="14" t="s">
        <v>2155</v>
      </c>
      <c r="D1332" s="10"/>
      <c r="E1332" s="10" t="s">
        <v>1454</v>
      </c>
      <c r="F1332" s="56" t="n">
        <v>4</v>
      </c>
      <c r="G1332" s="56" t="n">
        <v>0</v>
      </c>
      <c r="H1332" s="56">
        <f>F1332*AO1332</f>
      </c>
      <c r="I1332" s="56">
        <f>F1332*AP1332</f>
      </c>
      <c r="J1332" s="56">
        <f>F1332*G1332</f>
      </c>
      <c r="K1332" s="111" t="s">
        <v>71</v>
      </c>
      <c r="Z1332" s="56">
        <f>IF(AQ1332="5",BJ1332,0)</f>
      </c>
      <c r="AB1332" s="56">
        <f>IF(AQ1332="1",BH1332,0)</f>
      </c>
      <c r="AC1332" s="56">
        <f>IF(AQ1332="1",BI1332,0)</f>
      </c>
      <c r="AD1332" s="56">
        <f>IF(AQ1332="7",BH1332,0)</f>
      </c>
      <c r="AE1332" s="56">
        <f>IF(AQ1332="7",BI1332,0)</f>
      </c>
      <c r="AF1332" s="56">
        <f>IF(AQ1332="2",BH1332,0)</f>
      </c>
      <c r="AG1332" s="56">
        <f>IF(AQ1332="2",BI1332,0)</f>
      </c>
      <c r="AH1332" s="56">
        <f>IF(AQ1332="0",BJ1332,0)</f>
      </c>
      <c r="AI1332" s="28" t="s">
        <v>1820</v>
      </c>
      <c r="AJ1332" s="56">
        <f>IF(AN1332=0,J1332,0)</f>
      </c>
      <c r="AK1332" s="56">
        <f>IF(AN1332=12,J1332,0)</f>
      </c>
      <c r="AL1332" s="56">
        <f>IF(AN1332=21,J1332,0)</f>
      </c>
      <c r="AN1332" s="56" t="n">
        <v>21</v>
      </c>
      <c r="AO1332" s="56">
        <f>G1332*0</f>
      </c>
      <c r="AP1332" s="56">
        <f>G1332*(1-0)</f>
      </c>
      <c r="AQ1332" s="57" t="s">
        <v>61</v>
      </c>
      <c r="AV1332" s="56">
        <f>AW1332+AX1332</f>
      </c>
      <c r="AW1332" s="56">
        <f>F1332*AO1332</f>
      </c>
      <c r="AX1332" s="56">
        <f>F1332*AP1332</f>
      </c>
      <c r="AY1332" s="57" t="s">
        <v>1985</v>
      </c>
      <c r="AZ1332" s="57" t="s">
        <v>1825</v>
      </c>
      <c r="BA1332" s="28" t="s">
        <v>1826</v>
      </c>
      <c r="BC1332" s="56">
        <f>AW1332+AX1332</f>
      </c>
      <c r="BD1332" s="56">
        <f>G1332/(100-BE1332)*100</f>
      </c>
      <c r="BE1332" s="56" t="n">
        <v>0</v>
      </c>
      <c r="BF1332" s="56">
        <f>1332</f>
      </c>
      <c r="BH1332" s="56">
        <f>F1332*AO1332</f>
      </c>
      <c r="BI1332" s="56">
        <f>F1332*AP1332</f>
      </c>
      <c r="BJ1332" s="56">
        <f>F1332*G1332</f>
      </c>
      <c r="BK1332" s="56"/>
      <c r="BL1332" s="56"/>
      <c r="BW1332" s="56" t="n">
        <v>21</v>
      </c>
      <c r="BX1332" s="14" t="s">
        <v>2155</v>
      </c>
    </row>
    <row r="1333">
      <c r="A1333" s="112"/>
      <c r="C1333" s="140" t="s">
        <v>76</v>
      </c>
      <c r="D1333" s="113" t="s">
        <v>53</v>
      </c>
      <c r="F1333" s="141" t="n">
        <v>4</v>
      </c>
      <c r="K1333" s="142"/>
    </row>
    <row r="1334" ht="24.75">
      <c r="A1334" s="9" t="s">
        <v>2156</v>
      </c>
      <c r="B1334" s="10" t="s">
        <v>2157</v>
      </c>
      <c r="C1334" s="14" t="s">
        <v>2158</v>
      </c>
      <c r="D1334" s="10"/>
      <c r="E1334" s="10" t="s">
        <v>1454</v>
      </c>
      <c r="F1334" s="56" t="n">
        <v>4</v>
      </c>
      <c r="G1334" s="56" t="n">
        <v>0</v>
      </c>
      <c r="H1334" s="56">
        <f>F1334*AO1334</f>
      </c>
      <c r="I1334" s="56">
        <f>F1334*AP1334</f>
      </c>
      <c r="J1334" s="56">
        <f>F1334*G1334</f>
      </c>
      <c r="K1334" s="111" t="s">
        <v>71</v>
      </c>
      <c r="Z1334" s="56">
        <f>IF(AQ1334="5",BJ1334,0)</f>
      </c>
      <c r="AB1334" s="56">
        <f>IF(AQ1334="1",BH1334,0)</f>
      </c>
      <c r="AC1334" s="56">
        <f>IF(AQ1334="1",BI1334,0)</f>
      </c>
      <c r="AD1334" s="56">
        <f>IF(AQ1334="7",BH1334,0)</f>
      </c>
      <c r="AE1334" s="56">
        <f>IF(AQ1334="7",BI1334,0)</f>
      </c>
      <c r="AF1334" s="56">
        <f>IF(AQ1334="2",BH1334,0)</f>
      </c>
      <c r="AG1334" s="56">
        <f>IF(AQ1334="2",BI1334,0)</f>
      </c>
      <c r="AH1334" s="56">
        <f>IF(AQ1334="0",BJ1334,0)</f>
      </c>
      <c r="AI1334" s="28" t="s">
        <v>1820</v>
      </c>
      <c r="AJ1334" s="56">
        <f>IF(AN1334=0,J1334,0)</f>
      </c>
      <c r="AK1334" s="56">
        <f>IF(AN1334=12,J1334,0)</f>
      </c>
      <c r="AL1334" s="56">
        <f>IF(AN1334=21,J1334,0)</f>
      </c>
      <c r="AN1334" s="56" t="n">
        <v>21</v>
      </c>
      <c r="AO1334" s="56">
        <f>G1334*0</f>
      </c>
      <c r="AP1334" s="56">
        <f>G1334*(1-0)</f>
      </c>
      <c r="AQ1334" s="57" t="s">
        <v>61</v>
      </c>
      <c r="AV1334" s="56">
        <f>AW1334+AX1334</f>
      </c>
      <c r="AW1334" s="56">
        <f>F1334*AO1334</f>
      </c>
      <c r="AX1334" s="56">
        <f>F1334*AP1334</f>
      </c>
      <c r="AY1334" s="57" t="s">
        <v>1985</v>
      </c>
      <c r="AZ1334" s="57" t="s">
        <v>1825</v>
      </c>
      <c r="BA1334" s="28" t="s">
        <v>1826</v>
      </c>
      <c r="BC1334" s="56">
        <f>AW1334+AX1334</f>
      </c>
      <c r="BD1334" s="56">
        <f>G1334/(100-BE1334)*100</f>
      </c>
      <c r="BE1334" s="56" t="n">
        <v>0</v>
      </c>
      <c r="BF1334" s="56">
        <f>1334</f>
      </c>
      <c r="BH1334" s="56">
        <f>F1334*AO1334</f>
      </c>
      <c r="BI1334" s="56">
        <f>F1334*AP1334</f>
      </c>
      <c r="BJ1334" s="56">
        <f>F1334*G1334</f>
      </c>
      <c r="BK1334" s="56"/>
      <c r="BL1334" s="56"/>
      <c r="BW1334" s="56" t="n">
        <v>21</v>
      </c>
      <c r="BX1334" s="14" t="s">
        <v>2158</v>
      </c>
    </row>
    <row r="1335">
      <c r="A1335" s="112"/>
      <c r="C1335" s="140" t="s">
        <v>76</v>
      </c>
      <c r="D1335" s="113" t="s">
        <v>53</v>
      </c>
      <c r="F1335" s="141" t="n">
        <v>4</v>
      </c>
      <c r="K1335" s="142"/>
    </row>
    <row r="1336" ht="24.75">
      <c r="A1336" s="9" t="s">
        <v>2159</v>
      </c>
      <c r="B1336" s="10" t="s">
        <v>2160</v>
      </c>
      <c r="C1336" s="14" t="s">
        <v>2161</v>
      </c>
      <c r="D1336" s="10"/>
      <c r="E1336" s="10" t="s">
        <v>393</v>
      </c>
      <c r="F1336" s="56" t="n">
        <v>11</v>
      </c>
      <c r="G1336" s="56" t="n">
        <v>0</v>
      </c>
      <c r="H1336" s="56">
        <f>F1336*AO1336</f>
      </c>
      <c r="I1336" s="56">
        <f>F1336*AP1336</f>
      </c>
      <c r="J1336" s="56">
        <f>F1336*G1336</f>
      </c>
      <c r="K1336" s="111" t="s">
        <v>71</v>
      </c>
      <c r="Z1336" s="56">
        <f>IF(AQ1336="5",BJ1336,0)</f>
      </c>
      <c r="AB1336" s="56">
        <f>IF(AQ1336="1",BH1336,0)</f>
      </c>
      <c r="AC1336" s="56">
        <f>IF(AQ1336="1",BI1336,0)</f>
      </c>
      <c r="AD1336" s="56">
        <f>IF(AQ1336="7",BH1336,0)</f>
      </c>
      <c r="AE1336" s="56">
        <f>IF(AQ1336="7",BI1336,0)</f>
      </c>
      <c r="AF1336" s="56">
        <f>IF(AQ1336="2",BH1336,0)</f>
      </c>
      <c r="AG1336" s="56">
        <f>IF(AQ1336="2",BI1336,0)</f>
      </c>
      <c r="AH1336" s="56">
        <f>IF(AQ1336="0",BJ1336,0)</f>
      </c>
      <c r="AI1336" s="28" t="s">
        <v>1820</v>
      </c>
      <c r="AJ1336" s="56">
        <f>IF(AN1336=0,J1336,0)</f>
      </c>
      <c r="AK1336" s="56">
        <f>IF(AN1336=12,J1336,0)</f>
      </c>
      <c r="AL1336" s="56">
        <f>IF(AN1336=21,J1336,0)</f>
      </c>
      <c r="AN1336" s="56" t="n">
        <v>21</v>
      </c>
      <c r="AO1336" s="56">
        <f>G1336*0</f>
      </c>
      <c r="AP1336" s="56">
        <f>G1336*(1-0)</f>
      </c>
      <c r="AQ1336" s="57" t="s">
        <v>61</v>
      </c>
      <c r="AV1336" s="56">
        <f>AW1336+AX1336</f>
      </c>
      <c r="AW1336" s="56">
        <f>F1336*AO1336</f>
      </c>
      <c r="AX1336" s="56">
        <f>F1336*AP1336</f>
      </c>
      <c r="AY1336" s="57" t="s">
        <v>1985</v>
      </c>
      <c r="AZ1336" s="57" t="s">
        <v>1825</v>
      </c>
      <c r="BA1336" s="28" t="s">
        <v>1826</v>
      </c>
      <c r="BC1336" s="56">
        <f>AW1336+AX1336</f>
      </c>
      <c r="BD1336" s="56">
        <f>G1336/(100-BE1336)*100</f>
      </c>
      <c r="BE1336" s="56" t="n">
        <v>0</v>
      </c>
      <c r="BF1336" s="56">
        <f>1336</f>
      </c>
      <c r="BH1336" s="56">
        <f>F1336*AO1336</f>
      </c>
      <c r="BI1336" s="56">
        <f>F1336*AP1336</f>
      </c>
      <c r="BJ1336" s="56">
        <f>F1336*G1336</f>
      </c>
      <c r="BK1336" s="56"/>
      <c r="BL1336" s="56"/>
      <c r="BW1336" s="56" t="n">
        <v>21</v>
      </c>
      <c r="BX1336" s="14" t="s">
        <v>2161</v>
      </c>
    </row>
    <row r="1337">
      <c r="A1337" s="112"/>
      <c r="C1337" s="140" t="s">
        <v>110</v>
      </c>
      <c r="D1337" s="113" t="s">
        <v>53</v>
      </c>
      <c r="F1337" s="141" t="n">
        <v>11</v>
      </c>
      <c r="K1337" s="142"/>
    </row>
    <row r="1338" ht="24.75">
      <c r="A1338" s="9" t="s">
        <v>2162</v>
      </c>
      <c r="B1338" s="10" t="s">
        <v>2163</v>
      </c>
      <c r="C1338" s="14" t="s">
        <v>2164</v>
      </c>
      <c r="D1338" s="10"/>
      <c r="E1338" s="10" t="s">
        <v>273</v>
      </c>
      <c r="F1338" s="56" t="n">
        <v>1</v>
      </c>
      <c r="G1338" s="56" t="n">
        <v>0</v>
      </c>
      <c r="H1338" s="56">
        <f>F1338*AO1338</f>
      </c>
      <c r="I1338" s="56">
        <f>F1338*AP1338</f>
      </c>
      <c r="J1338" s="56">
        <f>F1338*G1338</f>
      </c>
      <c r="K1338" s="111" t="s">
        <v>71</v>
      </c>
      <c r="Z1338" s="56">
        <f>IF(AQ1338="5",BJ1338,0)</f>
      </c>
      <c r="AB1338" s="56">
        <f>IF(AQ1338="1",BH1338,0)</f>
      </c>
      <c r="AC1338" s="56">
        <f>IF(AQ1338="1",BI1338,0)</f>
      </c>
      <c r="AD1338" s="56">
        <f>IF(AQ1338="7",BH1338,0)</f>
      </c>
      <c r="AE1338" s="56">
        <f>IF(AQ1338="7",BI1338,0)</f>
      </c>
      <c r="AF1338" s="56">
        <f>IF(AQ1338="2",BH1338,0)</f>
      </c>
      <c r="AG1338" s="56">
        <f>IF(AQ1338="2",BI1338,0)</f>
      </c>
      <c r="AH1338" s="56">
        <f>IF(AQ1338="0",BJ1338,0)</f>
      </c>
      <c r="AI1338" s="28" t="s">
        <v>1820</v>
      </c>
      <c r="AJ1338" s="56">
        <f>IF(AN1338=0,J1338,0)</f>
      </c>
      <c r="AK1338" s="56">
        <f>IF(AN1338=12,J1338,0)</f>
      </c>
      <c r="AL1338" s="56">
        <f>IF(AN1338=21,J1338,0)</f>
      </c>
      <c r="AN1338" s="56" t="n">
        <v>21</v>
      </c>
      <c r="AO1338" s="56">
        <f>G1338*0</f>
      </c>
      <c r="AP1338" s="56">
        <f>G1338*(1-0)</f>
      </c>
      <c r="AQ1338" s="57" t="s">
        <v>61</v>
      </c>
      <c r="AV1338" s="56">
        <f>AW1338+AX1338</f>
      </c>
      <c r="AW1338" s="56">
        <f>F1338*AO1338</f>
      </c>
      <c r="AX1338" s="56">
        <f>F1338*AP1338</f>
      </c>
      <c r="AY1338" s="57" t="s">
        <v>1985</v>
      </c>
      <c r="AZ1338" s="57" t="s">
        <v>1825</v>
      </c>
      <c r="BA1338" s="28" t="s">
        <v>1826</v>
      </c>
      <c r="BC1338" s="56">
        <f>AW1338+AX1338</f>
      </c>
      <c r="BD1338" s="56">
        <f>G1338/(100-BE1338)*100</f>
      </c>
      <c r="BE1338" s="56" t="n">
        <v>0</v>
      </c>
      <c r="BF1338" s="56">
        <f>1338</f>
      </c>
      <c r="BH1338" s="56">
        <f>F1338*AO1338</f>
      </c>
      <c r="BI1338" s="56">
        <f>F1338*AP1338</f>
      </c>
      <c r="BJ1338" s="56">
        <f>F1338*G1338</f>
      </c>
      <c r="BK1338" s="56"/>
      <c r="BL1338" s="56"/>
      <c r="BW1338" s="56" t="n">
        <v>21</v>
      </c>
      <c r="BX1338" s="14" t="s">
        <v>2164</v>
      </c>
    </row>
    <row r="1339">
      <c r="A1339" s="112"/>
      <c r="C1339" s="140" t="s">
        <v>58</v>
      </c>
      <c r="D1339" s="113" t="s">
        <v>53</v>
      </c>
      <c r="F1339" s="141" t="n">
        <v>1</v>
      </c>
      <c r="K1339" s="142"/>
    </row>
    <row r="1340">
      <c r="A1340" s="9" t="s">
        <v>2165</v>
      </c>
      <c r="B1340" s="10" t="s">
        <v>2166</v>
      </c>
      <c r="C1340" s="14" t="s">
        <v>1976</v>
      </c>
      <c r="D1340" s="10"/>
      <c r="E1340" s="10" t="s">
        <v>273</v>
      </c>
      <c r="F1340" s="56" t="n">
        <v>4</v>
      </c>
      <c r="G1340" s="56" t="n">
        <v>0</v>
      </c>
      <c r="H1340" s="56">
        <f>F1340*AO1340</f>
      </c>
      <c r="I1340" s="56">
        <f>F1340*AP1340</f>
      </c>
      <c r="J1340" s="56">
        <f>F1340*G1340</f>
      </c>
      <c r="K1340" s="111" t="s">
        <v>71</v>
      </c>
      <c r="Z1340" s="56">
        <f>IF(AQ1340="5",BJ1340,0)</f>
      </c>
      <c r="AB1340" s="56">
        <f>IF(AQ1340="1",BH1340,0)</f>
      </c>
      <c r="AC1340" s="56">
        <f>IF(AQ1340="1",BI1340,0)</f>
      </c>
      <c r="AD1340" s="56">
        <f>IF(AQ1340="7",BH1340,0)</f>
      </c>
      <c r="AE1340" s="56">
        <f>IF(AQ1340="7",BI1340,0)</f>
      </c>
      <c r="AF1340" s="56">
        <f>IF(AQ1340="2",BH1340,0)</f>
      </c>
      <c r="AG1340" s="56">
        <f>IF(AQ1340="2",BI1340,0)</f>
      </c>
      <c r="AH1340" s="56">
        <f>IF(AQ1340="0",BJ1340,0)</f>
      </c>
      <c r="AI1340" s="28" t="s">
        <v>1820</v>
      </c>
      <c r="AJ1340" s="56">
        <f>IF(AN1340=0,J1340,0)</f>
      </c>
      <c r="AK1340" s="56">
        <f>IF(AN1340=12,J1340,0)</f>
      </c>
      <c r="AL1340" s="56">
        <f>IF(AN1340=21,J1340,0)</f>
      </c>
      <c r="AN1340" s="56" t="n">
        <v>21</v>
      </c>
      <c r="AO1340" s="56">
        <f>G1340*0</f>
      </c>
      <c r="AP1340" s="56">
        <f>G1340*(1-0)</f>
      </c>
      <c r="AQ1340" s="57" t="s">
        <v>61</v>
      </c>
      <c r="AV1340" s="56">
        <f>AW1340+AX1340</f>
      </c>
      <c r="AW1340" s="56">
        <f>F1340*AO1340</f>
      </c>
      <c r="AX1340" s="56">
        <f>F1340*AP1340</f>
      </c>
      <c r="AY1340" s="57" t="s">
        <v>1985</v>
      </c>
      <c r="AZ1340" s="57" t="s">
        <v>1825</v>
      </c>
      <c r="BA1340" s="28" t="s">
        <v>1826</v>
      </c>
      <c r="BC1340" s="56">
        <f>AW1340+AX1340</f>
      </c>
      <c r="BD1340" s="56">
        <f>G1340/(100-BE1340)*100</f>
      </c>
      <c r="BE1340" s="56" t="n">
        <v>0</v>
      </c>
      <c r="BF1340" s="56">
        <f>1340</f>
      </c>
      <c r="BH1340" s="56">
        <f>F1340*AO1340</f>
      </c>
      <c r="BI1340" s="56">
        <f>F1340*AP1340</f>
      </c>
      <c r="BJ1340" s="56">
        <f>F1340*G1340</f>
      </c>
      <c r="BK1340" s="56"/>
      <c r="BL1340" s="56"/>
      <c r="BW1340" s="56" t="n">
        <v>21</v>
      </c>
      <c r="BX1340" s="14" t="s">
        <v>1976</v>
      </c>
    </row>
    <row r="1341">
      <c r="A1341" s="112"/>
      <c r="C1341" s="140" t="s">
        <v>76</v>
      </c>
      <c r="D1341" s="113" t="s">
        <v>53</v>
      </c>
      <c r="F1341" s="141" t="n">
        <v>4</v>
      </c>
      <c r="K1341" s="142"/>
    </row>
    <row r="1342">
      <c r="A1342" s="9" t="s">
        <v>2167</v>
      </c>
      <c r="B1342" s="10" t="s">
        <v>2168</v>
      </c>
      <c r="C1342" s="14" t="s">
        <v>2169</v>
      </c>
      <c r="D1342" s="10"/>
      <c r="E1342" s="10" t="s">
        <v>273</v>
      </c>
      <c r="F1342" s="56" t="n">
        <v>160</v>
      </c>
      <c r="G1342" s="56" t="n">
        <v>0</v>
      </c>
      <c r="H1342" s="56">
        <f>F1342*AO1342</f>
      </c>
      <c r="I1342" s="56">
        <f>F1342*AP1342</f>
      </c>
      <c r="J1342" s="56">
        <f>F1342*G1342</f>
      </c>
      <c r="K1342" s="111" t="s">
        <v>71</v>
      </c>
      <c r="Z1342" s="56">
        <f>IF(AQ1342="5",BJ1342,0)</f>
      </c>
      <c r="AB1342" s="56">
        <f>IF(AQ1342="1",BH1342,0)</f>
      </c>
      <c r="AC1342" s="56">
        <f>IF(AQ1342="1",BI1342,0)</f>
      </c>
      <c r="AD1342" s="56">
        <f>IF(AQ1342="7",BH1342,0)</f>
      </c>
      <c r="AE1342" s="56">
        <f>IF(AQ1342="7",BI1342,0)</f>
      </c>
      <c r="AF1342" s="56">
        <f>IF(AQ1342="2",BH1342,0)</f>
      </c>
      <c r="AG1342" s="56">
        <f>IF(AQ1342="2",BI1342,0)</f>
      </c>
      <c r="AH1342" s="56">
        <f>IF(AQ1342="0",BJ1342,0)</f>
      </c>
      <c r="AI1342" s="28" t="s">
        <v>1820</v>
      </c>
      <c r="AJ1342" s="56">
        <f>IF(AN1342=0,J1342,0)</f>
      </c>
      <c r="AK1342" s="56">
        <f>IF(AN1342=12,J1342,0)</f>
      </c>
      <c r="AL1342" s="56">
        <f>IF(AN1342=21,J1342,0)</f>
      </c>
      <c r="AN1342" s="56" t="n">
        <v>21</v>
      </c>
      <c r="AO1342" s="56">
        <f>G1342*0</f>
      </c>
      <c r="AP1342" s="56">
        <f>G1342*(1-0)</f>
      </c>
      <c r="AQ1342" s="57" t="s">
        <v>61</v>
      </c>
      <c r="AV1342" s="56">
        <f>AW1342+AX1342</f>
      </c>
      <c r="AW1342" s="56">
        <f>F1342*AO1342</f>
      </c>
      <c r="AX1342" s="56">
        <f>F1342*AP1342</f>
      </c>
      <c r="AY1342" s="57" t="s">
        <v>1985</v>
      </c>
      <c r="AZ1342" s="57" t="s">
        <v>1825</v>
      </c>
      <c r="BA1342" s="28" t="s">
        <v>1826</v>
      </c>
      <c r="BC1342" s="56">
        <f>AW1342+AX1342</f>
      </c>
      <c r="BD1342" s="56">
        <f>G1342/(100-BE1342)*100</f>
      </c>
      <c r="BE1342" s="56" t="n">
        <v>0</v>
      </c>
      <c r="BF1342" s="56">
        <f>1342</f>
      </c>
      <c r="BH1342" s="56">
        <f>F1342*AO1342</f>
      </c>
      <c r="BI1342" s="56">
        <f>F1342*AP1342</f>
      </c>
      <c r="BJ1342" s="56">
        <f>F1342*G1342</f>
      </c>
      <c r="BK1342" s="56"/>
      <c r="BL1342" s="56"/>
      <c r="BW1342" s="56" t="n">
        <v>21</v>
      </c>
      <c r="BX1342" s="14" t="s">
        <v>2169</v>
      </c>
    </row>
    <row r="1343">
      <c r="A1343" s="112"/>
      <c r="C1343" s="140" t="s">
        <v>1071</v>
      </c>
      <c r="D1343" s="113" t="s">
        <v>53</v>
      </c>
      <c r="F1343" s="141" t="n">
        <v>160</v>
      </c>
      <c r="K1343" s="142"/>
    </row>
    <row r="1344">
      <c r="A1344" s="9" t="s">
        <v>2170</v>
      </c>
      <c r="B1344" s="10" t="s">
        <v>2171</v>
      </c>
      <c r="C1344" s="14" t="s">
        <v>2172</v>
      </c>
      <c r="D1344" s="10"/>
      <c r="E1344" s="10" t="s">
        <v>1454</v>
      </c>
      <c r="F1344" s="56" t="n">
        <v>24</v>
      </c>
      <c r="G1344" s="56" t="n">
        <v>0</v>
      </c>
      <c r="H1344" s="56">
        <f>F1344*AO1344</f>
      </c>
      <c r="I1344" s="56">
        <f>F1344*AP1344</f>
      </c>
      <c r="J1344" s="56">
        <f>F1344*G1344</f>
      </c>
      <c r="K1344" s="111" t="s">
        <v>71</v>
      </c>
      <c r="Z1344" s="56">
        <f>IF(AQ1344="5",BJ1344,0)</f>
      </c>
      <c r="AB1344" s="56">
        <f>IF(AQ1344="1",BH1344,0)</f>
      </c>
      <c r="AC1344" s="56">
        <f>IF(AQ1344="1",BI1344,0)</f>
      </c>
      <c r="AD1344" s="56">
        <f>IF(AQ1344="7",BH1344,0)</f>
      </c>
      <c r="AE1344" s="56">
        <f>IF(AQ1344="7",BI1344,0)</f>
      </c>
      <c r="AF1344" s="56">
        <f>IF(AQ1344="2",BH1344,0)</f>
      </c>
      <c r="AG1344" s="56">
        <f>IF(AQ1344="2",BI1344,0)</f>
      </c>
      <c r="AH1344" s="56">
        <f>IF(AQ1344="0",BJ1344,0)</f>
      </c>
      <c r="AI1344" s="28" t="s">
        <v>1820</v>
      </c>
      <c r="AJ1344" s="56">
        <f>IF(AN1344=0,J1344,0)</f>
      </c>
      <c r="AK1344" s="56">
        <f>IF(AN1344=12,J1344,0)</f>
      </c>
      <c r="AL1344" s="56">
        <f>IF(AN1344=21,J1344,0)</f>
      </c>
      <c r="AN1344" s="56" t="n">
        <v>21</v>
      </c>
      <c r="AO1344" s="56">
        <f>G1344*0</f>
      </c>
      <c r="AP1344" s="56">
        <f>G1344*(1-0)</f>
      </c>
      <c r="AQ1344" s="57" t="s">
        <v>61</v>
      </c>
      <c r="AV1344" s="56">
        <f>AW1344+AX1344</f>
      </c>
      <c r="AW1344" s="56">
        <f>F1344*AO1344</f>
      </c>
      <c r="AX1344" s="56">
        <f>F1344*AP1344</f>
      </c>
      <c r="AY1344" s="57" t="s">
        <v>1985</v>
      </c>
      <c r="AZ1344" s="57" t="s">
        <v>1825</v>
      </c>
      <c r="BA1344" s="28" t="s">
        <v>1826</v>
      </c>
      <c r="BC1344" s="56">
        <f>AW1344+AX1344</f>
      </c>
      <c r="BD1344" s="56">
        <f>G1344/(100-BE1344)*100</f>
      </c>
      <c r="BE1344" s="56" t="n">
        <v>0</v>
      </c>
      <c r="BF1344" s="56">
        <f>1344</f>
      </c>
      <c r="BH1344" s="56">
        <f>F1344*AO1344</f>
      </c>
      <c r="BI1344" s="56">
        <f>F1344*AP1344</f>
      </c>
      <c r="BJ1344" s="56">
        <f>F1344*G1344</f>
      </c>
      <c r="BK1344" s="56"/>
      <c r="BL1344" s="56"/>
      <c r="BW1344" s="56" t="n">
        <v>21</v>
      </c>
      <c r="BX1344" s="14" t="s">
        <v>2172</v>
      </c>
    </row>
    <row r="1345">
      <c r="A1345" s="112"/>
      <c r="C1345" s="140" t="s">
        <v>208</v>
      </c>
      <c r="D1345" s="113" t="s">
        <v>53</v>
      </c>
      <c r="F1345" s="141" t="n">
        <v>24</v>
      </c>
      <c r="K1345" s="142"/>
    </row>
    <row r="1346">
      <c r="A1346" s="9" t="s">
        <v>2173</v>
      </c>
      <c r="B1346" s="10" t="s">
        <v>2174</v>
      </c>
      <c r="C1346" s="14" t="s">
        <v>2175</v>
      </c>
      <c r="D1346" s="10"/>
      <c r="E1346" s="10" t="s">
        <v>1454</v>
      </c>
      <c r="F1346" s="56" t="n">
        <v>24</v>
      </c>
      <c r="G1346" s="56" t="n">
        <v>0</v>
      </c>
      <c r="H1346" s="56">
        <f>F1346*AO1346</f>
      </c>
      <c r="I1346" s="56">
        <f>F1346*AP1346</f>
      </c>
      <c r="J1346" s="56">
        <f>F1346*G1346</f>
      </c>
      <c r="K1346" s="111" t="s">
        <v>71</v>
      </c>
      <c r="Z1346" s="56">
        <f>IF(AQ1346="5",BJ1346,0)</f>
      </c>
      <c r="AB1346" s="56">
        <f>IF(AQ1346="1",BH1346,0)</f>
      </c>
      <c r="AC1346" s="56">
        <f>IF(AQ1346="1",BI1346,0)</f>
      </c>
      <c r="AD1346" s="56">
        <f>IF(AQ1346="7",BH1346,0)</f>
      </c>
      <c r="AE1346" s="56">
        <f>IF(AQ1346="7",BI1346,0)</f>
      </c>
      <c r="AF1346" s="56">
        <f>IF(AQ1346="2",BH1346,0)</f>
      </c>
      <c r="AG1346" s="56">
        <f>IF(AQ1346="2",BI1346,0)</f>
      </c>
      <c r="AH1346" s="56">
        <f>IF(AQ1346="0",BJ1346,0)</f>
      </c>
      <c r="AI1346" s="28" t="s">
        <v>1820</v>
      </c>
      <c r="AJ1346" s="56">
        <f>IF(AN1346=0,J1346,0)</f>
      </c>
      <c r="AK1346" s="56">
        <f>IF(AN1346=12,J1346,0)</f>
      </c>
      <c r="AL1346" s="56">
        <f>IF(AN1346=21,J1346,0)</f>
      </c>
      <c r="AN1346" s="56" t="n">
        <v>21</v>
      </c>
      <c r="AO1346" s="56">
        <f>G1346*0</f>
      </c>
      <c r="AP1346" s="56">
        <f>G1346*(1-0)</f>
      </c>
      <c r="AQ1346" s="57" t="s">
        <v>61</v>
      </c>
      <c r="AV1346" s="56">
        <f>AW1346+AX1346</f>
      </c>
      <c r="AW1346" s="56">
        <f>F1346*AO1346</f>
      </c>
      <c r="AX1346" s="56">
        <f>F1346*AP1346</f>
      </c>
      <c r="AY1346" s="57" t="s">
        <v>1985</v>
      </c>
      <c r="AZ1346" s="57" t="s">
        <v>1825</v>
      </c>
      <c r="BA1346" s="28" t="s">
        <v>1826</v>
      </c>
      <c r="BC1346" s="56">
        <f>AW1346+AX1346</f>
      </c>
      <c r="BD1346" s="56">
        <f>G1346/(100-BE1346)*100</f>
      </c>
      <c r="BE1346" s="56" t="n">
        <v>0</v>
      </c>
      <c r="BF1346" s="56">
        <f>1346</f>
      </c>
      <c r="BH1346" s="56">
        <f>F1346*AO1346</f>
      </c>
      <c r="BI1346" s="56">
        <f>F1346*AP1346</f>
      </c>
      <c r="BJ1346" s="56">
        <f>F1346*G1346</f>
      </c>
      <c r="BK1346" s="56"/>
      <c r="BL1346" s="56"/>
      <c r="BW1346" s="56" t="n">
        <v>21</v>
      </c>
      <c r="BX1346" s="14" t="s">
        <v>2175</v>
      </c>
    </row>
    <row r="1347">
      <c r="A1347" s="148"/>
      <c r="B1347" s="149"/>
      <c r="C1347" s="150" t="s">
        <v>208</v>
      </c>
      <c r="D1347" s="151" t="s">
        <v>53</v>
      </c>
      <c r="E1347" s="149"/>
      <c r="F1347" s="152" t="n">
        <v>24</v>
      </c>
      <c r="G1347" s="149"/>
      <c r="H1347" s="149"/>
      <c r="I1347" s="149"/>
      <c r="J1347" s="149"/>
      <c r="K1347" s="153"/>
    </row>
    <row r="1348">
      <c r="H1348" s="154" t="s">
        <v>2176</v>
      </c>
      <c r="I1348" s="154"/>
      <c r="J1348" s="155">
        <f>J13+J16+J25+J34+J38+J103+J122+J127+J132+J143+J149+J177+J191+J284+J427+J544+J580+J674+J703+J737+J765+J799+J830+J844+J852+J874+J884+J898+J903+J911+J924+J939+J952+J956+J963+J967+J969+J971+J973+J975+J981+J986+J991+J997+J1004+J1010+J1013+J1017+J1021+J1028+J1030+J1032+J1034+J1036+J1038+J1045+J1078+J1186</f>
      </c>
    </row>
    <row r="1349">
      <c r="A1349" s="156" t="s">
        <v>267</v>
      </c>
    </row>
    <row r="1350" customHeight="true" ht="12.75">
      <c r="A1350" s="14" t="s">
        <v>53</v>
      </c>
      <c r="B1350" s="10"/>
      <c r="C1350" s="10"/>
      <c r="D1350" s="10"/>
      <c r="E1350" s="10"/>
      <c r="F1350" s="10"/>
      <c r="G1350" s="10"/>
      <c r="H1350" s="10"/>
      <c r="I1350" s="10"/>
      <c r="J1350" s="10"/>
      <c r="K1350" s="10"/>
    </row>
  </sheetData>
  <mergeCells>
    <mergeCell ref="A1:K1"/>
    <mergeCell ref="A2:B3"/>
    <mergeCell ref="A4:B5"/>
    <mergeCell ref="A6:B7"/>
    <mergeCell ref="A8:B9"/>
    <mergeCell ref="E2:F3"/>
    <mergeCell ref="E4:F5"/>
    <mergeCell ref="E6:F7"/>
    <mergeCell ref="E8:F9"/>
    <mergeCell ref="H2:H3"/>
    <mergeCell ref="H4:H5"/>
    <mergeCell ref="H6:H7"/>
    <mergeCell ref="H8:H9"/>
    <mergeCell ref="C2:D3"/>
    <mergeCell ref="C4:D5"/>
    <mergeCell ref="C6:D7"/>
    <mergeCell ref="C8:D9"/>
    <mergeCell ref="G2:G3"/>
    <mergeCell ref="G4:G5"/>
    <mergeCell ref="G6:G7"/>
    <mergeCell ref="G8:G9"/>
    <mergeCell ref="I2:K3"/>
    <mergeCell ref="I4:K5"/>
    <mergeCell ref="I6:K7"/>
    <mergeCell ref="I8:K9"/>
    <mergeCell ref="C10:D10"/>
    <mergeCell ref="C11:D11"/>
    <mergeCell ref="H10:J10"/>
    <mergeCell ref="C12:D12"/>
    <mergeCell ref="C13:D13"/>
    <mergeCell ref="C14:D14"/>
    <mergeCell ref="C15:K15"/>
    <mergeCell ref="C16:D16"/>
    <mergeCell ref="C17:D17"/>
    <mergeCell ref="C18:D18"/>
    <mergeCell ref="C19:D19"/>
    <mergeCell ref="C20:D20"/>
    <mergeCell ref="C21:D21"/>
    <mergeCell ref="C22:D22"/>
    <mergeCell ref="C23:D23"/>
    <mergeCell ref="C24:D24"/>
    <mergeCell ref="C25:D25"/>
    <mergeCell ref="C26:D26"/>
    <mergeCell ref="C27:K27"/>
    <mergeCell ref="C30:K30"/>
    <mergeCell ref="C31:D31"/>
    <mergeCell ref="C32:K32"/>
    <mergeCell ref="C34:D34"/>
    <mergeCell ref="C35:D35"/>
    <mergeCell ref="C37:K37"/>
    <mergeCell ref="C38:D38"/>
    <mergeCell ref="C39:D39"/>
    <mergeCell ref="C41:D41"/>
    <mergeCell ref="C43:D43"/>
    <mergeCell ref="C44:K44"/>
    <mergeCell ref="C46:D46"/>
    <mergeCell ref="C47:K47"/>
    <mergeCell ref="C51:K51"/>
    <mergeCell ref="C52:D52"/>
    <mergeCell ref="C53:K53"/>
    <mergeCell ref="C56:K56"/>
    <mergeCell ref="C57:D57"/>
    <mergeCell ref="C58:K58"/>
    <mergeCell ref="C62:K62"/>
    <mergeCell ref="C63:D63"/>
    <mergeCell ref="C67:K67"/>
    <mergeCell ref="C68:D68"/>
    <mergeCell ref="C70:K70"/>
    <mergeCell ref="C71:D71"/>
    <mergeCell ref="C72:K72"/>
    <mergeCell ref="C75:K75"/>
    <mergeCell ref="C76:D76"/>
    <mergeCell ref="C77:K77"/>
    <mergeCell ref="C82:K82"/>
    <mergeCell ref="C83:D83"/>
    <mergeCell ref="C85:D85"/>
    <mergeCell ref="C86:K86"/>
    <mergeCell ref="C88:K88"/>
    <mergeCell ref="C89:D89"/>
    <mergeCell ref="C90:K90"/>
    <mergeCell ref="C92:K92"/>
    <mergeCell ref="C93:D93"/>
    <mergeCell ref="C94:K94"/>
    <mergeCell ref="C96:K96"/>
    <mergeCell ref="C97:D97"/>
    <mergeCell ref="C99:K99"/>
    <mergeCell ref="C100:D100"/>
    <mergeCell ref="C102:K102"/>
    <mergeCell ref="C103:D103"/>
    <mergeCell ref="C104:D104"/>
    <mergeCell ref="C108:K108"/>
    <mergeCell ref="C109:D109"/>
    <mergeCell ref="C112:K112"/>
    <mergeCell ref="C113:D113"/>
    <mergeCell ref="C117:K117"/>
    <mergeCell ref="C118:D118"/>
    <mergeCell ref="C119:K119"/>
    <mergeCell ref="C121:K121"/>
    <mergeCell ref="C122:D122"/>
    <mergeCell ref="C123:D123"/>
    <mergeCell ref="C124:K124"/>
    <mergeCell ref="C126:K126"/>
    <mergeCell ref="C127:D127"/>
    <mergeCell ref="C128:D128"/>
    <mergeCell ref="C131:K131"/>
    <mergeCell ref="C132:D132"/>
    <mergeCell ref="C133:D133"/>
    <mergeCell ref="C134:K134"/>
    <mergeCell ref="C137:K137"/>
    <mergeCell ref="C138:D138"/>
    <mergeCell ref="C142:K142"/>
    <mergeCell ref="C143:D143"/>
    <mergeCell ref="C144:D144"/>
    <mergeCell ref="C145:K145"/>
    <mergeCell ref="C148:K148"/>
    <mergeCell ref="C149:D149"/>
    <mergeCell ref="C150:D150"/>
    <mergeCell ref="C152:K152"/>
    <mergeCell ref="C153:D153"/>
    <mergeCell ref="C156:K156"/>
    <mergeCell ref="C157:D157"/>
    <mergeCell ref="C159:K159"/>
    <mergeCell ref="C160:D160"/>
    <mergeCell ref="C163:K163"/>
    <mergeCell ref="C164:D164"/>
    <mergeCell ref="C167:K167"/>
    <mergeCell ref="C168:D168"/>
    <mergeCell ref="C169:K169"/>
    <mergeCell ref="C172:K172"/>
    <mergeCell ref="C173:D173"/>
    <mergeCell ref="C174:K174"/>
    <mergeCell ref="C176:K176"/>
    <mergeCell ref="C177:D177"/>
    <mergeCell ref="C178:D178"/>
    <mergeCell ref="C180:K180"/>
    <mergeCell ref="C181:D181"/>
    <mergeCell ref="C183:K183"/>
    <mergeCell ref="C184:D184"/>
    <mergeCell ref="C186:K186"/>
    <mergeCell ref="C187:D187"/>
    <mergeCell ref="C189:K189"/>
    <mergeCell ref="C190:D190"/>
    <mergeCell ref="C191:D191"/>
    <mergeCell ref="C192:D192"/>
    <mergeCell ref="C194:D194"/>
    <mergeCell ref="C195:K195"/>
    <mergeCell ref="C199:D199"/>
    <mergeCell ref="C201:K201"/>
    <mergeCell ref="C202:D202"/>
    <mergeCell ref="C205:K205"/>
    <mergeCell ref="C206:D206"/>
    <mergeCell ref="C207:K207"/>
    <mergeCell ref="C213:K213"/>
    <mergeCell ref="C214:D214"/>
    <mergeCell ref="C217:K217"/>
    <mergeCell ref="C218:D218"/>
    <mergeCell ref="C221:K221"/>
    <mergeCell ref="C222:D222"/>
    <mergeCell ref="C224:D224"/>
    <mergeCell ref="C225:K225"/>
    <mergeCell ref="C227:K227"/>
    <mergeCell ref="C228:D228"/>
    <mergeCell ref="C231:K231"/>
    <mergeCell ref="C232:D232"/>
    <mergeCell ref="C233:K233"/>
    <mergeCell ref="C240:D240"/>
    <mergeCell ref="C243:K243"/>
    <mergeCell ref="C244:D244"/>
    <mergeCell ref="C245:K245"/>
    <mergeCell ref="C248:K248"/>
    <mergeCell ref="C249:D249"/>
    <mergeCell ref="C252:K252"/>
    <mergeCell ref="C253:D253"/>
    <mergeCell ref="C254:K254"/>
    <mergeCell ref="C257:D257"/>
    <mergeCell ref="C260:K260"/>
    <mergeCell ref="C261:D261"/>
    <mergeCell ref="C262:K262"/>
    <mergeCell ref="C265:K265"/>
    <mergeCell ref="C266:D266"/>
    <mergeCell ref="C271:K271"/>
    <mergeCell ref="C272:D272"/>
    <mergeCell ref="C275:K275"/>
    <mergeCell ref="C276:D276"/>
    <mergeCell ref="C278:D278"/>
    <mergeCell ref="C279:K279"/>
    <mergeCell ref="C282:K282"/>
    <mergeCell ref="C283:D283"/>
    <mergeCell ref="C284:D284"/>
    <mergeCell ref="C285:D285"/>
    <mergeCell ref="C287:D287"/>
    <mergeCell ref="C288:K288"/>
    <mergeCell ref="C290:K290"/>
    <mergeCell ref="C291:D291"/>
    <mergeCell ref="C292:K292"/>
    <mergeCell ref="C294:K294"/>
    <mergeCell ref="C295:D295"/>
    <mergeCell ref="C297:D297"/>
    <mergeCell ref="C298:K298"/>
    <mergeCell ref="C300:K300"/>
    <mergeCell ref="C301:K301"/>
    <mergeCell ref="C302:D302"/>
    <mergeCell ref="C304:D304"/>
    <mergeCell ref="C307:K307"/>
    <mergeCell ref="C308:D308"/>
    <mergeCell ref="C320:K320"/>
    <mergeCell ref="C321:D321"/>
    <mergeCell ref="C325:K325"/>
    <mergeCell ref="C326:D326"/>
    <mergeCell ref="C335:D335"/>
    <mergeCell ref="C338:K338"/>
    <mergeCell ref="C339:D339"/>
    <mergeCell ref="C344:K344"/>
    <mergeCell ref="C345:D345"/>
    <mergeCell ref="C348:D348"/>
    <mergeCell ref="C351:D351"/>
    <mergeCell ref="C354:D354"/>
    <mergeCell ref="C356:K356"/>
    <mergeCell ref="C357:D357"/>
    <mergeCell ref="C360:K360"/>
    <mergeCell ref="C361:D361"/>
    <mergeCell ref="C363:K363"/>
    <mergeCell ref="C364:D364"/>
    <mergeCell ref="C367:D367"/>
    <mergeCell ref="C368:K368"/>
    <mergeCell ref="C370:K370"/>
    <mergeCell ref="C371:D371"/>
    <mergeCell ref="C388:K388"/>
    <mergeCell ref="C389:D389"/>
    <mergeCell ref="C390:K390"/>
    <mergeCell ref="C393:K393"/>
    <mergeCell ref="C394:D394"/>
    <mergeCell ref="C396:K396"/>
    <mergeCell ref="C397:D397"/>
    <mergeCell ref="C400:K400"/>
    <mergeCell ref="C401:D401"/>
    <mergeCell ref="C403:K403"/>
    <mergeCell ref="C404:D404"/>
    <mergeCell ref="C407:K407"/>
    <mergeCell ref="C408:D408"/>
    <mergeCell ref="C412:K412"/>
    <mergeCell ref="C413:D413"/>
    <mergeCell ref="C415:K415"/>
    <mergeCell ref="C416:D416"/>
    <mergeCell ref="C421:K421"/>
    <mergeCell ref="C422:D422"/>
    <mergeCell ref="C423:K423"/>
    <mergeCell ref="C425:K425"/>
    <mergeCell ref="C426:D426"/>
    <mergeCell ref="C427:D427"/>
    <mergeCell ref="C428:D428"/>
    <mergeCell ref="C430:D430"/>
    <mergeCell ref="C431:K431"/>
    <mergeCell ref="C433:K433"/>
    <mergeCell ref="C434:D434"/>
    <mergeCell ref="C437:K437"/>
    <mergeCell ref="C438:D438"/>
    <mergeCell ref="C439:K439"/>
    <mergeCell ref="C442:K442"/>
    <mergeCell ref="C443:D443"/>
    <mergeCell ref="C444:K444"/>
    <mergeCell ref="C446:K446"/>
    <mergeCell ref="C447:D447"/>
    <mergeCell ref="C448:K448"/>
    <mergeCell ref="C454:K454"/>
    <mergeCell ref="C455:D455"/>
    <mergeCell ref="C458:K458"/>
    <mergeCell ref="C459:D459"/>
    <mergeCell ref="C465:D465"/>
    <mergeCell ref="C471:K471"/>
    <mergeCell ref="C472:D472"/>
    <mergeCell ref="C475:K475"/>
    <mergeCell ref="C476:D476"/>
    <mergeCell ref="C480:D480"/>
    <mergeCell ref="C484:K484"/>
    <mergeCell ref="C485:D485"/>
    <mergeCell ref="C488:K488"/>
    <mergeCell ref="C489:D489"/>
    <mergeCell ref="C491:K491"/>
    <mergeCell ref="C492:D492"/>
    <mergeCell ref="C495:K495"/>
    <mergeCell ref="C496:D496"/>
    <mergeCell ref="C497:K497"/>
    <mergeCell ref="C499:K499"/>
    <mergeCell ref="C500:D500"/>
    <mergeCell ref="C501:K501"/>
    <mergeCell ref="C504:K504"/>
    <mergeCell ref="C505:D505"/>
    <mergeCell ref="C507:K507"/>
    <mergeCell ref="C508:D508"/>
    <mergeCell ref="C511:K511"/>
    <mergeCell ref="C512:D512"/>
    <mergeCell ref="C513:K513"/>
    <mergeCell ref="C519:K519"/>
    <mergeCell ref="C520:D520"/>
    <mergeCell ref="C522:K522"/>
    <mergeCell ref="C523:D523"/>
    <mergeCell ref="C526:K526"/>
    <mergeCell ref="C527:D527"/>
    <mergeCell ref="C530:K530"/>
    <mergeCell ref="C531:D531"/>
    <mergeCell ref="C534:K534"/>
    <mergeCell ref="C535:D535"/>
    <mergeCell ref="C538:K538"/>
    <mergeCell ref="C539:D539"/>
    <mergeCell ref="C540:K540"/>
    <mergeCell ref="C542:K542"/>
    <mergeCell ref="C543:D543"/>
    <mergeCell ref="C544:D544"/>
    <mergeCell ref="C545:D545"/>
    <mergeCell ref="C546:K546"/>
    <mergeCell ref="C549:D549"/>
    <mergeCell ref="C551:D551"/>
    <mergeCell ref="C553:D553"/>
    <mergeCell ref="C555:K555"/>
    <mergeCell ref="C556:D556"/>
    <mergeCell ref="C559:K559"/>
    <mergeCell ref="C560:D560"/>
    <mergeCell ref="C562:K562"/>
    <mergeCell ref="C563:D563"/>
    <mergeCell ref="C572:D572"/>
    <mergeCell ref="C578:K578"/>
    <mergeCell ref="C579:D579"/>
    <mergeCell ref="C580:D580"/>
    <mergeCell ref="C581:D581"/>
    <mergeCell ref="C583:D583"/>
    <mergeCell ref="C585:K585"/>
    <mergeCell ref="C586:D586"/>
    <mergeCell ref="C588:K588"/>
    <mergeCell ref="C589:D589"/>
    <mergeCell ref="C592:D592"/>
    <mergeCell ref="C594:K594"/>
    <mergeCell ref="C595:D595"/>
    <mergeCell ref="C599:K599"/>
    <mergeCell ref="C600:D600"/>
    <mergeCell ref="C602:D602"/>
    <mergeCell ref="C604:D604"/>
    <mergeCell ref="C606:D606"/>
    <mergeCell ref="C608:K608"/>
    <mergeCell ref="C609:D609"/>
    <mergeCell ref="C612:K612"/>
    <mergeCell ref="C613:D613"/>
    <mergeCell ref="C615:K615"/>
    <mergeCell ref="C616:D616"/>
    <mergeCell ref="C618:K618"/>
    <mergeCell ref="C619:D619"/>
    <mergeCell ref="C621:K621"/>
    <mergeCell ref="C622:D622"/>
    <mergeCell ref="C624:K624"/>
    <mergeCell ref="C625:D625"/>
    <mergeCell ref="C627:K627"/>
    <mergeCell ref="C628:D628"/>
    <mergeCell ref="C633:K633"/>
    <mergeCell ref="C634:D634"/>
    <mergeCell ref="C636:K636"/>
    <mergeCell ref="C637:D637"/>
    <mergeCell ref="C639:K639"/>
    <mergeCell ref="C640:D640"/>
    <mergeCell ref="C642:K642"/>
    <mergeCell ref="C643:D643"/>
    <mergeCell ref="C645:K645"/>
    <mergeCell ref="C646:D646"/>
    <mergeCell ref="C648:K648"/>
    <mergeCell ref="C649:D649"/>
    <mergeCell ref="C651:K651"/>
    <mergeCell ref="C652:D652"/>
    <mergeCell ref="C654:K654"/>
    <mergeCell ref="C655:D655"/>
    <mergeCell ref="C657:K657"/>
    <mergeCell ref="C658:D658"/>
    <mergeCell ref="C660:K660"/>
    <mergeCell ref="C661:D661"/>
    <mergeCell ref="C663:K663"/>
    <mergeCell ref="C664:D664"/>
    <mergeCell ref="C666:K666"/>
    <mergeCell ref="C667:D667"/>
    <mergeCell ref="C669:K669"/>
    <mergeCell ref="C670:D670"/>
    <mergeCell ref="C672:K672"/>
    <mergeCell ref="C673:D673"/>
    <mergeCell ref="C674:D674"/>
    <mergeCell ref="C675:D675"/>
    <mergeCell ref="C678:D678"/>
    <mergeCell ref="C679:K679"/>
    <mergeCell ref="C684:D684"/>
    <mergeCell ref="C685:K685"/>
    <mergeCell ref="C688:K688"/>
    <mergeCell ref="C689:D689"/>
    <mergeCell ref="C690:K690"/>
    <mergeCell ref="C693:D693"/>
    <mergeCell ref="C694:K694"/>
    <mergeCell ref="C697:D697"/>
    <mergeCell ref="C698:K698"/>
    <mergeCell ref="C702:D702"/>
    <mergeCell ref="C703:D703"/>
    <mergeCell ref="C704:D704"/>
    <mergeCell ref="C706:K706"/>
    <mergeCell ref="C707:D707"/>
    <mergeCell ref="C710:K710"/>
    <mergeCell ref="C711:D711"/>
    <mergeCell ref="C714:K714"/>
    <mergeCell ref="C715:D715"/>
    <mergeCell ref="C716:K716"/>
    <mergeCell ref="C718:K718"/>
    <mergeCell ref="C719:D719"/>
    <mergeCell ref="C722:K722"/>
    <mergeCell ref="C723:D723"/>
    <mergeCell ref="C725:D725"/>
    <mergeCell ref="C727:D727"/>
    <mergeCell ref="C730:D730"/>
    <mergeCell ref="C732:K732"/>
    <mergeCell ref="C733:D733"/>
    <mergeCell ref="C735:K735"/>
    <mergeCell ref="C736:D736"/>
    <mergeCell ref="C737:D737"/>
    <mergeCell ref="C738:D738"/>
    <mergeCell ref="C741:K741"/>
    <mergeCell ref="C742:D742"/>
    <mergeCell ref="C746:K746"/>
    <mergeCell ref="C747:D747"/>
    <mergeCell ref="C748:K748"/>
    <mergeCell ref="C750:D750"/>
    <mergeCell ref="C753:K753"/>
    <mergeCell ref="C754:D754"/>
    <mergeCell ref="C757:K757"/>
    <mergeCell ref="C758:D758"/>
    <mergeCell ref="C761:K761"/>
    <mergeCell ref="C762:D762"/>
    <mergeCell ref="C764:D764"/>
    <mergeCell ref="C765:D765"/>
    <mergeCell ref="C766:D766"/>
    <mergeCell ref="C767:K767"/>
    <mergeCell ref="C769:K769"/>
    <mergeCell ref="C770:D770"/>
    <mergeCell ref="C773:K773"/>
    <mergeCell ref="C774:D774"/>
    <mergeCell ref="C776:D776"/>
    <mergeCell ref="C777:K777"/>
    <mergeCell ref="C779:K779"/>
    <mergeCell ref="C780:D780"/>
    <mergeCell ref="C782:D782"/>
    <mergeCell ref="C784:D784"/>
    <mergeCell ref="C786:K786"/>
    <mergeCell ref="C787:D787"/>
    <mergeCell ref="C790:K790"/>
    <mergeCell ref="C791:D791"/>
    <mergeCell ref="C793:K793"/>
    <mergeCell ref="C794:D794"/>
    <mergeCell ref="C797:K797"/>
    <mergeCell ref="C798:D798"/>
    <mergeCell ref="C799:D799"/>
    <mergeCell ref="C800:D800"/>
    <mergeCell ref="C804:D804"/>
    <mergeCell ref="C807:D807"/>
    <mergeCell ref="C823:K823"/>
    <mergeCell ref="C824:D824"/>
    <mergeCell ref="C826:K826"/>
    <mergeCell ref="C827:D827"/>
    <mergeCell ref="C829:K829"/>
    <mergeCell ref="C830:D830"/>
    <mergeCell ref="C831:D831"/>
    <mergeCell ref="C840:K840"/>
    <mergeCell ref="C841:D841"/>
    <mergeCell ref="C843:K843"/>
    <mergeCell ref="C844:D844"/>
    <mergeCell ref="C845:D845"/>
    <mergeCell ref="C846:K846"/>
    <mergeCell ref="C849:D849"/>
    <mergeCell ref="C850:K850"/>
    <mergeCell ref="C852:D852"/>
    <mergeCell ref="C853:D853"/>
    <mergeCell ref="C855:K855"/>
    <mergeCell ref="C856:D856"/>
    <mergeCell ref="C858:K858"/>
    <mergeCell ref="C859:D859"/>
    <mergeCell ref="C861:K861"/>
    <mergeCell ref="C862:D862"/>
    <mergeCell ref="C863:K863"/>
    <mergeCell ref="C865:K865"/>
    <mergeCell ref="C866:D866"/>
    <mergeCell ref="C867:K867"/>
    <mergeCell ref="C869:K869"/>
    <mergeCell ref="C870:D870"/>
    <mergeCell ref="C871:K871"/>
    <mergeCell ref="C873:K873"/>
    <mergeCell ref="C874:D874"/>
    <mergeCell ref="C875:D875"/>
    <mergeCell ref="C877:K877"/>
    <mergeCell ref="C878:D878"/>
    <mergeCell ref="C880:K880"/>
    <mergeCell ref="C881:D881"/>
    <mergeCell ref="C882:K882"/>
    <mergeCell ref="C884:D884"/>
    <mergeCell ref="C885:D885"/>
    <mergeCell ref="C886:K886"/>
    <mergeCell ref="C888:K888"/>
    <mergeCell ref="C889:D889"/>
    <mergeCell ref="C890:K890"/>
    <mergeCell ref="C892:D892"/>
    <mergeCell ref="C893:K893"/>
    <mergeCell ref="C895:D895"/>
    <mergeCell ref="C897:D897"/>
    <mergeCell ref="C898:D898"/>
    <mergeCell ref="C899:D899"/>
    <mergeCell ref="C900:K900"/>
    <mergeCell ref="C902:K902"/>
    <mergeCell ref="C903:D903"/>
    <mergeCell ref="C904:D904"/>
    <mergeCell ref="C905:K905"/>
    <mergeCell ref="C907:K907"/>
    <mergeCell ref="C908:D908"/>
    <mergeCell ref="C910:K910"/>
    <mergeCell ref="C911:D911"/>
    <mergeCell ref="C912:D912"/>
    <mergeCell ref="C913:D913"/>
    <mergeCell ref="C914:D914"/>
    <mergeCell ref="C915:D915"/>
    <mergeCell ref="C916:D916"/>
    <mergeCell ref="C917:D917"/>
    <mergeCell ref="C918:D918"/>
    <mergeCell ref="C919:D919"/>
    <mergeCell ref="C920:D920"/>
    <mergeCell ref="C921:D921"/>
    <mergeCell ref="C922:D922"/>
    <mergeCell ref="C923:D923"/>
    <mergeCell ref="C924:D924"/>
    <mergeCell ref="C925:D925"/>
    <mergeCell ref="C926:D926"/>
    <mergeCell ref="C927:D927"/>
    <mergeCell ref="C928:D928"/>
    <mergeCell ref="C929:D929"/>
    <mergeCell ref="C930:D930"/>
    <mergeCell ref="C931:D931"/>
    <mergeCell ref="C932:D932"/>
    <mergeCell ref="C933:D933"/>
    <mergeCell ref="C934:D934"/>
    <mergeCell ref="C935:D935"/>
    <mergeCell ref="C936:D936"/>
    <mergeCell ref="C937:D937"/>
    <mergeCell ref="C938:D938"/>
    <mergeCell ref="C939:D939"/>
    <mergeCell ref="C940:D940"/>
    <mergeCell ref="C941:D941"/>
    <mergeCell ref="C942:D942"/>
    <mergeCell ref="C943:D943"/>
    <mergeCell ref="C944:D944"/>
    <mergeCell ref="C945:D945"/>
    <mergeCell ref="C946:D946"/>
    <mergeCell ref="C947:D947"/>
    <mergeCell ref="C948:D948"/>
    <mergeCell ref="C949:D949"/>
    <mergeCell ref="C950:D950"/>
    <mergeCell ref="C951:D951"/>
    <mergeCell ref="C952:D952"/>
    <mergeCell ref="C953:D953"/>
    <mergeCell ref="C954:D954"/>
    <mergeCell ref="C955:D955"/>
    <mergeCell ref="C956:D956"/>
    <mergeCell ref="C957:D957"/>
    <mergeCell ref="C962:K962"/>
    <mergeCell ref="C963:D963"/>
    <mergeCell ref="C964:D964"/>
    <mergeCell ref="C966:K966"/>
    <mergeCell ref="C967:D967"/>
    <mergeCell ref="C968:D968"/>
    <mergeCell ref="C969:D969"/>
    <mergeCell ref="C970:D970"/>
    <mergeCell ref="C971:D971"/>
    <mergeCell ref="C972:D972"/>
    <mergeCell ref="C973:D973"/>
    <mergeCell ref="C974:D974"/>
    <mergeCell ref="C975:D975"/>
    <mergeCell ref="C976:D976"/>
    <mergeCell ref="C977:D977"/>
    <mergeCell ref="C978:D978"/>
    <mergeCell ref="C979:D979"/>
    <mergeCell ref="C980:D980"/>
    <mergeCell ref="C981:D981"/>
    <mergeCell ref="C982:D982"/>
    <mergeCell ref="C983:K983"/>
    <mergeCell ref="C985:K985"/>
    <mergeCell ref="C986:D986"/>
    <mergeCell ref="C987:D987"/>
    <mergeCell ref="C988:D988"/>
    <mergeCell ref="C989:D989"/>
    <mergeCell ref="C990:D990"/>
    <mergeCell ref="C991:D991"/>
    <mergeCell ref="C992:D992"/>
    <mergeCell ref="C993:D993"/>
    <mergeCell ref="C994:D994"/>
    <mergeCell ref="C995:D995"/>
    <mergeCell ref="C996:D996"/>
    <mergeCell ref="C997:D997"/>
    <mergeCell ref="C998:D998"/>
    <mergeCell ref="C999:D999"/>
    <mergeCell ref="C1000:D1000"/>
    <mergeCell ref="C1001:D1001"/>
    <mergeCell ref="C1002:D1002"/>
    <mergeCell ref="C1003:D1003"/>
    <mergeCell ref="C1004:D1004"/>
    <mergeCell ref="C1005:D1005"/>
    <mergeCell ref="C1006:D1006"/>
    <mergeCell ref="C1007:D1007"/>
    <mergeCell ref="C1008:D1008"/>
    <mergeCell ref="C1009:D1009"/>
    <mergeCell ref="C1010:D1010"/>
    <mergeCell ref="C1011:D1011"/>
    <mergeCell ref="C1012:D1012"/>
    <mergeCell ref="C1013:D1013"/>
    <mergeCell ref="C1014:D1014"/>
    <mergeCell ref="C1015:D1015"/>
    <mergeCell ref="C1016:D1016"/>
    <mergeCell ref="C1017:D1017"/>
    <mergeCell ref="C1018:D1018"/>
    <mergeCell ref="C1020:K1020"/>
    <mergeCell ref="C1021:D1021"/>
    <mergeCell ref="C1022:D1022"/>
    <mergeCell ref="C1024:K1024"/>
    <mergeCell ref="C1025:D1025"/>
    <mergeCell ref="C1027:K1027"/>
    <mergeCell ref="C1028:D1028"/>
    <mergeCell ref="C1029:D1029"/>
    <mergeCell ref="C1030:D1030"/>
    <mergeCell ref="C1031:D1031"/>
    <mergeCell ref="C1032:D1032"/>
    <mergeCell ref="C1033:D1033"/>
    <mergeCell ref="C1034:D1034"/>
    <mergeCell ref="C1035:D1035"/>
    <mergeCell ref="C1036:D1036"/>
    <mergeCell ref="C1037:D1037"/>
    <mergeCell ref="C1038:D1038"/>
    <mergeCell ref="C1039:D1039"/>
    <mergeCell ref="C1040:D1040"/>
    <mergeCell ref="C1041:D1041"/>
    <mergeCell ref="C1042:D1042"/>
    <mergeCell ref="C1043:D1043"/>
    <mergeCell ref="C1044:D1044"/>
    <mergeCell ref="C1045:D1045"/>
    <mergeCell ref="C1046:D1046"/>
    <mergeCell ref="C1047:K1047"/>
    <mergeCell ref="C1049:D1049"/>
    <mergeCell ref="C1050:K1050"/>
    <mergeCell ref="C1052:D1052"/>
    <mergeCell ref="C1053:K1053"/>
    <mergeCell ref="C1055:D1055"/>
    <mergeCell ref="C1056:K1056"/>
    <mergeCell ref="C1058:D1058"/>
    <mergeCell ref="C1059:K1059"/>
    <mergeCell ref="C1061:D1061"/>
    <mergeCell ref="C1062:K1062"/>
    <mergeCell ref="C1064:D1064"/>
    <mergeCell ref="C1065:K1065"/>
    <mergeCell ref="C1067:D1067"/>
    <mergeCell ref="C1068:K1068"/>
    <mergeCell ref="C1070:D1070"/>
    <mergeCell ref="C1071:K1071"/>
    <mergeCell ref="C1073:D1073"/>
    <mergeCell ref="C1074:K1074"/>
    <mergeCell ref="C1076:D1076"/>
    <mergeCell ref="C1078:D1078"/>
    <mergeCell ref="C1079:D1079"/>
    <mergeCell ref="C1080:K1080"/>
    <mergeCell ref="C1082:D1082"/>
    <mergeCell ref="C1083:K1083"/>
    <mergeCell ref="C1085:D1085"/>
    <mergeCell ref="C1086:K1086"/>
    <mergeCell ref="C1088:D1088"/>
    <mergeCell ref="C1089:K1089"/>
    <mergeCell ref="C1091:D1091"/>
    <mergeCell ref="C1092:K1092"/>
    <mergeCell ref="C1094:D1094"/>
    <mergeCell ref="C1095:K1095"/>
    <mergeCell ref="C1097:D1097"/>
    <mergeCell ref="C1098:K1098"/>
    <mergeCell ref="C1100:D1100"/>
    <mergeCell ref="C1101:K1101"/>
    <mergeCell ref="C1103:D1103"/>
    <mergeCell ref="C1104:K1104"/>
    <mergeCell ref="C1106:D1106"/>
    <mergeCell ref="C1107:K1107"/>
    <mergeCell ref="C1109:D1109"/>
    <mergeCell ref="C1110:K1110"/>
    <mergeCell ref="C1112:D1112"/>
    <mergeCell ref="C1113:K1113"/>
    <mergeCell ref="C1115:D1115"/>
    <mergeCell ref="C1116:K1116"/>
    <mergeCell ref="C1118:D1118"/>
    <mergeCell ref="C1119:K1119"/>
    <mergeCell ref="C1121:D1121"/>
    <mergeCell ref="C1122:K1122"/>
    <mergeCell ref="C1124:D1124"/>
    <mergeCell ref="C1125:K1125"/>
    <mergeCell ref="C1127:D1127"/>
    <mergeCell ref="C1128:K1128"/>
    <mergeCell ref="C1130:D1130"/>
    <mergeCell ref="C1131:K1131"/>
    <mergeCell ref="C1133:D1133"/>
    <mergeCell ref="C1134:K1134"/>
    <mergeCell ref="C1136:D1136"/>
    <mergeCell ref="C1137:K1137"/>
    <mergeCell ref="C1139:D1139"/>
    <mergeCell ref="C1140:K1140"/>
    <mergeCell ref="C1142:D1142"/>
    <mergeCell ref="C1143:K1143"/>
    <mergeCell ref="C1145:D1145"/>
    <mergeCell ref="C1146:K1146"/>
    <mergeCell ref="C1148:D1148"/>
    <mergeCell ref="C1149:K1149"/>
    <mergeCell ref="C1151:D1151"/>
    <mergeCell ref="C1152:K1152"/>
    <mergeCell ref="C1154:D1154"/>
    <mergeCell ref="C1155:K1155"/>
    <mergeCell ref="C1157:D1157"/>
    <mergeCell ref="C1158:K1158"/>
    <mergeCell ref="C1160:D1160"/>
    <mergeCell ref="C1161:K1161"/>
    <mergeCell ref="C1163:D1163"/>
    <mergeCell ref="C1164:K1164"/>
    <mergeCell ref="C1166:D1166"/>
    <mergeCell ref="C1167:K1167"/>
    <mergeCell ref="C1169:D1169"/>
    <mergeCell ref="C1170:K1170"/>
    <mergeCell ref="C1172:D1172"/>
    <mergeCell ref="C1174:D1174"/>
    <mergeCell ref="C1176:D1176"/>
    <mergeCell ref="C1178:D1178"/>
    <mergeCell ref="C1180:D1180"/>
    <mergeCell ref="C1182:D1182"/>
    <mergeCell ref="C1184:D1184"/>
    <mergeCell ref="C1186:D1186"/>
    <mergeCell ref="C1187:D1187"/>
    <mergeCell ref="C1189:D1189"/>
    <mergeCell ref="C1190:K1190"/>
    <mergeCell ref="C1192:D1192"/>
    <mergeCell ref="C1193:K1193"/>
    <mergeCell ref="C1195:D1195"/>
    <mergeCell ref="C1196:K1196"/>
    <mergeCell ref="C1198:D1198"/>
    <mergeCell ref="C1199:K1199"/>
    <mergeCell ref="C1201:D1201"/>
    <mergeCell ref="C1202:K1202"/>
    <mergeCell ref="C1204:D1204"/>
    <mergeCell ref="C1205:K1205"/>
    <mergeCell ref="C1207:D1207"/>
    <mergeCell ref="C1208:K1208"/>
    <mergeCell ref="C1210:D1210"/>
    <mergeCell ref="C1211:K1211"/>
    <mergeCell ref="C1213:D1213"/>
    <mergeCell ref="C1214:K1214"/>
    <mergeCell ref="C1216:D1216"/>
    <mergeCell ref="C1217:K1217"/>
    <mergeCell ref="C1219:D1219"/>
    <mergeCell ref="C1220:K1220"/>
    <mergeCell ref="C1222:D1222"/>
    <mergeCell ref="C1223:K1223"/>
    <mergeCell ref="C1225:D1225"/>
    <mergeCell ref="C1226:K1226"/>
    <mergeCell ref="C1228:D1228"/>
    <mergeCell ref="C1229:K1229"/>
    <mergeCell ref="C1231:D1231"/>
    <mergeCell ref="C1232:K1232"/>
    <mergeCell ref="C1234:D1234"/>
    <mergeCell ref="C1235:K1235"/>
    <mergeCell ref="C1237:D1237"/>
    <mergeCell ref="C1238:K1238"/>
    <mergeCell ref="C1240:D1240"/>
    <mergeCell ref="C1241:K1241"/>
    <mergeCell ref="C1243:D1243"/>
    <mergeCell ref="C1244:K1244"/>
    <mergeCell ref="C1246:D1246"/>
    <mergeCell ref="C1247:K1247"/>
    <mergeCell ref="C1249:D1249"/>
    <mergeCell ref="C1250:K1250"/>
    <mergeCell ref="C1252:D1252"/>
    <mergeCell ref="C1253:K1253"/>
    <mergeCell ref="C1255:D1255"/>
    <mergeCell ref="C1256:K1256"/>
    <mergeCell ref="C1258:D1258"/>
    <mergeCell ref="C1259:K1259"/>
    <mergeCell ref="C1261:D1261"/>
    <mergeCell ref="C1262:K1262"/>
    <mergeCell ref="C1264:D1264"/>
    <mergeCell ref="C1265:K1265"/>
    <mergeCell ref="C1267:D1267"/>
    <mergeCell ref="C1268:K1268"/>
    <mergeCell ref="C1270:D1270"/>
    <mergeCell ref="C1271:K1271"/>
    <mergeCell ref="C1273:D1273"/>
    <mergeCell ref="C1274:K1274"/>
    <mergeCell ref="C1276:D1276"/>
    <mergeCell ref="C1277:K1277"/>
    <mergeCell ref="C1279:D1279"/>
    <mergeCell ref="C1280:K1280"/>
    <mergeCell ref="C1282:D1282"/>
    <mergeCell ref="C1283:K1283"/>
    <mergeCell ref="C1285:D1285"/>
    <mergeCell ref="C1286:K1286"/>
    <mergeCell ref="C1288:D1288"/>
    <mergeCell ref="C1289:K1289"/>
    <mergeCell ref="C1291:D1291"/>
    <mergeCell ref="C1292:K1292"/>
    <mergeCell ref="C1294:D1294"/>
    <mergeCell ref="C1295:K1295"/>
    <mergeCell ref="C1297:D1297"/>
    <mergeCell ref="C1298:K1298"/>
    <mergeCell ref="C1300:D1300"/>
    <mergeCell ref="C1301:K1301"/>
    <mergeCell ref="C1303:D1303"/>
    <mergeCell ref="C1304:K1304"/>
    <mergeCell ref="C1306:D1306"/>
    <mergeCell ref="C1307:K1307"/>
    <mergeCell ref="C1309:D1309"/>
    <mergeCell ref="C1310:K1310"/>
    <mergeCell ref="C1312:D1312"/>
    <mergeCell ref="C1313:K1313"/>
    <mergeCell ref="C1315:D1315"/>
    <mergeCell ref="C1316:K1316"/>
    <mergeCell ref="C1318:D1318"/>
    <mergeCell ref="C1320:D1320"/>
    <mergeCell ref="C1322:D1322"/>
    <mergeCell ref="C1324:D1324"/>
    <mergeCell ref="C1326:D1326"/>
    <mergeCell ref="C1328:D1328"/>
    <mergeCell ref="C1330:D1330"/>
    <mergeCell ref="C1332:D1332"/>
    <mergeCell ref="C1334:D1334"/>
    <mergeCell ref="C1336:D1336"/>
    <mergeCell ref="C1338:D1338"/>
    <mergeCell ref="C1340:D1340"/>
    <mergeCell ref="C1342:D1342"/>
    <mergeCell ref="C1344:D1344"/>
    <mergeCell ref="C1346:D1346"/>
    <mergeCell ref="H1348:I1348"/>
    <mergeCell ref="A1350:K1350"/>
  </mergeCells>
  <pageMargins left="0.393999993801117" top="0.591000020503998" right="0.393999993801117" bottom="0.591000020503998" header="0" footer="0"/>
  <pageSetup orientation="landscape" fitToHeight="0" fitToWidth="1" cellComments="none"/>
  <drawing r:id="rId1"/>
</worksheet>
</file>

<file path=xl/worksheets/sheet10.xml><?xml version="1.0" encoding="utf-8"?>
<worksheet xmlns:r="http://schemas.openxmlformats.org/officeDocument/2006/relationships" xmlns="http://schemas.openxmlformats.org/spreadsheetml/2006/main">
  <sheetPr>
    <outlinePr summaryBelow="true" summaryRight="true"/>
    <pageSetUpPr fitToPage="true"/>
  </sheetPr>
  <dimension ref="A1:I36"/>
  <sheetViews>
    <sheetView workbookViewId="0" showZeros="true" showFormulas="false" showGridLines="true" showRowColHeaders="true">
      <selection sqref="A36:E36" activeCell="A36"/>
    </sheetView>
  </sheetViews>
  <sheetFormatPr defaultColWidth="12.140625" customHeight="true" defaultRowHeight="15"/>
  <cols>
    <col max="1" min="1" style="0" width="9.140625" customWidth="true"/>
    <col max="2" min="2" style="0" width="12.85546875" customWidth="true"/>
    <col max="3" min="3" style="0" width="22.85546875" customWidth="true"/>
    <col max="4" min="4" style="0" width="10" customWidth="true"/>
    <col max="5" min="5" style="0" width="14" customWidth="true"/>
    <col max="6" min="6" style="0" width="22.85546875" customWidth="true"/>
    <col max="7" min="7" style="0" width="9.140625" customWidth="true"/>
    <col max="8" min="8" style="0" width="17.140625" customWidth="true"/>
    <col max="9" min="9" style="0" width="22.85546875" customWidth="true"/>
  </cols>
  <sheetData>
    <row r="1" customHeight="true" ht="54.75">
      <c r="A1" s="169" t="s">
        <v>2244</v>
      </c>
      <c r="B1" s="1"/>
      <c r="C1" s="1"/>
      <c r="D1" s="1"/>
      <c r="E1" s="1"/>
      <c r="F1" s="1"/>
      <c r="G1" s="1"/>
      <c r="H1" s="1"/>
      <c r="I1" s="1"/>
    </row>
    <row r="2">
      <c r="A2" s="3" t="s">
        <v>1</v>
      </c>
      <c r="B2" s="4"/>
      <c r="C2" s="5">
        <f>'Stavební rozpočet'!C2</f>
      </c>
      <c r="D2" s="6"/>
      <c r="E2" s="7" t="s">
        <v>5</v>
      </c>
      <c r="F2" s="7">
        <f>'Stavební rozpočet'!I2</f>
      </c>
      <c r="G2" s="4"/>
      <c r="H2" s="7" t="s">
        <v>2185</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2185</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2185</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2186</v>
      </c>
      <c r="I8" s="170" t="n">
        <v>39</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2187</v>
      </c>
      <c r="I10" s="158">
        <f>'Stavební rozpočet'!G8</f>
      </c>
    </row>
    <row r="11">
      <c r="A11" s="171"/>
      <c r="B11" s="159"/>
      <c r="C11" s="159"/>
      <c r="D11" s="159"/>
      <c r="E11" s="159"/>
      <c r="F11" s="159"/>
      <c r="G11" s="159"/>
      <c r="H11" s="159"/>
      <c r="I11" s="172"/>
    </row>
    <row r="13">
      <c r="A13" s="219" t="s">
        <v>2229</v>
      </c>
      <c r="B13" s="219"/>
      <c r="C13" s="219"/>
      <c r="D13" s="219"/>
      <c r="E13" s="219"/>
    </row>
    <row r="14">
      <c r="A14" s="220" t="s">
        <v>2230</v>
      </c>
      <c r="B14" s="221"/>
      <c r="C14" s="221"/>
      <c r="D14" s="221"/>
      <c r="E14" s="222"/>
      <c r="F14" s="223" t="s">
        <v>2231</v>
      </c>
      <c r="G14" s="223" t="s">
        <v>1108</v>
      </c>
      <c r="H14" s="223" t="s">
        <v>2232</v>
      </c>
      <c r="I14" s="223" t="s">
        <v>2231</v>
      </c>
    </row>
    <row r="15">
      <c r="A15" s="224" t="s">
        <v>2197</v>
      </c>
      <c r="B15" s="225"/>
      <c r="C15" s="225"/>
      <c r="D15" s="225"/>
      <c r="E15" s="226"/>
      <c r="F15" s="227" t="n">
        <v>0</v>
      </c>
      <c r="G15" s="228" t="s">
        <v>53</v>
      </c>
      <c r="H15" s="228" t="s">
        <v>53</v>
      </c>
      <c r="I15" s="227">
        <f>F15</f>
      </c>
    </row>
    <row r="16">
      <c r="A16" s="224" t="s">
        <v>2199</v>
      </c>
      <c r="B16" s="225"/>
      <c r="C16" s="225"/>
      <c r="D16" s="225"/>
      <c r="E16" s="226"/>
      <c r="F16" s="227" t="n">
        <v>0</v>
      </c>
      <c r="G16" s="228" t="s">
        <v>53</v>
      </c>
      <c r="H16" s="228" t="s">
        <v>53</v>
      </c>
      <c r="I16" s="227">
        <f>F16</f>
      </c>
    </row>
    <row r="17">
      <c r="A17" s="229" t="s">
        <v>2202</v>
      </c>
      <c r="B17" s="230"/>
      <c r="C17" s="230"/>
      <c r="D17" s="230"/>
      <c r="E17" s="231"/>
      <c r="F17" s="232" t="n">
        <v>0</v>
      </c>
      <c r="G17" s="233" t="s">
        <v>53</v>
      </c>
      <c r="H17" s="233" t="s">
        <v>53</v>
      </c>
      <c r="I17" s="232">
        <f>F17</f>
      </c>
    </row>
    <row r="18">
      <c r="A18" s="234" t="s">
        <v>2233</v>
      </c>
      <c r="B18" s="235"/>
      <c r="C18" s="235"/>
      <c r="D18" s="235"/>
      <c r="E18" s="236"/>
      <c r="F18" s="237" t="s">
        <v>53</v>
      </c>
      <c r="G18" s="238" t="s">
        <v>53</v>
      </c>
      <c r="H18" s="238" t="s">
        <v>53</v>
      </c>
      <c r="I18" s="239">
        <f>SUM(I15:I17)</f>
      </c>
    </row>
    <row r="20">
      <c r="A20" s="220" t="s">
        <v>2194</v>
      </c>
      <c r="B20" s="221"/>
      <c r="C20" s="221"/>
      <c r="D20" s="221"/>
      <c r="E20" s="222"/>
      <c r="F20" s="223" t="s">
        <v>2231</v>
      </c>
      <c r="G20" s="223" t="s">
        <v>1108</v>
      </c>
      <c r="H20" s="223" t="s">
        <v>2232</v>
      </c>
      <c r="I20" s="223" t="s">
        <v>2231</v>
      </c>
    </row>
    <row r="21">
      <c r="A21" s="224" t="s">
        <v>2198</v>
      </c>
      <c r="B21" s="225"/>
      <c r="C21" s="225"/>
      <c r="D21" s="225"/>
      <c r="E21" s="226"/>
      <c r="F21" s="227" t="n">
        <v>0</v>
      </c>
      <c r="G21" s="228" t="s">
        <v>53</v>
      </c>
      <c r="H21" s="228" t="s">
        <v>53</v>
      </c>
      <c r="I21" s="227">
        <f>F21</f>
      </c>
    </row>
    <row r="22">
      <c r="A22" s="224" t="s">
        <v>2200</v>
      </c>
      <c r="B22" s="225"/>
      <c r="C22" s="225"/>
      <c r="D22" s="225"/>
      <c r="E22" s="226"/>
      <c r="F22" s="227" t="n">
        <v>0</v>
      </c>
      <c r="G22" s="228" t="s">
        <v>53</v>
      </c>
      <c r="H22" s="228" t="s">
        <v>53</v>
      </c>
      <c r="I22" s="227">
        <f>F22</f>
      </c>
    </row>
    <row r="23">
      <c r="A23" s="224" t="s">
        <v>2203</v>
      </c>
      <c r="B23" s="225"/>
      <c r="C23" s="225"/>
      <c r="D23" s="225"/>
      <c r="E23" s="226"/>
      <c r="F23" s="227" t="n">
        <v>0</v>
      </c>
      <c r="G23" s="228" t="s">
        <v>53</v>
      </c>
      <c r="H23" s="228" t="s">
        <v>53</v>
      </c>
      <c r="I23" s="227">
        <f>F23</f>
      </c>
    </row>
    <row r="24">
      <c r="A24" s="224" t="s">
        <v>2204</v>
      </c>
      <c r="B24" s="225"/>
      <c r="C24" s="225"/>
      <c r="D24" s="225"/>
      <c r="E24" s="226"/>
      <c r="F24" s="227" t="n">
        <v>0</v>
      </c>
      <c r="G24" s="228" t="s">
        <v>53</v>
      </c>
      <c r="H24" s="228" t="s">
        <v>53</v>
      </c>
      <c r="I24" s="227">
        <f>F24</f>
      </c>
    </row>
    <row r="25">
      <c r="A25" s="224" t="s">
        <v>2206</v>
      </c>
      <c r="B25" s="225"/>
      <c r="C25" s="225"/>
      <c r="D25" s="225"/>
      <c r="E25" s="226"/>
      <c r="F25" s="227" t="n">
        <v>0</v>
      </c>
      <c r="G25" s="228" t="s">
        <v>53</v>
      </c>
      <c r="H25" s="228" t="s">
        <v>53</v>
      </c>
      <c r="I25" s="227">
        <f>F25</f>
      </c>
    </row>
    <row r="26">
      <c r="A26" s="229" t="s">
        <v>2207</v>
      </c>
      <c r="B26" s="230"/>
      <c r="C26" s="230"/>
      <c r="D26" s="230"/>
      <c r="E26" s="231"/>
      <c r="F26" s="232" t="n">
        <v>0</v>
      </c>
      <c r="G26" s="233" t="s">
        <v>53</v>
      </c>
      <c r="H26" s="233" t="s">
        <v>53</v>
      </c>
      <c r="I26" s="232">
        <f>F26</f>
      </c>
    </row>
    <row r="27">
      <c r="A27" s="234" t="s">
        <v>2234</v>
      </c>
      <c r="B27" s="235"/>
      <c r="C27" s="235"/>
      <c r="D27" s="235"/>
      <c r="E27" s="236"/>
      <c r="F27" s="237" t="s">
        <v>53</v>
      </c>
      <c r="G27" s="238" t="s">
        <v>53</v>
      </c>
      <c r="H27" s="238" t="s">
        <v>53</v>
      </c>
      <c r="I27" s="239">
        <f>SUM(I21:I26)</f>
      </c>
    </row>
    <row r="29">
      <c r="A29" s="240" t="s">
        <v>2235</v>
      </c>
      <c r="B29" s="241"/>
      <c r="C29" s="241"/>
      <c r="D29" s="241"/>
      <c r="E29" s="242"/>
      <c r="F29" s="243">
        <f>I18+I27</f>
      </c>
      <c r="G29" s="244"/>
      <c r="H29" s="244"/>
      <c r="I29" s="245"/>
    </row>
    <row r="33">
      <c r="A33" s="219" t="s">
        <v>2236</v>
      </c>
      <c r="B33" s="219"/>
      <c r="C33" s="219"/>
      <c r="D33" s="219"/>
      <c r="E33" s="219"/>
    </row>
    <row r="34">
      <c r="A34" s="220" t="s">
        <v>2237</v>
      </c>
      <c r="B34" s="221"/>
      <c r="C34" s="221"/>
      <c r="D34" s="221"/>
      <c r="E34" s="222"/>
      <c r="F34" s="223" t="s">
        <v>2231</v>
      </c>
      <c r="G34" s="223" t="s">
        <v>1108</v>
      </c>
      <c r="H34" s="223" t="s">
        <v>2232</v>
      </c>
      <c r="I34" s="223" t="s">
        <v>2231</v>
      </c>
    </row>
    <row r="35">
      <c r="A35" s="229" t="s">
        <v>53</v>
      </c>
      <c r="B35" s="230"/>
      <c r="C35" s="230"/>
      <c r="D35" s="230"/>
      <c r="E35" s="231"/>
      <c r="F35" s="232" t="n">
        <v>0</v>
      </c>
      <c r="G35" s="233" t="s">
        <v>53</v>
      </c>
      <c r="H35" s="233" t="s">
        <v>53</v>
      </c>
      <c r="I35" s="232">
        <f>F35</f>
      </c>
    </row>
    <row r="36">
      <c r="A36" s="234" t="s">
        <v>2238</v>
      </c>
      <c r="B36" s="235"/>
      <c r="C36" s="235"/>
      <c r="D36" s="235"/>
      <c r="E36" s="236"/>
      <c r="F36" s="237" t="s">
        <v>53</v>
      </c>
      <c r="G36" s="238" t="s">
        <v>53</v>
      </c>
      <c r="H36" s="238" t="s">
        <v>53</v>
      </c>
      <c r="I36" s="239">
        <f>SUM(I35:I35)</f>
      </c>
    </row>
  </sheetData>
  <mergeCells>
    <mergeCell ref="A1:I1"/>
    <mergeCell ref="A2:B3"/>
    <mergeCell ref="A4:B5"/>
    <mergeCell ref="A6:B7"/>
    <mergeCell ref="A8:B9"/>
    <mergeCell ref="A10:B11"/>
    <mergeCell ref="E2:E3"/>
    <mergeCell ref="E4:E5"/>
    <mergeCell ref="E6:E7"/>
    <mergeCell ref="E8:E9"/>
    <mergeCell ref="E10:E11"/>
    <mergeCell ref="H2:H3"/>
    <mergeCell ref="H4:H5"/>
    <mergeCell ref="H6:H7"/>
    <mergeCell ref="H8:H9"/>
    <mergeCell ref="H10:H11"/>
    <mergeCell ref="C2:D3"/>
    <mergeCell ref="C4:D5"/>
    <mergeCell ref="C6:D7"/>
    <mergeCell ref="C8:D9"/>
    <mergeCell ref="C10:D11"/>
    <mergeCell ref="F2:G3"/>
    <mergeCell ref="F4:G5"/>
    <mergeCell ref="F6:G7"/>
    <mergeCell ref="F8:G9"/>
    <mergeCell ref="F10:G11"/>
    <mergeCell ref="I2:I3"/>
    <mergeCell ref="I4:I5"/>
    <mergeCell ref="I6:I7"/>
    <mergeCell ref="I8:I9"/>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ageMargins left="0.393999993801117" top="0.591000020503998" right="0.393999993801117" bottom="0.591000020503998" header="0" footer="0"/>
  <pageSetup orientation="landscape" fitToHeight="0" fitToWidth="1" cellComments="none"/>
  <drawing r:id="rId1"/>
</worksheet>
</file>

<file path=xl/worksheets/sheet11.xml><?xml version="1.0" encoding="utf-8"?>
<worksheet xmlns:r="http://schemas.openxmlformats.org/officeDocument/2006/relationships" xmlns="http://schemas.openxmlformats.org/spreadsheetml/2006/main">
  <sheetPr>
    <outlinePr summaryBelow="true" summaryRight="true"/>
    <pageSetUpPr fitToPage="true"/>
  </sheetPr>
  <dimension ref="A1:I35"/>
  <sheetViews>
    <sheetView workbookViewId="0" showZeros="true" showFormulas="false" showGridLines="true" showRowColHeaders="true">
      <selection sqref="A35:I35" activeCell="A35"/>
    </sheetView>
  </sheetViews>
  <sheetFormatPr defaultColWidth="12.140625" customHeight="true" defaultRowHeight="15"/>
  <cols>
    <col max="1" min="1" style="0" width="9.140625" customWidth="true"/>
    <col max="2" min="2" style="0" width="12.85546875" customWidth="true"/>
    <col max="3" min="3" style="0" width="27.140625" customWidth="true"/>
    <col max="4" min="4" style="0" width="10" customWidth="true"/>
    <col max="5" min="5" style="0" width="14" customWidth="true"/>
    <col max="6" min="6" style="0" width="27.140625" customWidth="true"/>
    <col max="7" min="7" style="0" width="9.140625" customWidth="true"/>
    <col max="8" min="8" style="0" width="12.85546875" customWidth="true"/>
    <col max="9" min="9" style="0" width="27.140625" customWidth="true"/>
  </cols>
  <sheetData>
    <row r="1" customHeight="true" ht="54.75">
      <c r="A1" s="169" t="s">
        <v>2245</v>
      </c>
      <c r="B1" s="1"/>
      <c r="C1" s="1"/>
      <c r="D1" s="1"/>
      <c r="E1" s="1"/>
      <c r="F1" s="1"/>
      <c r="G1" s="1"/>
      <c r="H1" s="1"/>
      <c r="I1" s="1"/>
    </row>
    <row r="2">
      <c r="A2" s="3" t="s">
        <v>1</v>
      </c>
      <c r="B2" s="4"/>
      <c r="C2" s="5">
        <f>'Stavební rozpočet'!C2</f>
      </c>
      <c r="D2" s="6"/>
      <c r="E2" s="7" t="s">
        <v>5</v>
      </c>
      <c r="F2" s="7">
        <f>'Stavební rozpočet'!I2</f>
      </c>
      <c r="G2" s="4"/>
      <c r="H2" s="7" t="s">
        <v>2185</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2185</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2185</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2186</v>
      </c>
      <c r="I8" s="170" t="n">
        <v>108</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2187</v>
      </c>
      <c r="I10" s="158">
        <f>'Stavební rozpočet'!G8</f>
      </c>
    </row>
    <row r="11">
      <c r="A11" s="171"/>
      <c r="B11" s="159"/>
      <c r="C11" s="159"/>
      <c r="D11" s="159"/>
      <c r="E11" s="159"/>
      <c r="F11" s="159"/>
      <c r="G11" s="159"/>
      <c r="H11" s="159"/>
      <c r="I11" s="172"/>
    </row>
    <row r="12">
      <c r="A12" s="173" t="s">
        <v>2188</v>
      </c>
      <c r="B12" s="173"/>
      <c r="C12" s="173"/>
      <c r="D12" s="173"/>
      <c r="E12" s="173"/>
      <c r="F12" s="173"/>
      <c r="G12" s="173"/>
      <c r="H12" s="173"/>
      <c r="I12" s="173"/>
    </row>
    <row r="13" customHeight="true" ht="26.25">
      <c r="A13" s="174" t="s">
        <v>2189</v>
      </c>
      <c r="B13" s="175" t="s">
        <v>2190</v>
      </c>
      <c r="C13" s="176"/>
      <c r="D13" s="177" t="s">
        <v>2191</v>
      </c>
      <c r="E13" s="175" t="s">
        <v>2192</v>
      </c>
      <c r="F13" s="176"/>
      <c r="G13" s="177" t="s">
        <v>2193</v>
      </c>
      <c r="H13" s="175" t="s">
        <v>2194</v>
      </c>
      <c r="I13" s="176"/>
    </row>
    <row r="14">
      <c r="A14" s="178" t="s">
        <v>2195</v>
      </c>
      <c r="B14" s="179" t="s">
        <v>2196</v>
      </c>
      <c r="C14" s="180">
        <f>SUMIF('Stavební rozpočet'!AI12:AI1347,"D.1.4.d",'Stavební rozpočet'!AB12:AB1347)</f>
      </c>
      <c r="D14" s="181" t="s">
        <v>2197</v>
      </c>
      <c r="E14" s="182"/>
      <c r="F14" s="180">
        <f>'VORN objektu (D.1.4.d)'!I15</f>
      </c>
      <c r="G14" s="181" t="s">
        <v>2198</v>
      </c>
      <c r="H14" s="182"/>
      <c r="I14" s="183">
        <f>'VORN objektu (D.1.4.d)'!I21</f>
      </c>
    </row>
    <row r="15">
      <c r="A15" s="184" t="s">
        <v>53</v>
      </c>
      <c r="B15" s="179" t="s">
        <v>38</v>
      </c>
      <c r="C15" s="180">
        <f>SUMIF('Stavební rozpočet'!AI12:AI1347,"D.1.4.d",'Stavební rozpočet'!AC12:AC1347)</f>
      </c>
      <c r="D15" s="181" t="s">
        <v>2199</v>
      </c>
      <c r="E15" s="182"/>
      <c r="F15" s="180">
        <f>'VORN objektu (D.1.4.d)'!I16</f>
      </c>
      <c r="G15" s="181" t="s">
        <v>2200</v>
      </c>
      <c r="H15" s="182"/>
      <c r="I15" s="183">
        <f>'VORN objektu (D.1.4.d)'!I22</f>
      </c>
    </row>
    <row r="16">
      <c r="A16" s="178" t="s">
        <v>2201</v>
      </c>
      <c r="B16" s="179" t="s">
        <v>2196</v>
      </c>
      <c r="C16" s="180">
        <f>SUMIF('Stavební rozpočet'!AI12:AI1347,"D.1.4.d",'Stavební rozpočet'!AD12:AD1347)</f>
      </c>
      <c r="D16" s="181" t="s">
        <v>2202</v>
      </c>
      <c r="E16" s="182"/>
      <c r="F16" s="180">
        <f>'VORN objektu (D.1.4.d)'!I17</f>
      </c>
      <c r="G16" s="181" t="s">
        <v>2203</v>
      </c>
      <c r="H16" s="182"/>
      <c r="I16" s="183">
        <f>'VORN objektu (D.1.4.d)'!I23</f>
      </c>
    </row>
    <row r="17">
      <c r="A17" s="184" t="s">
        <v>53</v>
      </c>
      <c r="B17" s="179" t="s">
        <v>38</v>
      </c>
      <c r="C17" s="180">
        <f>SUMIF('Stavební rozpočet'!AI12:AI1347,"D.1.4.d",'Stavební rozpočet'!AE12:AE1347)</f>
      </c>
      <c r="D17" s="181" t="s">
        <v>53</v>
      </c>
      <c r="E17" s="182"/>
      <c r="F17" s="183" t="s">
        <v>53</v>
      </c>
      <c r="G17" s="181" t="s">
        <v>2204</v>
      </c>
      <c r="H17" s="182"/>
      <c r="I17" s="183">
        <f>'VORN objektu (D.1.4.d)'!I24</f>
      </c>
    </row>
    <row r="18">
      <c r="A18" s="178" t="s">
        <v>2205</v>
      </c>
      <c r="B18" s="179" t="s">
        <v>2196</v>
      </c>
      <c r="C18" s="180">
        <f>SUMIF('Stavební rozpočet'!AI12:AI1347,"D.1.4.d",'Stavební rozpočet'!AF12:AF1347)</f>
      </c>
      <c r="D18" s="181" t="s">
        <v>53</v>
      </c>
      <c r="E18" s="182"/>
      <c r="F18" s="183" t="s">
        <v>53</v>
      </c>
      <c r="G18" s="181" t="s">
        <v>2206</v>
      </c>
      <c r="H18" s="182"/>
      <c r="I18" s="183">
        <f>'VORN objektu (D.1.4.d)'!I25</f>
      </c>
    </row>
    <row r="19">
      <c r="A19" s="184" t="s">
        <v>53</v>
      </c>
      <c r="B19" s="179" t="s">
        <v>38</v>
      </c>
      <c r="C19" s="180">
        <f>SUMIF('Stavební rozpočet'!AI12:AI1347,"D.1.4.d",'Stavební rozpočet'!AG12:AG1347)</f>
      </c>
      <c r="D19" s="181" t="s">
        <v>53</v>
      </c>
      <c r="E19" s="182"/>
      <c r="F19" s="183" t="s">
        <v>53</v>
      </c>
      <c r="G19" s="181" t="s">
        <v>2207</v>
      </c>
      <c r="H19" s="182"/>
      <c r="I19" s="183">
        <f>'VORN objektu (D.1.4.d)'!I26</f>
      </c>
    </row>
    <row r="20">
      <c r="A20" s="185" t="s">
        <v>2208</v>
      </c>
      <c r="B20" s="186"/>
      <c r="C20" s="180">
        <f>SUMIF('Stavební rozpočet'!AI12:AI1347,"D.1.4.d",'Stavební rozpočet'!AH12:AH1347)</f>
      </c>
      <c r="D20" s="181" t="s">
        <v>53</v>
      </c>
      <c r="E20" s="182"/>
      <c r="F20" s="183" t="s">
        <v>53</v>
      </c>
      <c r="G20" s="181" t="s">
        <v>53</v>
      </c>
      <c r="H20" s="182"/>
      <c r="I20" s="183" t="s">
        <v>53</v>
      </c>
    </row>
    <row r="21">
      <c r="A21" s="187" t="s">
        <v>2209</v>
      </c>
      <c r="B21" s="188"/>
      <c r="C21" s="180">
        <f>SUMIF('Stavební rozpočet'!AI12:AI1347,"D.1.4.d",'Stavební rozpočet'!Z12:Z1347)</f>
      </c>
      <c r="D21" s="190" t="s">
        <v>53</v>
      </c>
      <c r="E21" s="191"/>
      <c r="F21" s="192" t="s">
        <v>53</v>
      </c>
      <c r="G21" s="190" t="s">
        <v>53</v>
      </c>
      <c r="H21" s="191"/>
      <c r="I21" s="192" t="s">
        <v>53</v>
      </c>
    </row>
    <row r="22" customHeight="true" ht="16.5">
      <c r="A22" s="193" t="s">
        <v>2210</v>
      </c>
      <c r="B22" s="194"/>
      <c r="C22" s="180">
        <f>SUM(C14:C21)</f>
      </c>
      <c r="D22" s="196" t="s">
        <v>2211</v>
      </c>
      <c r="E22" s="194"/>
      <c r="F22" s="195">
        <f>SUM(F14:F21)</f>
      </c>
      <c r="G22" s="196" t="s">
        <v>2212</v>
      </c>
      <c r="H22" s="194"/>
      <c r="I22" s="195">
        <f>SUM(I14:I21)</f>
      </c>
    </row>
    <row r="23">
      <c r="G23" s="185" t="s">
        <v>2215</v>
      </c>
      <c r="H23" s="186"/>
      <c r="I23" s="180">
        <f>'VORN objektu (D.1.4.d)'!I36</f>
      </c>
    </row>
    <row r="25">
      <c r="A25" s="198" t="s">
        <v>2217</v>
      </c>
      <c r="B25" s="199"/>
      <c r="C25" s="200">
        <f>('Stavební rozpočet'!AS1045+'Stavební rozpočet'!AS1078+'Stavební rozpočet'!AS1186)</f>
      </c>
    </row>
    <row r="26">
      <c r="A26" s="201" t="s">
        <v>2218</v>
      </c>
      <c r="B26" s="202"/>
      <c r="C26" s="203">
        <f>('Stavební rozpočet'!AT1045+'Stavební rozpočet'!AT1078+'Stavební rozpočet'!AT1186)</f>
      </c>
      <c r="D26" s="204" t="s">
        <v>2219</v>
      </c>
      <c r="E26" s="199"/>
      <c r="F26" s="200">
        <f>ROUND(C26*(12/100),2)</f>
      </c>
      <c r="G26" s="204" t="s">
        <v>2220</v>
      </c>
      <c r="H26" s="199"/>
      <c r="I26" s="200">
        <f>SUM(C25:C27)</f>
      </c>
    </row>
    <row r="27">
      <c r="A27" s="201" t="s">
        <v>2221</v>
      </c>
      <c r="B27" s="202"/>
      <c r="C27" s="203">
        <f>('Stavební rozpočet'!AU1045+'Stavební rozpočet'!AU1078+'Stavební rozpočet'!AU1186)+(F22+I22+F23+I23+I24)</f>
      </c>
      <c r="D27" s="205" t="s">
        <v>2222</v>
      </c>
      <c r="E27" s="202"/>
      <c r="F27" s="203">
        <f>ROUND(C27*(21/100),2)</f>
      </c>
      <c r="G27" s="205" t="s">
        <v>2223</v>
      </c>
      <c r="H27" s="202"/>
      <c r="I27" s="203">
        <f>SUM(F26:F27)+I26</f>
      </c>
    </row>
    <row r="29">
      <c r="A29" s="206" t="s">
        <v>2224</v>
      </c>
      <c r="B29" s="207"/>
      <c r="C29" s="208"/>
      <c r="D29" s="209" t="s">
        <v>2225</v>
      </c>
      <c r="E29" s="207"/>
      <c r="F29" s="208"/>
      <c r="G29" s="209" t="s">
        <v>2226</v>
      </c>
      <c r="H29" s="207"/>
      <c r="I29" s="208"/>
    </row>
    <row r="30">
      <c r="A30" s="210" t="s">
        <v>53</v>
      </c>
      <c r="B30" s="211"/>
      <c r="C30" s="212"/>
      <c r="D30" s="213" t="s">
        <v>53</v>
      </c>
      <c r="E30" s="211"/>
      <c r="F30" s="212"/>
      <c r="G30" s="213" t="s">
        <v>53</v>
      </c>
      <c r="H30" s="211"/>
      <c r="I30" s="212"/>
    </row>
    <row r="31">
      <c r="A31" s="210" t="s">
        <v>53</v>
      </c>
      <c r="B31" s="211"/>
      <c r="C31" s="212"/>
      <c r="D31" s="213" t="s">
        <v>53</v>
      </c>
      <c r="E31" s="211"/>
      <c r="F31" s="212"/>
      <c r="G31" s="213" t="s">
        <v>53</v>
      </c>
      <c r="H31" s="211"/>
      <c r="I31" s="212"/>
    </row>
    <row r="32">
      <c r="A32" s="210" t="s">
        <v>53</v>
      </c>
      <c r="B32" s="211"/>
      <c r="C32" s="212"/>
      <c r="D32" s="213" t="s">
        <v>53</v>
      </c>
      <c r="E32" s="211"/>
      <c r="F32" s="212"/>
      <c r="G32" s="213" t="s">
        <v>53</v>
      </c>
      <c r="H32" s="211"/>
      <c r="I32" s="212"/>
    </row>
    <row r="33">
      <c r="A33" s="214" t="s">
        <v>2227</v>
      </c>
      <c r="B33" s="215"/>
      <c r="C33" s="216"/>
      <c r="D33" s="217" t="s">
        <v>2227</v>
      </c>
      <c r="E33" s="215"/>
      <c r="F33" s="216"/>
      <c r="G33" s="217" t="s">
        <v>2227</v>
      </c>
      <c r="H33" s="215"/>
      <c r="I33" s="216"/>
    </row>
    <row r="34">
      <c r="A34" s="218" t="s">
        <v>267</v>
      </c>
    </row>
    <row r="35" customHeight="true" ht="12.75">
      <c r="A35" s="14" t="s">
        <v>53</v>
      </c>
      <c r="B35" s="10"/>
      <c r="C35" s="10"/>
      <c r="D35" s="10"/>
      <c r="E35" s="10"/>
      <c r="F35" s="10"/>
      <c r="G35" s="10"/>
      <c r="H35" s="10"/>
      <c r="I35" s="10"/>
    </row>
  </sheetData>
  <mergeCells>
    <mergeCell ref="A1:I1"/>
    <mergeCell ref="A2:B3"/>
    <mergeCell ref="A4:B5"/>
    <mergeCell ref="A6:B7"/>
    <mergeCell ref="A8:B9"/>
    <mergeCell ref="A10:B11"/>
    <mergeCell ref="E2:E3"/>
    <mergeCell ref="E4:E5"/>
    <mergeCell ref="E6:E7"/>
    <mergeCell ref="E8:E9"/>
    <mergeCell ref="E10:E11"/>
    <mergeCell ref="C2:D3"/>
    <mergeCell ref="C4:D5"/>
    <mergeCell ref="C6:D7"/>
    <mergeCell ref="C8:D9"/>
    <mergeCell ref="C10:D11"/>
    <mergeCell ref="F2:G3"/>
    <mergeCell ref="F4:G5"/>
    <mergeCell ref="F6:G7"/>
    <mergeCell ref="F8:G9"/>
    <mergeCell ref="F10:G11"/>
    <mergeCell ref="H2:H3"/>
    <mergeCell ref="H4:H5"/>
    <mergeCell ref="H6:H7"/>
    <mergeCell ref="H8:H9"/>
    <mergeCell ref="H10:H11"/>
    <mergeCell ref="I2:I3"/>
    <mergeCell ref="I4:I5"/>
    <mergeCell ref="I6:I7"/>
    <mergeCell ref="I8:I9"/>
    <mergeCell ref="I10:I11"/>
    <mergeCell ref="A12:I12"/>
    <mergeCell ref="B13:C13"/>
    <mergeCell ref="E13:F13"/>
    <mergeCell ref="H13:I13"/>
    <mergeCell ref="A20:B20"/>
    <mergeCell ref="A21:B21"/>
    <mergeCell ref="A22:B22"/>
    <mergeCell ref="D14:E14"/>
    <mergeCell ref="D15:E15"/>
    <mergeCell ref="D16:E16"/>
    <mergeCell ref="D17:E17"/>
    <mergeCell ref="D18:E18"/>
    <mergeCell ref="D19:E19"/>
    <mergeCell ref="D20:E20"/>
    <mergeCell ref="D21:E21"/>
    <mergeCell ref="D22:E22"/>
    <mergeCell ref="G14:H14"/>
    <mergeCell ref="G15:H15"/>
    <mergeCell ref="G16:H16"/>
    <mergeCell ref="G17:H17"/>
    <mergeCell ref="G18:H18"/>
    <mergeCell ref="G19:H19"/>
    <mergeCell ref="G20:H20"/>
    <mergeCell ref="G21:H21"/>
    <mergeCell ref="G22:H22"/>
    <mergeCell ref="G23:H23"/>
    <mergeCell ref="A25:B25"/>
    <mergeCell ref="A26:B26"/>
    <mergeCell ref="A27:B27"/>
    <mergeCell ref="D26:E26"/>
    <mergeCell ref="D27:E27"/>
    <mergeCell ref="G26:H26"/>
    <mergeCell ref="G27:H27"/>
    <mergeCell ref="A29:C29"/>
    <mergeCell ref="A30:C30"/>
    <mergeCell ref="A31:C31"/>
    <mergeCell ref="A32:C32"/>
    <mergeCell ref="A33:C33"/>
    <mergeCell ref="D29:F29"/>
    <mergeCell ref="D30:F30"/>
    <mergeCell ref="D31:F31"/>
    <mergeCell ref="D32:F32"/>
    <mergeCell ref="D33:F33"/>
    <mergeCell ref="G29:I29"/>
    <mergeCell ref="G30:I30"/>
    <mergeCell ref="G31:I31"/>
    <mergeCell ref="G32:I32"/>
    <mergeCell ref="G33:I33"/>
    <mergeCell ref="A35:I35"/>
  </mergeCells>
  <pageMargins left="0.393999993801117" top="0.591000020503998" right="0.393999993801117" bottom="0.591000020503998" header="0" footer="0"/>
  <pageSetup orientation="landscape" fitToHeight="1" fitToWidth="1" cellComments="none"/>
  <drawing r:id="rId1"/>
</worksheet>
</file>

<file path=xl/worksheets/sheet12.xml><?xml version="1.0" encoding="utf-8"?>
<worksheet xmlns:r="http://schemas.openxmlformats.org/officeDocument/2006/relationships" xmlns="http://schemas.openxmlformats.org/spreadsheetml/2006/main">
  <sheetPr>
    <outlinePr summaryBelow="true" summaryRight="true"/>
    <pageSetUpPr fitToPage="true"/>
  </sheetPr>
  <dimension ref="A1:I36"/>
  <sheetViews>
    <sheetView workbookViewId="0" showZeros="true" showFormulas="false" showGridLines="true" showRowColHeaders="true">
      <selection sqref="A36:E36" activeCell="A36"/>
    </sheetView>
  </sheetViews>
  <sheetFormatPr defaultColWidth="12.140625" customHeight="true" defaultRowHeight="15"/>
  <cols>
    <col max="1" min="1" style="0" width="9.140625" customWidth="true"/>
    <col max="2" min="2" style="0" width="12.85546875" customWidth="true"/>
    <col max="3" min="3" style="0" width="22.85546875" customWidth="true"/>
    <col max="4" min="4" style="0" width="10" customWidth="true"/>
    <col max="5" min="5" style="0" width="14" customWidth="true"/>
    <col max="6" min="6" style="0" width="22.85546875" customWidth="true"/>
    <col max="7" min="7" style="0" width="9.140625" customWidth="true"/>
    <col max="8" min="8" style="0" width="17.140625" customWidth="true"/>
    <col max="9" min="9" style="0" width="22.85546875" customWidth="true"/>
  </cols>
  <sheetData>
    <row r="1" customHeight="true" ht="54.75">
      <c r="A1" s="169" t="s">
        <v>2246</v>
      </c>
      <c r="B1" s="1"/>
      <c r="C1" s="1"/>
      <c r="D1" s="1"/>
      <c r="E1" s="1"/>
      <c r="F1" s="1"/>
      <c r="G1" s="1"/>
      <c r="H1" s="1"/>
      <c r="I1" s="1"/>
    </row>
    <row r="2">
      <c r="A2" s="3" t="s">
        <v>1</v>
      </c>
      <c r="B2" s="4"/>
      <c r="C2" s="5">
        <f>'Stavební rozpočet'!C2</f>
      </c>
      <c r="D2" s="6"/>
      <c r="E2" s="7" t="s">
        <v>5</v>
      </c>
      <c r="F2" s="7">
        <f>'Stavební rozpočet'!I2</f>
      </c>
      <c r="G2" s="4"/>
      <c r="H2" s="7" t="s">
        <v>2185</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2185</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2185</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2186</v>
      </c>
      <c r="I8" s="170" t="n">
        <v>108</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2187</v>
      </c>
      <c r="I10" s="158">
        <f>'Stavební rozpočet'!G8</f>
      </c>
    </row>
    <row r="11">
      <c r="A11" s="171"/>
      <c r="B11" s="159"/>
      <c r="C11" s="159"/>
      <c r="D11" s="159"/>
      <c r="E11" s="159"/>
      <c r="F11" s="159"/>
      <c r="G11" s="159"/>
      <c r="H11" s="159"/>
      <c r="I11" s="172"/>
    </row>
    <row r="13">
      <c r="A13" s="219" t="s">
        <v>2229</v>
      </c>
      <c r="B13" s="219"/>
      <c r="C13" s="219"/>
      <c r="D13" s="219"/>
      <c r="E13" s="219"/>
    </row>
    <row r="14">
      <c r="A14" s="220" t="s">
        <v>2230</v>
      </c>
      <c r="B14" s="221"/>
      <c r="C14" s="221"/>
      <c r="D14" s="221"/>
      <c r="E14" s="222"/>
      <c r="F14" s="223" t="s">
        <v>2231</v>
      </c>
      <c r="G14" s="223" t="s">
        <v>1108</v>
      </c>
      <c r="H14" s="223" t="s">
        <v>2232</v>
      </c>
      <c r="I14" s="223" t="s">
        <v>2231</v>
      </c>
    </row>
    <row r="15">
      <c r="A15" s="224" t="s">
        <v>2197</v>
      </c>
      <c r="B15" s="225"/>
      <c r="C15" s="225"/>
      <c r="D15" s="225"/>
      <c r="E15" s="226"/>
      <c r="F15" s="227" t="n">
        <v>0</v>
      </c>
      <c r="G15" s="228" t="s">
        <v>53</v>
      </c>
      <c r="H15" s="228" t="s">
        <v>53</v>
      </c>
      <c r="I15" s="227">
        <f>F15</f>
      </c>
    </row>
    <row r="16">
      <c r="A16" s="224" t="s">
        <v>2199</v>
      </c>
      <c r="B16" s="225"/>
      <c r="C16" s="225"/>
      <c r="D16" s="225"/>
      <c r="E16" s="226"/>
      <c r="F16" s="227" t="n">
        <v>0</v>
      </c>
      <c r="G16" s="228" t="s">
        <v>53</v>
      </c>
      <c r="H16" s="228" t="s">
        <v>53</v>
      </c>
      <c r="I16" s="227">
        <f>F16</f>
      </c>
    </row>
    <row r="17">
      <c r="A17" s="229" t="s">
        <v>2202</v>
      </c>
      <c r="B17" s="230"/>
      <c r="C17" s="230"/>
      <c r="D17" s="230"/>
      <c r="E17" s="231"/>
      <c r="F17" s="232" t="n">
        <v>0</v>
      </c>
      <c r="G17" s="233" t="s">
        <v>53</v>
      </c>
      <c r="H17" s="233" t="s">
        <v>53</v>
      </c>
      <c r="I17" s="232">
        <f>F17</f>
      </c>
    </row>
    <row r="18">
      <c r="A18" s="234" t="s">
        <v>2233</v>
      </c>
      <c r="B18" s="235"/>
      <c r="C18" s="235"/>
      <c r="D18" s="235"/>
      <c r="E18" s="236"/>
      <c r="F18" s="237" t="s">
        <v>53</v>
      </c>
      <c r="G18" s="238" t="s">
        <v>53</v>
      </c>
      <c r="H18" s="238" t="s">
        <v>53</v>
      </c>
      <c r="I18" s="239">
        <f>SUM(I15:I17)</f>
      </c>
    </row>
    <row r="20">
      <c r="A20" s="220" t="s">
        <v>2194</v>
      </c>
      <c r="B20" s="221"/>
      <c r="C20" s="221"/>
      <c r="D20" s="221"/>
      <c r="E20" s="222"/>
      <c r="F20" s="223" t="s">
        <v>2231</v>
      </c>
      <c r="G20" s="223" t="s">
        <v>1108</v>
      </c>
      <c r="H20" s="223" t="s">
        <v>2232</v>
      </c>
      <c r="I20" s="223" t="s">
        <v>2231</v>
      </c>
    </row>
    <row r="21">
      <c r="A21" s="224" t="s">
        <v>2198</v>
      </c>
      <c r="B21" s="225"/>
      <c r="C21" s="225"/>
      <c r="D21" s="225"/>
      <c r="E21" s="226"/>
      <c r="F21" s="227" t="n">
        <v>0</v>
      </c>
      <c r="G21" s="228" t="s">
        <v>53</v>
      </c>
      <c r="H21" s="228" t="s">
        <v>53</v>
      </c>
      <c r="I21" s="227">
        <f>F21</f>
      </c>
    </row>
    <row r="22">
      <c r="A22" s="224" t="s">
        <v>2200</v>
      </c>
      <c r="B22" s="225"/>
      <c r="C22" s="225"/>
      <c r="D22" s="225"/>
      <c r="E22" s="226"/>
      <c r="F22" s="227" t="n">
        <v>0</v>
      </c>
      <c r="G22" s="228" t="s">
        <v>53</v>
      </c>
      <c r="H22" s="228" t="s">
        <v>53</v>
      </c>
      <c r="I22" s="227">
        <f>F22</f>
      </c>
    </row>
    <row r="23">
      <c r="A23" s="224" t="s">
        <v>2203</v>
      </c>
      <c r="B23" s="225"/>
      <c r="C23" s="225"/>
      <c r="D23" s="225"/>
      <c r="E23" s="226"/>
      <c r="F23" s="227" t="n">
        <v>0</v>
      </c>
      <c r="G23" s="228" t="s">
        <v>53</v>
      </c>
      <c r="H23" s="228" t="s">
        <v>53</v>
      </c>
      <c r="I23" s="227">
        <f>F23</f>
      </c>
    </row>
    <row r="24">
      <c r="A24" s="224" t="s">
        <v>2204</v>
      </c>
      <c r="B24" s="225"/>
      <c r="C24" s="225"/>
      <c r="D24" s="225"/>
      <c r="E24" s="226"/>
      <c r="F24" s="227" t="n">
        <v>0</v>
      </c>
      <c r="G24" s="228" t="s">
        <v>53</v>
      </c>
      <c r="H24" s="228" t="s">
        <v>53</v>
      </c>
      <c r="I24" s="227">
        <f>F24</f>
      </c>
    </row>
    <row r="25">
      <c r="A25" s="224" t="s">
        <v>2206</v>
      </c>
      <c r="B25" s="225"/>
      <c r="C25" s="225"/>
      <c r="D25" s="225"/>
      <c r="E25" s="226"/>
      <c r="F25" s="227" t="n">
        <v>0</v>
      </c>
      <c r="G25" s="228" t="s">
        <v>53</v>
      </c>
      <c r="H25" s="228" t="s">
        <v>53</v>
      </c>
      <c r="I25" s="227">
        <f>F25</f>
      </c>
    </row>
    <row r="26">
      <c r="A26" s="229" t="s">
        <v>2207</v>
      </c>
      <c r="B26" s="230"/>
      <c r="C26" s="230"/>
      <c r="D26" s="230"/>
      <c r="E26" s="231"/>
      <c r="F26" s="232" t="n">
        <v>0</v>
      </c>
      <c r="G26" s="233" t="s">
        <v>53</v>
      </c>
      <c r="H26" s="233" t="s">
        <v>53</v>
      </c>
      <c r="I26" s="232">
        <f>F26</f>
      </c>
    </row>
    <row r="27">
      <c r="A27" s="234" t="s">
        <v>2234</v>
      </c>
      <c r="B27" s="235"/>
      <c r="C27" s="235"/>
      <c r="D27" s="235"/>
      <c r="E27" s="236"/>
      <c r="F27" s="237" t="s">
        <v>53</v>
      </c>
      <c r="G27" s="238" t="s">
        <v>53</v>
      </c>
      <c r="H27" s="238" t="s">
        <v>53</v>
      </c>
      <c r="I27" s="239">
        <f>SUM(I21:I26)</f>
      </c>
    </row>
    <row r="29">
      <c r="A29" s="240" t="s">
        <v>2235</v>
      </c>
      <c r="B29" s="241"/>
      <c r="C29" s="241"/>
      <c r="D29" s="241"/>
      <c r="E29" s="242"/>
      <c r="F29" s="243">
        <f>I18+I27</f>
      </c>
      <c r="G29" s="244"/>
      <c r="H29" s="244"/>
      <c r="I29" s="245"/>
    </row>
    <row r="33">
      <c r="A33" s="219" t="s">
        <v>2236</v>
      </c>
      <c r="B33" s="219"/>
      <c r="C33" s="219"/>
      <c r="D33" s="219"/>
      <c r="E33" s="219"/>
    </row>
    <row r="34">
      <c r="A34" s="220" t="s">
        <v>2237</v>
      </c>
      <c r="B34" s="221"/>
      <c r="C34" s="221"/>
      <c r="D34" s="221"/>
      <c r="E34" s="222"/>
      <c r="F34" s="223" t="s">
        <v>2231</v>
      </c>
      <c r="G34" s="223" t="s">
        <v>1108</v>
      </c>
      <c r="H34" s="223" t="s">
        <v>2232</v>
      </c>
      <c r="I34" s="223" t="s">
        <v>2231</v>
      </c>
    </row>
    <row r="35">
      <c r="A35" s="229" t="s">
        <v>53</v>
      </c>
      <c r="B35" s="230"/>
      <c r="C35" s="230"/>
      <c r="D35" s="230"/>
      <c r="E35" s="231"/>
      <c r="F35" s="232" t="n">
        <v>0</v>
      </c>
      <c r="G35" s="233" t="s">
        <v>53</v>
      </c>
      <c r="H35" s="233" t="s">
        <v>53</v>
      </c>
      <c r="I35" s="232">
        <f>F35</f>
      </c>
    </row>
    <row r="36">
      <c r="A36" s="234" t="s">
        <v>2238</v>
      </c>
      <c r="B36" s="235"/>
      <c r="C36" s="235"/>
      <c r="D36" s="235"/>
      <c r="E36" s="236"/>
      <c r="F36" s="237" t="s">
        <v>53</v>
      </c>
      <c r="G36" s="238" t="s">
        <v>53</v>
      </c>
      <c r="H36" s="238" t="s">
        <v>53</v>
      </c>
      <c r="I36" s="239">
        <f>SUM(I35:I35)</f>
      </c>
    </row>
  </sheetData>
  <mergeCells>
    <mergeCell ref="A1:I1"/>
    <mergeCell ref="A2:B3"/>
    <mergeCell ref="A4:B5"/>
    <mergeCell ref="A6:B7"/>
    <mergeCell ref="A8:B9"/>
    <mergeCell ref="A10:B11"/>
    <mergeCell ref="E2:E3"/>
    <mergeCell ref="E4:E5"/>
    <mergeCell ref="E6:E7"/>
    <mergeCell ref="E8:E9"/>
    <mergeCell ref="E10:E11"/>
    <mergeCell ref="H2:H3"/>
    <mergeCell ref="H4:H5"/>
    <mergeCell ref="H6:H7"/>
    <mergeCell ref="H8:H9"/>
    <mergeCell ref="H10:H11"/>
    <mergeCell ref="C2:D3"/>
    <mergeCell ref="C4:D5"/>
    <mergeCell ref="C6:D7"/>
    <mergeCell ref="C8:D9"/>
    <mergeCell ref="C10:D11"/>
    <mergeCell ref="F2:G3"/>
    <mergeCell ref="F4:G5"/>
    <mergeCell ref="F6:G7"/>
    <mergeCell ref="F8:G9"/>
    <mergeCell ref="F10:G11"/>
    <mergeCell ref="I2:I3"/>
    <mergeCell ref="I4:I5"/>
    <mergeCell ref="I6:I7"/>
    <mergeCell ref="I8:I9"/>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ageMargins left="0.393999993801117" top="0.591000020503998" right="0.393999993801117" bottom="0.591000020503998" header="0" footer="0"/>
  <pageSetup orientation="landscape" fitToHeight="0" fitToWidth="1" cellComments="none"/>
  <drawing r:id="rId1"/>
</worksheet>
</file>

<file path=xl/worksheets/sheet2.xml><?xml version="1.0" encoding="utf-8"?>
<worksheet xmlns:r="http://schemas.openxmlformats.org/officeDocument/2006/relationships" xmlns="http://schemas.openxmlformats.org/spreadsheetml/2006/main">
  <sheetPr>
    <outlinePr summaryBelow="true" summaryRight="true"/>
    <pageSetUpPr fitToPage="true"/>
  </sheetPr>
  <dimension ref="A1:I73"/>
  <sheetViews>
    <sheetView workbookViewId="0" showZeros="true" showFormulas="false" showGridLines="true" showRowColHeaders="true">
      <pane topLeftCell="A12" state="frozen" activePane="bottomLeft" ySplit="11"/>
      <selection pane="bottomLeft" sqref="C72:D72" activeCell="C72"/>
    </sheetView>
  </sheetViews>
  <sheetFormatPr defaultColWidth="12.140625" customHeight="true" defaultRowHeight="15"/>
  <cols>
    <col max="2" min="1" style="0" width="8.5703125" customWidth="true"/>
    <col max="3" min="3" style="0" width="71.42578125" customWidth="true"/>
    <col max="4" min="4" style="0" width="12.140625" customWidth="true"/>
    <col max="7" min="5" style="0" width="27.85546875" customWidth="true"/>
    <col max="9" min="8" style="0" width="0" customWidth="true" hidden="true"/>
  </cols>
  <sheetData>
    <row r="1" customHeight="true" ht="54.75">
      <c r="A1" s="1" t="s">
        <v>2177</v>
      </c>
      <c r="B1" s="1"/>
      <c r="C1" s="1"/>
      <c r="D1" s="1"/>
      <c r="E1" s="1"/>
      <c r="F1" s="1"/>
      <c r="G1" s="1"/>
    </row>
    <row r="2">
      <c r="A2" s="3" t="s">
        <v>1</v>
      </c>
      <c r="B2" s="4"/>
      <c r="C2" s="5">
        <f>'Stavební rozpočet'!C2</f>
      </c>
      <c r="D2" s="4" t="s">
        <v>3</v>
      </c>
      <c r="E2" s="4" t="s">
        <v>4</v>
      </c>
      <c r="F2" s="7" t="s">
        <v>5</v>
      </c>
      <c r="G2" s="157">
        <f>'Stavební rozpočet'!I2</f>
      </c>
    </row>
    <row r="3" customHeight="true" ht="15">
      <c r="A3" s="9"/>
      <c r="B3" s="10"/>
      <c r="C3" s="11"/>
      <c r="D3" s="10"/>
      <c r="E3" s="10"/>
      <c r="F3" s="10"/>
      <c r="G3" s="12"/>
    </row>
    <row r="4">
      <c r="A4" s="13" t="s">
        <v>7</v>
      </c>
      <c r="B4" s="10"/>
      <c r="C4" s="14">
        <f>'Stavební rozpočet'!C4</f>
      </c>
      <c r="D4" s="10" t="s">
        <v>9</v>
      </c>
      <c r="E4" s="10" t="s">
        <v>10</v>
      </c>
      <c r="F4" s="14" t="s">
        <v>11</v>
      </c>
      <c r="G4" s="158">
        <f>'Stavební rozpočet'!I4</f>
      </c>
    </row>
    <row r="5" customHeight="true" ht="15">
      <c r="A5" s="9"/>
      <c r="B5" s="10"/>
      <c r="C5" s="10"/>
      <c r="D5" s="10"/>
      <c r="E5" s="10"/>
      <c r="F5" s="10"/>
      <c r="G5" s="12"/>
    </row>
    <row r="6">
      <c r="A6" s="13" t="s">
        <v>12</v>
      </c>
      <c r="B6" s="10"/>
      <c r="C6" s="14">
        <f>'Stavební rozpočet'!C6</f>
      </c>
      <c r="D6" s="10" t="s">
        <v>14</v>
      </c>
      <c r="E6" s="10" t="s">
        <v>15</v>
      </c>
      <c r="F6" s="14" t="s">
        <v>16</v>
      </c>
      <c r="G6" s="158">
        <f>'Stavební rozpočet'!I6</f>
      </c>
    </row>
    <row r="7" customHeight="true" ht="15">
      <c r="A7" s="9"/>
      <c r="B7" s="10"/>
      <c r="C7" s="10"/>
      <c r="D7" s="10"/>
      <c r="E7" s="10"/>
      <c r="F7" s="10"/>
      <c r="G7" s="12"/>
    </row>
    <row r="8">
      <c r="A8" s="13" t="s">
        <v>21</v>
      </c>
      <c r="B8" s="10"/>
      <c r="C8" s="14">
        <f>'Stavební rozpočet'!I8</f>
      </c>
      <c r="D8" s="10" t="s">
        <v>19</v>
      </c>
      <c r="E8" s="10" t="s">
        <v>20</v>
      </c>
      <c r="F8" s="10" t="s">
        <v>19</v>
      </c>
      <c r="G8" s="158">
        <f>'Stavební rozpočet'!G8</f>
      </c>
    </row>
    <row r="9">
      <c r="A9" s="15"/>
      <c r="B9" s="16"/>
      <c r="C9" s="16"/>
      <c r="D9" s="159"/>
      <c r="E9" s="16"/>
      <c r="F9" s="16"/>
      <c r="G9" s="17"/>
    </row>
    <row r="10">
      <c r="A10" s="160" t="s">
        <v>2178</v>
      </c>
      <c r="B10" s="161" t="s">
        <v>24</v>
      </c>
      <c r="C10" s="162" t="s">
        <v>25</v>
      </c>
      <c r="E10" s="163" t="s">
        <v>2179</v>
      </c>
      <c r="F10" s="164" t="s">
        <v>2180</v>
      </c>
      <c r="G10" s="164" t="s">
        <v>2181</v>
      </c>
    </row>
    <row r="11">
      <c r="A11" s="165" t="s">
        <v>57</v>
      </c>
      <c r="B11" s="166" t="s">
        <v>53</v>
      </c>
      <c r="C11" s="10" t="s">
        <v>54</v>
      </c>
      <c r="D11" s="10"/>
      <c r="E11" s="167">
        <f>'Stavební rozpočet'!H12</f>
      </c>
      <c r="F11" s="167">
        <f>'Stavební rozpočet'!I12</f>
      </c>
      <c r="G11" s="167">
        <f>'Stavební rozpočet'!J12</f>
      </c>
      <c r="H11" s="57" t="s">
        <v>2182</v>
      </c>
      <c r="I11" s="56">
        <f>IF(H11="F",0,G11)</f>
      </c>
    </row>
    <row r="12">
      <c r="A12" s="9" t="s">
        <v>57</v>
      </c>
      <c r="B12" s="10" t="s">
        <v>55</v>
      </c>
      <c r="C12" s="10" t="s">
        <v>56</v>
      </c>
      <c r="D12" s="10"/>
      <c r="E12" s="56">
        <f>'Stavební rozpočet'!H13</f>
      </c>
      <c r="F12" s="56">
        <f>'Stavební rozpočet'!I13</f>
      </c>
      <c r="G12" s="56">
        <f>'Stavební rozpočet'!J13</f>
      </c>
      <c r="H12" s="57" t="s">
        <v>2183</v>
      </c>
      <c r="I12" s="56">
        <f>IF(H12="F",0,G12)</f>
      </c>
    </row>
    <row r="13">
      <c r="A13" s="9" t="s">
        <v>57</v>
      </c>
      <c r="B13" s="10" t="s">
        <v>66</v>
      </c>
      <c r="C13" s="10" t="s">
        <v>67</v>
      </c>
      <c r="D13" s="10"/>
      <c r="E13" s="56">
        <f>'Stavební rozpočet'!H16</f>
      </c>
      <c r="F13" s="56">
        <f>'Stavební rozpočet'!I16</f>
      </c>
      <c r="G13" s="56">
        <f>'Stavební rozpočet'!J16</f>
      </c>
      <c r="H13" s="57" t="s">
        <v>2183</v>
      </c>
      <c r="I13" s="56">
        <f>IF(H13="F",0,G13)</f>
      </c>
    </row>
    <row r="14">
      <c r="A14" s="9" t="s">
        <v>57</v>
      </c>
      <c r="B14" s="10" t="s">
        <v>94</v>
      </c>
      <c r="C14" s="10" t="s">
        <v>95</v>
      </c>
      <c r="D14" s="10"/>
      <c r="E14" s="56">
        <f>'Stavební rozpočet'!H25</f>
      </c>
      <c r="F14" s="56">
        <f>'Stavební rozpočet'!I25</f>
      </c>
      <c r="G14" s="56">
        <f>'Stavební rozpočet'!J25</f>
      </c>
      <c r="H14" s="57" t="s">
        <v>2183</v>
      </c>
      <c r="I14" s="56">
        <f>IF(H14="F",0,G14)</f>
      </c>
    </row>
    <row r="15">
      <c r="A15" s="9" t="s">
        <v>57</v>
      </c>
      <c r="B15" s="10" t="s">
        <v>116</v>
      </c>
      <c r="C15" s="10" t="s">
        <v>117</v>
      </c>
      <c r="D15" s="10"/>
      <c r="E15" s="56">
        <f>'Stavební rozpočet'!H34</f>
      </c>
      <c r="F15" s="56">
        <f>'Stavební rozpočet'!I34</f>
      </c>
      <c r="G15" s="56">
        <f>'Stavební rozpočet'!J34</f>
      </c>
      <c r="H15" s="57" t="s">
        <v>2183</v>
      </c>
      <c r="I15" s="56">
        <f>IF(H15="F",0,G15)</f>
      </c>
    </row>
    <row r="16">
      <c r="A16" s="9" t="s">
        <v>57</v>
      </c>
      <c r="B16" s="10" t="s">
        <v>125</v>
      </c>
      <c r="C16" s="10" t="s">
        <v>126</v>
      </c>
      <c r="D16" s="10"/>
      <c r="E16" s="56">
        <f>'Stavební rozpočet'!H38</f>
      </c>
      <c r="F16" s="56">
        <f>'Stavební rozpočet'!I38</f>
      </c>
      <c r="G16" s="56">
        <f>'Stavební rozpočet'!J38</f>
      </c>
      <c r="H16" s="57" t="s">
        <v>2183</v>
      </c>
      <c r="I16" s="56">
        <f>IF(H16="F",0,G16)</f>
      </c>
    </row>
    <row r="17">
      <c r="A17" s="9" t="s">
        <v>57</v>
      </c>
      <c r="B17" s="10" t="s">
        <v>237</v>
      </c>
      <c r="C17" s="10" t="s">
        <v>238</v>
      </c>
      <c r="D17" s="10"/>
      <c r="E17" s="56">
        <f>'Stavební rozpočet'!H103</f>
      </c>
      <c r="F17" s="56">
        <f>'Stavební rozpočet'!I103</f>
      </c>
      <c r="G17" s="56">
        <f>'Stavební rozpočet'!J103</f>
      </c>
      <c r="H17" s="57" t="s">
        <v>2183</v>
      </c>
      <c r="I17" s="56">
        <f>IF(H17="F",0,G17)</f>
      </c>
    </row>
    <row r="18">
      <c r="A18" s="9" t="s">
        <v>57</v>
      </c>
      <c r="B18" s="10" t="s">
        <v>269</v>
      </c>
      <c r="C18" s="10" t="s">
        <v>270</v>
      </c>
      <c r="D18" s="10"/>
      <c r="E18" s="56">
        <f>'Stavební rozpočet'!H122</f>
      </c>
      <c r="F18" s="56">
        <f>'Stavební rozpočet'!I122</f>
      </c>
      <c r="G18" s="56">
        <f>'Stavební rozpočet'!J122</f>
      </c>
      <c r="H18" s="57" t="s">
        <v>2183</v>
      </c>
      <c r="I18" s="56">
        <f>IF(H18="F",0,G18)</f>
      </c>
    </row>
    <row r="19">
      <c r="A19" s="9" t="s">
        <v>57</v>
      </c>
      <c r="B19" s="10" t="s">
        <v>278</v>
      </c>
      <c r="C19" s="10" t="s">
        <v>279</v>
      </c>
      <c r="D19" s="10"/>
      <c r="E19" s="56">
        <f>'Stavební rozpočet'!H127</f>
      </c>
      <c r="F19" s="56">
        <f>'Stavební rozpočet'!I127</f>
      </c>
      <c r="G19" s="56">
        <f>'Stavební rozpočet'!J127</f>
      </c>
      <c r="H19" s="57" t="s">
        <v>2183</v>
      </c>
      <c r="I19" s="56">
        <f>IF(H19="F",0,G19)</f>
      </c>
    </row>
    <row r="20">
      <c r="A20" s="9" t="s">
        <v>57</v>
      </c>
      <c r="B20" s="10" t="s">
        <v>287</v>
      </c>
      <c r="C20" s="10" t="s">
        <v>288</v>
      </c>
      <c r="D20" s="10"/>
      <c r="E20" s="56">
        <f>'Stavební rozpočet'!H132</f>
      </c>
      <c r="F20" s="56">
        <f>'Stavební rozpočet'!I132</f>
      </c>
      <c r="G20" s="56">
        <f>'Stavební rozpočet'!J132</f>
      </c>
      <c r="H20" s="57" t="s">
        <v>2183</v>
      </c>
      <c r="I20" s="56">
        <f>IF(H20="F",0,G20)</f>
      </c>
    </row>
    <row r="21">
      <c r="A21" s="9" t="s">
        <v>57</v>
      </c>
      <c r="B21" s="10" t="s">
        <v>308</v>
      </c>
      <c r="C21" s="10" t="s">
        <v>309</v>
      </c>
      <c r="D21" s="10"/>
      <c r="E21" s="56">
        <f>'Stavební rozpočet'!H143</f>
      </c>
      <c r="F21" s="56">
        <f>'Stavební rozpočet'!I143</f>
      </c>
      <c r="G21" s="56">
        <f>'Stavební rozpočet'!J143</f>
      </c>
      <c r="H21" s="57" t="s">
        <v>2183</v>
      </c>
      <c r="I21" s="56">
        <f>IF(H21="F",0,G21)</f>
      </c>
    </row>
    <row r="22">
      <c r="A22" s="9" t="s">
        <v>57</v>
      </c>
      <c r="B22" s="10" t="s">
        <v>317</v>
      </c>
      <c r="C22" s="10" t="s">
        <v>318</v>
      </c>
      <c r="D22" s="10"/>
      <c r="E22" s="56">
        <f>'Stavební rozpočet'!H149</f>
      </c>
      <c r="F22" s="56">
        <f>'Stavební rozpočet'!I149</f>
      </c>
      <c r="G22" s="56">
        <f>'Stavební rozpočet'!J149</f>
      </c>
      <c r="H22" s="57" t="s">
        <v>2183</v>
      </c>
      <c r="I22" s="56">
        <f>IF(H22="F",0,G22)</f>
      </c>
    </row>
    <row r="23">
      <c r="A23" s="9" t="s">
        <v>57</v>
      </c>
      <c r="B23" s="10" t="s">
        <v>359</v>
      </c>
      <c r="C23" s="10" t="s">
        <v>360</v>
      </c>
      <c r="D23" s="10"/>
      <c r="E23" s="56">
        <f>'Stavební rozpočet'!H177</f>
      </c>
      <c r="F23" s="56">
        <f>'Stavební rozpočet'!I177</f>
      </c>
      <c r="G23" s="56">
        <f>'Stavební rozpočet'!J177</f>
      </c>
      <c r="H23" s="57" t="s">
        <v>2183</v>
      </c>
      <c r="I23" s="56">
        <f>IF(H23="F",0,G23)</f>
      </c>
    </row>
    <row r="24">
      <c r="A24" s="9" t="s">
        <v>57</v>
      </c>
      <c r="B24" s="10" t="s">
        <v>381</v>
      </c>
      <c r="C24" s="10" t="s">
        <v>382</v>
      </c>
      <c r="D24" s="10"/>
      <c r="E24" s="56">
        <f>'Stavební rozpočet'!H191</f>
      </c>
      <c r="F24" s="56">
        <f>'Stavební rozpočet'!I191</f>
      </c>
      <c r="G24" s="56">
        <f>'Stavební rozpočet'!J191</f>
      </c>
      <c r="H24" s="57" t="s">
        <v>2183</v>
      </c>
      <c r="I24" s="56">
        <f>IF(H24="F",0,G24)</f>
      </c>
    </row>
    <row r="25">
      <c r="A25" s="9" t="s">
        <v>57</v>
      </c>
      <c r="B25" s="10" t="s">
        <v>530</v>
      </c>
      <c r="C25" s="10" t="s">
        <v>531</v>
      </c>
      <c r="D25" s="10"/>
      <c r="E25" s="56">
        <f>'Stavební rozpočet'!H284</f>
      </c>
      <c r="F25" s="56">
        <f>'Stavební rozpočet'!I284</f>
      </c>
      <c r="G25" s="56">
        <f>'Stavební rozpočet'!J284</f>
      </c>
      <c r="H25" s="57" t="s">
        <v>2183</v>
      </c>
      <c r="I25" s="56">
        <f>IF(H25="F",0,G25)</f>
      </c>
    </row>
    <row r="26">
      <c r="A26" s="9" t="s">
        <v>57</v>
      </c>
      <c r="B26" s="10" t="s">
        <v>745</v>
      </c>
      <c r="C26" s="10" t="s">
        <v>746</v>
      </c>
      <c r="D26" s="10"/>
      <c r="E26" s="56">
        <f>'Stavební rozpočet'!H427</f>
      </c>
      <c r="F26" s="56">
        <f>'Stavební rozpočet'!I427</f>
      </c>
      <c r="G26" s="56">
        <f>'Stavební rozpočet'!J427</f>
      </c>
      <c r="H26" s="57" t="s">
        <v>2183</v>
      </c>
      <c r="I26" s="56">
        <f>IF(H26="F",0,G26)</f>
      </c>
    </row>
    <row r="27">
      <c r="A27" s="9" t="s">
        <v>57</v>
      </c>
      <c r="B27" s="10" t="s">
        <v>919</v>
      </c>
      <c r="C27" s="10" t="s">
        <v>920</v>
      </c>
      <c r="D27" s="10"/>
      <c r="E27" s="56">
        <f>'Stavební rozpočet'!H544</f>
      </c>
      <c r="F27" s="56">
        <f>'Stavební rozpočet'!I544</f>
      </c>
      <c r="G27" s="56">
        <f>'Stavební rozpočet'!J544</f>
      </c>
      <c r="H27" s="57" t="s">
        <v>2183</v>
      </c>
      <c r="I27" s="56">
        <f>IF(H27="F",0,G27)</f>
      </c>
    </row>
    <row r="28">
      <c r="A28" s="9" t="s">
        <v>57</v>
      </c>
      <c r="B28" s="10" t="s">
        <v>976</v>
      </c>
      <c r="C28" s="10" t="s">
        <v>977</v>
      </c>
      <c r="D28" s="10"/>
      <c r="E28" s="56">
        <f>'Stavební rozpočet'!H580</f>
      </c>
      <c r="F28" s="56">
        <f>'Stavební rozpočet'!I580</f>
      </c>
      <c r="G28" s="56">
        <f>'Stavební rozpočet'!J580</f>
      </c>
      <c r="H28" s="57" t="s">
        <v>2183</v>
      </c>
      <c r="I28" s="56">
        <f>IF(H28="F",0,G28)</f>
      </c>
    </row>
    <row r="29">
      <c r="A29" s="9" t="s">
        <v>57</v>
      </c>
      <c r="B29" s="10" t="s">
        <v>1109</v>
      </c>
      <c r="C29" s="10" t="s">
        <v>1110</v>
      </c>
      <c r="D29" s="10"/>
      <c r="E29" s="56">
        <f>'Stavební rozpočet'!H674</f>
      </c>
      <c r="F29" s="56">
        <f>'Stavební rozpočet'!I674</f>
      </c>
      <c r="G29" s="56">
        <f>'Stavební rozpočet'!J674</f>
      </c>
      <c r="H29" s="57" t="s">
        <v>2183</v>
      </c>
      <c r="I29" s="56">
        <f>IF(H29="F",0,G29)</f>
      </c>
    </row>
    <row r="30">
      <c r="A30" s="9" t="s">
        <v>57</v>
      </c>
      <c r="B30" s="10" t="s">
        <v>1159</v>
      </c>
      <c r="C30" s="10" t="s">
        <v>1160</v>
      </c>
      <c r="D30" s="10"/>
      <c r="E30" s="56">
        <f>'Stavební rozpočet'!H703</f>
      </c>
      <c r="F30" s="56">
        <f>'Stavební rozpočet'!I703</f>
      </c>
      <c r="G30" s="56">
        <f>'Stavební rozpočet'!J703</f>
      </c>
      <c r="H30" s="57" t="s">
        <v>2183</v>
      </c>
      <c r="I30" s="56">
        <f>IF(H30="F",0,G30)</f>
      </c>
    </row>
    <row r="31">
      <c r="A31" s="9" t="s">
        <v>57</v>
      </c>
      <c r="B31" s="10" t="s">
        <v>1213</v>
      </c>
      <c r="C31" s="10" t="s">
        <v>1214</v>
      </c>
      <c r="D31" s="10"/>
      <c r="E31" s="56">
        <f>'Stavební rozpočet'!H737</f>
      </c>
      <c r="F31" s="56">
        <f>'Stavební rozpočet'!I737</f>
      </c>
      <c r="G31" s="56">
        <f>'Stavební rozpočet'!J737</f>
      </c>
      <c r="H31" s="57" t="s">
        <v>2183</v>
      </c>
      <c r="I31" s="56">
        <f>IF(H31="F",0,G31)</f>
      </c>
    </row>
    <row r="32">
      <c r="A32" s="9" t="s">
        <v>57</v>
      </c>
      <c r="B32" s="10" t="s">
        <v>1261</v>
      </c>
      <c r="C32" s="10" t="s">
        <v>1262</v>
      </c>
      <c r="D32" s="10"/>
      <c r="E32" s="56">
        <f>'Stavební rozpočet'!H765</f>
      </c>
      <c r="F32" s="56">
        <f>'Stavební rozpočet'!I765</f>
      </c>
      <c r="G32" s="56">
        <f>'Stavební rozpočet'!J765</f>
      </c>
      <c r="H32" s="57" t="s">
        <v>2183</v>
      </c>
      <c r="I32" s="56">
        <f>IF(H32="F",0,G32)</f>
      </c>
    </row>
    <row r="33">
      <c r="A33" s="9" t="s">
        <v>57</v>
      </c>
      <c r="B33" s="10" t="s">
        <v>1318</v>
      </c>
      <c r="C33" s="10" t="s">
        <v>1319</v>
      </c>
      <c r="D33" s="10"/>
      <c r="E33" s="56">
        <f>'Stavební rozpočet'!H799</f>
      </c>
      <c r="F33" s="56">
        <f>'Stavební rozpočet'!I799</f>
      </c>
      <c r="G33" s="56">
        <f>'Stavební rozpočet'!J799</f>
      </c>
      <c r="H33" s="57" t="s">
        <v>2183</v>
      </c>
      <c r="I33" s="56">
        <f>IF(H33="F",0,G33)</f>
      </c>
    </row>
    <row r="34">
      <c r="A34" s="9" t="s">
        <v>57</v>
      </c>
      <c r="B34" s="10" t="s">
        <v>1365</v>
      </c>
      <c r="C34" s="10" t="s">
        <v>1366</v>
      </c>
      <c r="D34" s="10"/>
      <c r="E34" s="56">
        <f>'Stavební rozpočet'!H830</f>
      </c>
      <c r="F34" s="56">
        <f>'Stavební rozpočet'!I830</f>
      </c>
      <c r="G34" s="56">
        <f>'Stavební rozpočet'!J830</f>
      </c>
      <c r="H34" s="57" t="s">
        <v>2183</v>
      </c>
      <c r="I34" s="56">
        <f>IF(H34="F",0,G34)</f>
      </c>
    </row>
    <row r="35">
      <c r="A35" s="9" t="s">
        <v>57</v>
      </c>
      <c r="B35" s="10" t="s">
        <v>689</v>
      </c>
      <c r="C35" s="10" t="s">
        <v>1384</v>
      </c>
      <c r="D35" s="10"/>
      <c r="E35" s="56">
        <f>'Stavební rozpočet'!H844</f>
      </c>
      <c r="F35" s="56">
        <f>'Stavební rozpočet'!I844</f>
      </c>
      <c r="G35" s="56">
        <f>'Stavební rozpočet'!J844</f>
      </c>
      <c r="H35" s="57" t="s">
        <v>2183</v>
      </c>
      <c r="I35" s="56">
        <f>IF(H35="F",0,G35)</f>
      </c>
    </row>
    <row r="36">
      <c r="A36" s="9" t="s">
        <v>57</v>
      </c>
      <c r="B36" s="10" t="s">
        <v>701</v>
      </c>
      <c r="C36" s="10" t="s">
        <v>1399</v>
      </c>
      <c r="D36" s="10"/>
      <c r="E36" s="56">
        <f>'Stavební rozpočet'!H852</f>
      </c>
      <c r="F36" s="56">
        <f>'Stavební rozpočet'!I852</f>
      </c>
      <c r="G36" s="56">
        <f>'Stavební rozpočet'!J852</f>
      </c>
      <c r="H36" s="57" t="s">
        <v>2183</v>
      </c>
      <c r="I36" s="56">
        <f>IF(H36="F",0,G36)</f>
      </c>
    </row>
    <row r="37">
      <c r="A37" s="9" t="s">
        <v>57</v>
      </c>
      <c r="B37" s="10" t="s">
        <v>706</v>
      </c>
      <c r="C37" s="10" t="s">
        <v>1437</v>
      </c>
      <c r="D37" s="10"/>
      <c r="E37" s="56">
        <f>'Stavební rozpočet'!H874</f>
      </c>
      <c r="F37" s="56">
        <f>'Stavební rozpočet'!I874</f>
      </c>
      <c r="G37" s="56">
        <f>'Stavební rozpočet'!J874</f>
      </c>
      <c r="H37" s="57" t="s">
        <v>2183</v>
      </c>
      <c r="I37" s="56">
        <f>IF(H37="F",0,G37)</f>
      </c>
    </row>
    <row r="38">
      <c r="A38" s="9" t="s">
        <v>57</v>
      </c>
      <c r="B38" s="10" t="s">
        <v>1456</v>
      </c>
      <c r="C38" s="10" t="s">
        <v>1457</v>
      </c>
      <c r="D38" s="10"/>
      <c r="E38" s="56">
        <f>'Stavební rozpočet'!H884</f>
      </c>
      <c r="F38" s="56">
        <f>'Stavební rozpočet'!I884</f>
      </c>
      <c r="G38" s="56">
        <f>'Stavební rozpočet'!J884</f>
      </c>
      <c r="H38" s="57" t="s">
        <v>2183</v>
      </c>
      <c r="I38" s="56">
        <f>IF(H38="F",0,G38)</f>
      </c>
    </row>
    <row r="39">
      <c r="A39" s="9" t="s">
        <v>1479</v>
      </c>
      <c r="B39" s="10" t="s">
        <v>53</v>
      </c>
      <c r="C39" s="10" t="s">
        <v>1478</v>
      </c>
      <c r="D39" s="10"/>
      <c r="E39" s="56">
        <f>'Stavební rozpočet'!H897</f>
      </c>
      <c r="F39" s="56">
        <f>'Stavební rozpočet'!I897</f>
      </c>
      <c r="G39" s="56">
        <f>'Stavební rozpočet'!J897</f>
      </c>
      <c r="H39" s="57" t="s">
        <v>2182</v>
      </c>
      <c r="I39" s="56">
        <f>IF(H39="F",0,G39)</f>
      </c>
    </row>
    <row r="40">
      <c r="A40" s="9" t="s">
        <v>1479</v>
      </c>
      <c r="B40" s="10" t="s">
        <v>308</v>
      </c>
      <c r="C40" s="10" t="s">
        <v>309</v>
      </c>
      <c r="D40" s="10"/>
      <c r="E40" s="56">
        <f>'Stavební rozpočet'!H898</f>
      </c>
      <c r="F40" s="56">
        <f>'Stavební rozpočet'!I898</f>
      </c>
      <c r="G40" s="56">
        <f>'Stavební rozpočet'!J898</f>
      </c>
      <c r="H40" s="57" t="s">
        <v>2183</v>
      </c>
      <c r="I40" s="56">
        <f>IF(H40="F",0,G40)</f>
      </c>
    </row>
    <row r="41">
      <c r="A41" s="9" t="s">
        <v>1479</v>
      </c>
      <c r="B41" s="10" t="s">
        <v>381</v>
      </c>
      <c r="C41" s="10" t="s">
        <v>382</v>
      </c>
      <c r="D41" s="10"/>
      <c r="E41" s="56">
        <f>'Stavební rozpočet'!H903</f>
      </c>
      <c r="F41" s="56">
        <f>'Stavební rozpočet'!I903</f>
      </c>
      <c r="G41" s="56">
        <f>'Stavební rozpočet'!J903</f>
      </c>
      <c r="H41" s="57" t="s">
        <v>2183</v>
      </c>
      <c r="I41" s="56">
        <f>IF(H41="F",0,G41)</f>
      </c>
    </row>
    <row r="42">
      <c r="A42" s="9" t="s">
        <v>1479</v>
      </c>
      <c r="B42" s="10" t="s">
        <v>1500</v>
      </c>
      <c r="C42" s="10" t="s">
        <v>1501</v>
      </c>
      <c r="D42" s="10"/>
      <c r="E42" s="56">
        <f>'Stavební rozpočet'!H911</f>
      </c>
      <c r="F42" s="56">
        <f>'Stavební rozpočet'!I911</f>
      </c>
      <c r="G42" s="56">
        <f>'Stavební rozpočet'!J911</f>
      </c>
      <c r="H42" s="57" t="s">
        <v>2183</v>
      </c>
      <c r="I42" s="56">
        <f>IF(H42="F",0,G42)</f>
      </c>
    </row>
    <row r="43">
      <c r="A43" s="9" t="s">
        <v>1479</v>
      </c>
      <c r="B43" s="10" t="s">
        <v>1540</v>
      </c>
      <c r="C43" s="10" t="s">
        <v>1541</v>
      </c>
      <c r="D43" s="10"/>
      <c r="E43" s="56">
        <f>'Stavební rozpočet'!H924</f>
      </c>
      <c r="F43" s="56">
        <f>'Stavební rozpočet'!I924</f>
      </c>
      <c r="G43" s="56">
        <f>'Stavební rozpočet'!J924</f>
      </c>
      <c r="H43" s="57" t="s">
        <v>2183</v>
      </c>
      <c r="I43" s="56">
        <f>IF(H43="F",0,G43)</f>
      </c>
    </row>
    <row r="44">
      <c r="A44" s="9" t="s">
        <v>1479</v>
      </c>
      <c r="B44" s="10" t="s">
        <v>1588</v>
      </c>
      <c r="C44" s="10" t="s">
        <v>1589</v>
      </c>
      <c r="D44" s="10"/>
      <c r="E44" s="56">
        <f>'Stavební rozpočet'!H939</f>
      </c>
      <c r="F44" s="56">
        <f>'Stavební rozpočet'!I939</f>
      </c>
      <c r="G44" s="56">
        <f>'Stavební rozpočet'!J939</f>
      </c>
      <c r="H44" s="57" t="s">
        <v>2183</v>
      </c>
      <c r="I44" s="56">
        <f>IF(H44="F",0,G44)</f>
      </c>
    </row>
    <row r="45">
      <c r="A45" s="9" t="s">
        <v>1479</v>
      </c>
      <c r="B45" s="10" t="s">
        <v>1109</v>
      </c>
      <c r="C45" s="10" t="s">
        <v>1110</v>
      </c>
      <c r="D45" s="10"/>
      <c r="E45" s="56">
        <f>'Stavební rozpočet'!H952</f>
      </c>
      <c r="F45" s="56">
        <f>'Stavební rozpočet'!I952</f>
      </c>
      <c r="G45" s="56">
        <f>'Stavební rozpočet'!J952</f>
      </c>
      <c r="H45" s="57" t="s">
        <v>2183</v>
      </c>
      <c r="I45" s="56">
        <f>IF(H45="F",0,G45)</f>
      </c>
    </row>
    <row r="46">
      <c r="A46" s="9" t="s">
        <v>1479</v>
      </c>
      <c r="B46" s="10" t="s">
        <v>1365</v>
      </c>
      <c r="C46" s="10" t="s">
        <v>1366</v>
      </c>
      <c r="D46" s="10"/>
      <c r="E46" s="56">
        <f>'Stavební rozpočet'!H956</f>
      </c>
      <c r="F46" s="56">
        <f>'Stavební rozpočet'!I956</f>
      </c>
      <c r="G46" s="56">
        <f>'Stavební rozpočet'!J956</f>
      </c>
      <c r="H46" s="57" t="s">
        <v>2183</v>
      </c>
      <c r="I46" s="56">
        <f>IF(H46="F",0,G46)</f>
      </c>
    </row>
    <row r="47">
      <c r="A47" s="9" t="s">
        <v>1479</v>
      </c>
      <c r="B47" s="10" t="s">
        <v>706</v>
      </c>
      <c r="C47" s="10" t="s">
        <v>1437</v>
      </c>
      <c r="D47" s="10"/>
      <c r="E47" s="56">
        <f>'Stavební rozpočet'!H963</f>
      </c>
      <c r="F47" s="56">
        <f>'Stavební rozpočet'!I963</f>
      </c>
      <c r="G47" s="56">
        <f>'Stavební rozpočet'!J963</f>
      </c>
      <c r="H47" s="57" t="s">
        <v>2183</v>
      </c>
      <c r="I47" s="56">
        <f>IF(H47="F",0,G47)</f>
      </c>
    </row>
    <row r="48">
      <c r="A48" s="9" t="s">
        <v>1479</v>
      </c>
      <c r="B48" s="10" t="s">
        <v>1651</v>
      </c>
      <c r="C48" s="10" t="s">
        <v>1501</v>
      </c>
      <c r="D48" s="10"/>
      <c r="E48" s="56">
        <f>'Stavební rozpočet'!H967</f>
      </c>
      <c r="F48" s="56">
        <f>'Stavební rozpočet'!I967</f>
      </c>
      <c r="G48" s="56">
        <f>'Stavební rozpočet'!J967</f>
      </c>
      <c r="H48" s="57" t="s">
        <v>2183</v>
      </c>
      <c r="I48" s="56">
        <f>IF(H48="F",0,G48)</f>
      </c>
    </row>
    <row r="49">
      <c r="A49" s="9" t="s">
        <v>1479</v>
      </c>
      <c r="B49" s="10" t="s">
        <v>1656</v>
      </c>
      <c r="C49" s="10" t="s">
        <v>1541</v>
      </c>
      <c r="D49" s="10"/>
      <c r="E49" s="56">
        <f>'Stavební rozpočet'!H969</f>
      </c>
      <c r="F49" s="56">
        <f>'Stavební rozpočet'!I969</f>
      </c>
      <c r="G49" s="56">
        <f>'Stavební rozpočet'!J969</f>
      </c>
      <c r="H49" s="57" t="s">
        <v>2183</v>
      </c>
      <c r="I49" s="56">
        <f>IF(H49="F",0,G49)</f>
      </c>
    </row>
    <row r="50">
      <c r="A50" s="9" t="s">
        <v>1479</v>
      </c>
      <c r="B50" s="10" t="s">
        <v>1661</v>
      </c>
      <c r="C50" s="10" t="s">
        <v>1589</v>
      </c>
      <c r="D50" s="10"/>
      <c r="E50" s="56">
        <f>'Stavební rozpočet'!H971</f>
      </c>
      <c r="F50" s="56">
        <f>'Stavební rozpočet'!I971</f>
      </c>
      <c r="G50" s="56">
        <f>'Stavební rozpočet'!J971</f>
      </c>
      <c r="H50" s="57" t="s">
        <v>2183</v>
      </c>
      <c r="I50" s="56">
        <f>IF(H50="F",0,G50)</f>
      </c>
    </row>
    <row r="51">
      <c r="A51" s="9" t="s">
        <v>1479</v>
      </c>
      <c r="B51" s="10" t="s">
        <v>1666</v>
      </c>
      <c r="C51" s="10" t="s">
        <v>1110</v>
      </c>
      <c r="D51" s="10"/>
      <c r="E51" s="56">
        <f>'Stavební rozpočet'!H973</f>
      </c>
      <c r="F51" s="56">
        <f>'Stavební rozpočet'!I973</f>
      </c>
      <c r="G51" s="56">
        <f>'Stavební rozpočet'!J973</f>
      </c>
      <c r="H51" s="57" t="s">
        <v>2183</v>
      </c>
      <c r="I51" s="56">
        <f>IF(H51="F",0,G51)</f>
      </c>
    </row>
    <row r="52">
      <c r="A52" s="9" t="s">
        <v>1479</v>
      </c>
      <c r="B52" s="10" t="s">
        <v>53</v>
      </c>
      <c r="C52" s="10" t="s">
        <v>1669</v>
      </c>
      <c r="D52" s="10"/>
      <c r="E52" s="56">
        <f>'Stavební rozpočet'!H975</f>
      </c>
      <c r="F52" s="56">
        <f>'Stavební rozpočet'!I975</f>
      </c>
      <c r="G52" s="56">
        <f>'Stavební rozpočet'!J975</f>
      </c>
      <c r="H52" s="57" t="s">
        <v>2183</v>
      </c>
      <c r="I52" s="56">
        <f>IF(H52="F",0,G52)</f>
      </c>
    </row>
    <row r="53">
      <c r="A53" s="9" t="s">
        <v>1685</v>
      </c>
      <c r="B53" s="10" t="s">
        <v>53</v>
      </c>
      <c r="C53" s="10" t="s">
        <v>1684</v>
      </c>
      <c r="D53" s="10"/>
      <c r="E53" s="56">
        <f>'Stavební rozpočet'!H980</f>
      </c>
      <c r="F53" s="56">
        <f>'Stavební rozpočet'!I980</f>
      </c>
      <c r="G53" s="56">
        <f>'Stavební rozpočet'!J980</f>
      </c>
      <c r="H53" s="57" t="s">
        <v>2182</v>
      </c>
      <c r="I53" s="56">
        <f>IF(H53="F",0,G53)</f>
      </c>
    </row>
    <row r="54">
      <c r="A54" s="9" t="s">
        <v>1685</v>
      </c>
      <c r="B54" s="10" t="s">
        <v>308</v>
      </c>
      <c r="C54" s="10" t="s">
        <v>309</v>
      </c>
      <c r="D54" s="10"/>
      <c r="E54" s="56">
        <f>'Stavební rozpočet'!H981</f>
      </c>
      <c r="F54" s="56">
        <f>'Stavební rozpočet'!I981</f>
      </c>
      <c r="G54" s="56">
        <f>'Stavební rozpočet'!J981</f>
      </c>
      <c r="H54" s="57" t="s">
        <v>2183</v>
      </c>
      <c r="I54" s="56">
        <f>IF(H54="F",0,G54)</f>
      </c>
    </row>
    <row r="55">
      <c r="A55" s="9" t="s">
        <v>1685</v>
      </c>
      <c r="B55" s="10" t="s">
        <v>381</v>
      </c>
      <c r="C55" s="10" t="s">
        <v>382</v>
      </c>
      <c r="D55" s="10"/>
      <c r="E55" s="56">
        <f>'Stavební rozpočet'!H986</f>
      </c>
      <c r="F55" s="56">
        <f>'Stavební rozpočet'!I986</f>
      </c>
      <c r="G55" s="56">
        <f>'Stavební rozpočet'!J986</f>
      </c>
      <c r="H55" s="57" t="s">
        <v>2183</v>
      </c>
      <c r="I55" s="56">
        <f>IF(H55="F",0,G55)</f>
      </c>
    </row>
    <row r="56">
      <c r="A56" s="9" t="s">
        <v>1685</v>
      </c>
      <c r="B56" s="10" t="s">
        <v>1704</v>
      </c>
      <c r="C56" s="10" t="s">
        <v>1705</v>
      </c>
      <c r="D56" s="10"/>
      <c r="E56" s="56">
        <f>'Stavební rozpočet'!H991</f>
      </c>
      <c r="F56" s="56">
        <f>'Stavební rozpočet'!I991</f>
      </c>
      <c r="G56" s="56">
        <f>'Stavební rozpočet'!J991</f>
      </c>
      <c r="H56" s="57" t="s">
        <v>2183</v>
      </c>
      <c r="I56" s="56">
        <f>IF(H56="F",0,G56)</f>
      </c>
    </row>
    <row r="57">
      <c r="A57" s="9" t="s">
        <v>1685</v>
      </c>
      <c r="B57" s="10" t="s">
        <v>1723</v>
      </c>
      <c r="C57" s="10" t="s">
        <v>1724</v>
      </c>
      <c r="D57" s="10"/>
      <c r="E57" s="56">
        <f>'Stavební rozpočet'!H997</f>
      </c>
      <c r="F57" s="56">
        <f>'Stavební rozpočet'!I997</f>
      </c>
      <c r="G57" s="56">
        <f>'Stavební rozpočet'!J997</f>
      </c>
      <c r="H57" s="57" t="s">
        <v>2183</v>
      </c>
      <c r="I57" s="56">
        <f>IF(H57="F",0,G57)</f>
      </c>
    </row>
    <row r="58">
      <c r="A58" s="9" t="s">
        <v>1685</v>
      </c>
      <c r="B58" s="10" t="s">
        <v>1745</v>
      </c>
      <c r="C58" s="10" t="s">
        <v>1746</v>
      </c>
      <c r="D58" s="10"/>
      <c r="E58" s="56">
        <f>'Stavební rozpočet'!H1004</f>
      </c>
      <c r="F58" s="56">
        <f>'Stavební rozpočet'!I1004</f>
      </c>
      <c r="G58" s="56">
        <f>'Stavební rozpočet'!J1004</f>
      </c>
      <c r="H58" s="57" t="s">
        <v>2183</v>
      </c>
      <c r="I58" s="56">
        <f>IF(H58="F",0,G58)</f>
      </c>
    </row>
    <row r="59">
      <c r="A59" s="9" t="s">
        <v>1685</v>
      </c>
      <c r="B59" s="10" t="s">
        <v>1109</v>
      </c>
      <c r="C59" s="10" t="s">
        <v>1110</v>
      </c>
      <c r="D59" s="10"/>
      <c r="E59" s="56">
        <f>'Stavební rozpočet'!H1010</f>
      </c>
      <c r="F59" s="56">
        <f>'Stavební rozpočet'!I1010</f>
      </c>
      <c r="G59" s="56">
        <f>'Stavební rozpočet'!J1010</f>
      </c>
      <c r="H59" s="57" t="s">
        <v>2183</v>
      </c>
      <c r="I59" s="56">
        <f>IF(H59="F",0,G59)</f>
      </c>
    </row>
    <row r="60">
      <c r="A60" s="9" t="s">
        <v>1685</v>
      </c>
      <c r="B60" s="10" t="s">
        <v>1318</v>
      </c>
      <c r="C60" s="10" t="s">
        <v>1319</v>
      </c>
      <c r="D60" s="10"/>
      <c r="E60" s="56">
        <f>'Stavební rozpočet'!H1013</f>
      </c>
      <c r="F60" s="56">
        <f>'Stavební rozpočet'!I1013</f>
      </c>
      <c r="G60" s="56">
        <f>'Stavební rozpočet'!J1013</f>
      </c>
      <c r="H60" s="57" t="s">
        <v>2183</v>
      </c>
      <c r="I60" s="56">
        <f>IF(H60="F",0,G60)</f>
      </c>
    </row>
    <row r="61">
      <c r="A61" s="9" t="s">
        <v>1685</v>
      </c>
      <c r="B61" s="10" t="s">
        <v>1365</v>
      </c>
      <c r="C61" s="10" t="s">
        <v>1366</v>
      </c>
      <c r="D61" s="10"/>
      <c r="E61" s="56">
        <f>'Stavební rozpočet'!H1017</f>
      </c>
      <c r="F61" s="56">
        <f>'Stavební rozpočet'!I1017</f>
      </c>
      <c r="G61" s="56">
        <f>'Stavební rozpočet'!J1017</f>
      </c>
      <c r="H61" s="57" t="s">
        <v>2183</v>
      </c>
      <c r="I61" s="56">
        <f>IF(H61="F",0,G61)</f>
      </c>
    </row>
    <row r="62">
      <c r="A62" s="9" t="s">
        <v>1685</v>
      </c>
      <c r="B62" s="10" t="s">
        <v>706</v>
      </c>
      <c r="C62" s="10" t="s">
        <v>1437</v>
      </c>
      <c r="D62" s="10"/>
      <c r="E62" s="56">
        <f>'Stavební rozpočet'!H1021</f>
      </c>
      <c r="F62" s="56">
        <f>'Stavební rozpočet'!I1021</f>
      </c>
      <c r="G62" s="56">
        <f>'Stavební rozpočet'!J1021</f>
      </c>
      <c r="H62" s="57" t="s">
        <v>2183</v>
      </c>
      <c r="I62" s="56">
        <f>IF(H62="F",0,G62)</f>
      </c>
    </row>
    <row r="63">
      <c r="A63" s="9" t="s">
        <v>1685</v>
      </c>
      <c r="B63" s="10" t="s">
        <v>1787</v>
      </c>
      <c r="C63" s="10" t="s">
        <v>382</v>
      </c>
      <c r="D63" s="10"/>
      <c r="E63" s="56">
        <f>'Stavební rozpočet'!H1028</f>
      </c>
      <c r="F63" s="56">
        <f>'Stavební rozpočet'!I1028</f>
      </c>
      <c r="G63" s="56">
        <f>'Stavební rozpočet'!J1028</f>
      </c>
      <c r="H63" s="57" t="s">
        <v>2183</v>
      </c>
      <c r="I63" s="56">
        <f>IF(H63="F",0,G63)</f>
      </c>
    </row>
    <row r="64">
      <c r="A64" s="9" t="s">
        <v>1685</v>
      </c>
      <c r="B64" s="10" t="s">
        <v>1790</v>
      </c>
      <c r="C64" s="10" t="s">
        <v>1705</v>
      </c>
      <c r="D64" s="10"/>
      <c r="E64" s="56">
        <f>'Stavební rozpočet'!H1030</f>
      </c>
      <c r="F64" s="56">
        <f>'Stavební rozpočet'!I1030</f>
      </c>
      <c r="G64" s="56">
        <f>'Stavební rozpočet'!J1030</f>
      </c>
      <c r="H64" s="57" t="s">
        <v>2183</v>
      </c>
      <c r="I64" s="56">
        <f>IF(H64="F",0,G64)</f>
      </c>
    </row>
    <row r="65">
      <c r="A65" s="9" t="s">
        <v>1685</v>
      </c>
      <c r="B65" s="10" t="s">
        <v>1795</v>
      </c>
      <c r="C65" s="10" t="s">
        <v>1724</v>
      </c>
      <c r="D65" s="10"/>
      <c r="E65" s="56">
        <f>'Stavební rozpočet'!H1032</f>
      </c>
      <c r="F65" s="56">
        <f>'Stavební rozpočet'!I1032</f>
      </c>
      <c r="G65" s="56">
        <f>'Stavební rozpočet'!J1032</f>
      </c>
      <c r="H65" s="57" t="s">
        <v>2183</v>
      </c>
      <c r="I65" s="56">
        <f>IF(H65="F",0,G65)</f>
      </c>
    </row>
    <row r="66">
      <c r="A66" s="9" t="s">
        <v>1685</v>
      </c>
      <c r="B66" s="10" t="s">
        <v>1800</v>
      </c>
      <c r="C66" s="10" t="s">
        <v>1746</v>
      </c>
      <c r="D66" s="10"/>
      <c r="E66" s="56">
        <f>'Stavební rozpočet'!H1034</f>
      </c>
      <c r="F66" s="56">
        <f>'Stavební rozpočet'!I1034</f>
      </c>
      <c r="G66" s="56">
        <f>'Stavební rozpočet'!J1034</f>
      </c>
      <c r="H66" s="57" t="s">
        <v>2183</v>
      </c>
      <c r="I66" s="56">
        <f>IF(H66="F",0,G66)</f>
      </c>
    </row>
    <row r="67">
      <c r="A67" s="9" t="s">
        <v>1685</v>
      </c>
      <c r="B67" s="10" t="s">
        <v>1666</v>
      </c>
      <c r="C67" s="10" t="s">
        <v>1110</v>
      </c>
      <c r="D67" s="10"/>
      <c r="E67" s="56">
        <f>'Stavební rozpočet'!H1036</f>
      </c>
      <c r="F67" s="56">
        <f>'Stavební rozpočet'!I1036</f>
      </c>
      <c r="G67" s="56">
        <f>'Stavební rozpočet'!J1036</f>
      </c>
      <c r="H67" s="57" t="s">
        <v>2183</v>
      </c>
      <c r="I67" s="56">
        <f>IF(H67="F",0,G67)</f>
      </c>
    </row>
    <row r="68">
      <c r="A68" s="9" t="s">
        <v>1685</v>
      </c>
      <c r="B68" s="10" t="s">
        <v>53</v>
      </c>
      <c r="C68" s="10" t="s">
        <v>1669</v>
      </c>
      <c r="D68" s="10"/>
      <c r="E68" s="56">
        <f>'Stavební rozpočet'!H1038</f>
      </c>
      <c r="F68" s="56">
        <f>'Stavební rozpočet'!I1038</f>
      </c>
      <c r="G68" s="56">
        <f>'Stavební rozpočet'!J1038</f>
      </c>
      <c r="H68" s="57" t="s">
        <v>2183</v>
      </c>
      <c r="I68" s="56">
        <f>IF(H68="F",0,G68)</f>
      </c>
    </row>
    <row r="69">
      <c r="A69" s="9" t="s">
        <v>1820</v>
      </c>
      <c r="B69" s="10" t="s">
        <v>53</v>
      </c>
      <c r="C69" s="10" t="s">
        <v>1817</v>
      </c>
      <c r="D69" s="10"/>
      <c r="E69" s="56">
        <f>'Stavební rozpočet'!H1044</f>
      </c>
      <c r="F69" s="56">
        <f>'Stavební rozpočet'!I1044</f>
      </c>
      <c r="G69" s="56">
        <f>'Stavební rozpočet'!J1044</f>
      </c>
      <c r="H69" s="57" t="s">
        <v>2182</v>
      </c>
      <c r="I69" s="56">
        <f>IF(H69="F",0,G69)</f>
      </c>
    </row>
    <row r="70">
      <c r="A70" s="9" t="s">
        <v>1820</v>
      </c>
      <c r="B70" s="10" t="s">
        <v>1818</v>
      </c>
      <c r="C70" s="10" t="s">
        <v>1819</v>
      </c>
      <c r="D70" s="10"/>
      <c r="E70" s="56">
        <f>'Stavební rozpočet'!H1045</f>
      </c>
      <c r="F70" s="56">
        <f>'Stavební rozpočet'!I1045</f>
      </c>
      <c r="G70" s="56">
        <f>'Stavební rozpočet'!J1045</f>
      </c>
      <c r="H70" s="57" t="s">
        <v>2183</v>
      </c>
      <c r="I70" s="56">
        <f>IF(H70="F",0,G70)</f>
      </c>
    </row>
    <row r="71">
      <c r="A71" s="9" t="s">
        <v>1820</v>
      </c>
      <c r="B71" s="10" t="s">
        <v>1858</v>
      </c>
      <c r="C71" s="10" t="s">
        <v>1859</v>
      </c>
      <c r="D71" s="10"/>
      <c r="E71" s="56">
        <f>'Stavební rozpočet'!H1078</f>
      </c>
      <c r="F71" s="56">
        <f>'Stavební rozpočet'!I1078</f>
      </c>
      <c r="G71" s="56">
        <f>'Stavební rozpočet'!J1078</f>
      </c>
      <c r="H71" s="57" t="s">
        <v>2183</v>
      </c>
      <c r="I71" s="56">
        <f>IF(H71="F",0,G71)</f>
      </c>
    </row>
    <row r="72">
      <c r="A72" s="9" t="s">
        <v>1820</v>
      </c>
      <c r="B72" s="10" t="s">
        <v>1980</v>
      </c>
      <c r="C72" s="10" t="s">
        <v>1981</v>
      </c>
      <c r="D72" s="10"/>
      <c r="E72" s="56">
        <f>'Stavební rozpočet'!H1186</f>
      </c>
      <c r="F72" s="56">
        <f>'Stavební rozpočet'!I1186</f>
      </c>
      <c r="G72" s="56">
        <f>'Stavební rozpočet'!J1186</f>
      </c>
      <c r="H72" s="57" t="s">
        <v>2183</v>
      </c>
      <c r="I72" s="56">
        <f>IF(H72="F",0,G72)</f>
      </c>
    </row>
    <row r="73">
      <c r="F73" s="11" t="s">
        <v>2176</v>
      </c>
      <c r="G73" s="168">
        <f>SUM(I11:I72)</f>
      </c>
    </row>
  </sheetData>
  <mergeCells>
    <mergeCell ref="A1:G1"/>
    <mergeCell ref="A2:B3"/>
    <mergeCell ref="A4:B5"/>
    <mergeCell ref="A6:B7"/>
    <mergeCell ref="A8:B9"/>
    <mergeCell ref="D2:D3"/>
    <mergeCell ref="D4:D5"/>
    <mergeCell ref="D6:D7"/>
    <mergeCell ref="D8:D9"/>
    <mergeCell ref="F2:F3"/>
    <mergeCell ref="F4:F5"/>
    <mergeCell ref="F6:F7"/>
    <mergeCell ref="F8:F9"/>
    <mergeCell ref="C2:C3"/>
    <mergeCell ref="C4:C5"/>
    <mergeCell ref="C6:C7"/>
    <mergeCell ref="C8:C9"/>
    <mergeCell ref="E2:E3"/>
    <mergeCell ref="E4:E5"/>
    <mergeCell ref="E6:E7"/>
    <mergeCell ref="E8:E9"/>
    <mergeCell ref="G2:G3"/>
    <mergeCell ref="G4:G5"/>
    <mergeCell ref="G6:G7"/>
    <mergeCell ref="G8:G9"/>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s>
  <pageMargins left="0.393999993801117" top="0.591000020503998" right="0.393999993801117" bottom="0.591000020503998" header="0" footer="0"/>
  <pageSetup orientation="landscape" fitToHeight="0" fitToWidth="1" cellComments="none"/>
  <drawing r:id="rId1"/>
</worksheet>
</file>

<file path=xl/worksheets/sheet3.xml><?xml version="1.0" encoding="utf-8"?>
<worksheet xmlns:r="http://schemas.openxmlformats.org/officeDocument/2006/relationships" xmlns="http://schemas.openxmlformats.org/spreadsheetml/2006/main">
  <sheetPr>
    <outlinePr summaryBelow="true" summaryRight="true"/>
    <pageSetUpPr fitToPage="true"/>
  </sheetPr>
  <dimension ref="A1:I37"/>
  <sheetViews>
    <sheetView workbookViewId="0" showZeros="true" showFormulas="false" showGridLines="true" showRowColHeaders="true">
      <selection sqref="A37:I37" activeCell="A37"/>
    </sheetView>
  </sheetViews>
  <sheetFormatPr defaultColWidth="12.140625" customHeight="true" defaultRowHeight="15"/>
  <cols>
    <col max="1" min="1" style="0" width="9.140625" customWidth="true"/>
    <col max="2" min="2" style="0" width="12.85546875" customWidth="true"/>
    <col max="3" min="3" style="0" width="27.140625" customWidth="true"/>
    <col max="4" min="4" style="0" width="10" customWidth="true"/>
    <col max="5" min="5" style="0" width="14" customWidth="true"/>
    <col max="6" min="6" style="0" width="27.140625" customWidth="true"/>
    <col max="7" min="7" style="0" width="9.140625" customWidth="true"/>
    <col max="8" min="8" style="0" width="12.85546875" customWidth="true"/>
    <col max="9" min="9" style="0" width="27.140625" customWidth="true"/>
  </cols>
  <sheetData>
    <row r="1" customHeight="true" ht="54.75">
      <c r="A1" s="169" t="s">
        <v>2184</v>
      </c>
      <c r="B1" s="1"/>
      <c r="C1" s="1"/>
      <c r="D1" s="1"/>
      <c r="E1" s="1"/>
      <c r="F1" s="1"/>
      <c r="G1" s="1"/>
      <c r="H1" s="1"/>
      <c r="I1" s="1"/>
    </row>
    <row r="2">
      <c r="A2" s="3" t="s">
        <v>1</v>
      </c>
      <c r="B2" s="4"/>
      <c r="C2" s="5">
        <f>'Stavební rozpočet'!C2</f>
      </c>
      <c r="D2" s="6"/>
      <c r="E2" s="7" t="s">
        <v>5</v>
      </c>
      <c r="F2" s="7">
        <f>'Stavební rozpočet'!I2</f>
      </c>
      <c r="G2" s="4"/>
      <c r="H2" s="7" t="s">
        <v>2185</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2185</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2185</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2186</v>
      </c>
      <c r="I8" s="170" t="n">
        <v>429</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2187</v>
      </c>
      <c r="I10" s="158">
        <f>'Stavební rozpočet'!G8</f>
      </c>
    </row>
    <row r="11">
      <c r="A11" s="171"/>
      <c r="B11" s="159"/>
      <c r="C11" s="159"/>
      <c r="D11" s="159"/>
      <c r="E11" s="159"/>
      <c r="F11" s="159"/>
      <c r="G11" s="159"/>
      <c r="H11" s="159"/>
      <c r="I11" s="172"/>
    </row>
    <row r="12">
      <c r="A12" s="173" t="s">
        <v>2188</v>
      </c>
      <c r="B12" s="173"/>
      <c r="C12" s="173"/>
      <c r="D12" s="173"/>
      <c r="E12" s="173"/>
      <c r="F12" s="173"/>
      <c r="G12" s="173"/>
      <c r="H12" s="173"/>
      <c r="I12" s="173"/>
    </row>
    <row r="13" customHeight="true" ht="26.25">
      <c r="A13" s="174" t="s">
        <v>2189</v>
      </c>
      <c r="B13" s="175" t="s">
        <v>2190</v>
      </c>
      <c r="C13" s="176"/>
      <c r="D13" s="177" t="s">
        <v>2191</v>
      </c>
      <c r="E13" s="175" t="s">
        <v>2192</v>
      </c>
      <c r="F13" s="176"/>
      <c r="G13" s="177" t="s">
        <v>2193</v>
      </c>
      <c r="H13" s="175" t="s">
        <v>2194</v>
      </c>
      <c r="I13" s="176"/>
    </row>
    <row r="14">
      <c r="A14" s="178" t="s">
        <v>2195</v>
      </c>
      <c r="B14" s="179" t="s">
        <v>2196</v>
      </c>
      <c r="C14" s="180">
        <f>SUM('Stavební rozpočet'!AB12:AB1347)</f>
      </c>
      <c r="D14" s="181" t="s">
        <v>2197</v>
      </c>
      <c r="E14" s="182"/>
      <c r="F14" s="180">
        <f>VORN!I15</f>
      </c>
      <c r="G14" s="181" t="s">
        <v>2198</v>
      </c>
      <c r="H14" s="182"/>
      <c r="I14" s="183">
        <f>VORN!I21</f>
      </c>
    </row>
    <row r="15">
      <c r="A15" s="184" t="s">
        <v>53</v>
      </c>
      <c r="B15" s="179" t="s">
        <v>38</v>
      </c>
      <c r="C15" s="180">
        <f>SUM('Stavební rozpočet'!AC12:AC1347)</f>
      </c>
      <c r="D15" s="181" t="s">
        <v>2199</v>
      </c>
      <c r="E15" s="182"/>
      <c r="F15" s="180">
        <f>VORN!I16</f>
      </c>
      <c r="G15" s="181" t="s">
        <v>2200</v>
      </c>
      <c r="H15" s="182"/>
      <c r="I15" s="183">
        <f>VORN!I22</f>
      </c>
    </row>
    <row r="16">
      <c r="A16" s="178" t="s">
        <v>2201</v>
      </c>
      <c r="B16" s="179" t="s">
        <v>2196</v>
      </c>
      <c r="C16" s="180">
        <f>SUM('Stavební rozpočet'!AD12:AD1347)</f>
      </c>
      <c r="D16" s="181" t="s">
        <v>2202</v>
      </c>
      <c r="E16" s="182"/>
      <c r="F16" s="180">
        <f>VORN!I17</f>
      </c>
      <c r="G16" s="181" t="s">
        <v>2203</v>
      </c>
      <c r="H16" s="182"/>
      <c r="I16" s="183">
        <f>VORN!I23</f>
      </c>
    </row>
    <row r="17">
      <c r="A17" s="184" t="s">
        <v>53</v>
      </c>
      <c r="B17" s="179" t="s">
        <v>38</v>
      </c>
      <c r="C17" s="180">
        <f>SUM('Stavební rozpočet'!AE12:AE1347)</f>
      </c>
      <c r="D17" s="181" t="s">
        <v>53</v>
      </c>
      <c r="E17" s="182"/>
      <c r="F17" s="183" t="s">
        <v>53</v>
      </c>
      <c r="G17" s="181" t="s">
        <v>2204</v>
      </c>
      <c r="H17" s="182"/>
      <c r="I17" s="183">
        <f>VORN!I24</f>
      </c>
    </row>
    <row r="18">
      <c r="A18" s="178" t="s">
        <v>2205</v>
      </c>
      <c r="B18" s="179" t="s">
        <v>2196</v>
      </c>
      <c r="C18" s="180">
        <f>SUM('Stavební rozpočet'!AF12:AF1347)</f>
      </c>
      <c r="D18" s="181" t="s">
        <v>53</v>
      </c>
      <c r="E18" s="182"/>
      <c r="F18" s="183" t="s">
        <v>53</v>
      </c>
      <c r="G18" s="181" t="s">
        <v>2206</v>
      </c>
      <c r="H18" s="182"/>
      <c r="I18" s="183">
        <f>VORN!I25</f>
      </c>
    </row>
    <row r="19">
      <c r="A19" s="184" t="s">
        <v>53</v>
      </c>
      <c r="B19" s="179" t="s">
        <v>38</v>
      </c>
      <c r="C19" s="180">
        <f>SUM('Stavební rozpočet'!AG12:AG1347)</f>
      </c>
      <c r="D19" s="181" t="s">
        <v>53</v>
      </c>
      <c r="E19" s="182"/>
      <c r="F19" s="183" t="s">
        <v>53</v>
      </c>
      <c r="G19" s="181" t="s">
        <v>2207</v>
      </c>
      <c r="H19" s="182"/>
      <c r="I19" s="183">
        <f>VORN!I26</f>
      </c>
    </row>
    <row r="20">
      <c r="A20" s="185" t="s">
        <v>2208</v>
      </c>
      <c r="B20" s="186"/>
      <c r="C20" s="180">
        <f>SUM('Stavební rozpočet'!AH12:AH1347)</f>
      </c>
      <c r="D20" s="181" t="s">
        <v>53</v>
      </c>
      <c r="E20" s="182"/>
      <c r="F20" s="183" t="s">
        <v>53</v>
      </c>
      <c r="G20" s="181" t="s">
        <v>53</v>
      </c>
      <c r="H20" s="182"/>
      <c r="I20" s="183" t="s">
        <v>53</v>
      </c>
    </row>
    <row r="21">
      <c r="A21" s="187" t="s">
        <v>2209</v>
      </c>
      <c r="B21" s="188"/>
      <c r="C21" s="189">
        <f>SUM('Stavební rozpočet'!Z12:Z1347)</f>
      </c>
      <c r="D21" s="190" t="s">
        <v>53</v>
      </c>
      <c r="E21" s="191"/>
      <c r="F21" s="192" t="s">
        <v>53</v>
      </c>
      <c r="G21" s="190" t="s">
        <v>53</v>
      </c>
      <c r="H21" s="191"/>
      <c r="I21" s="192" t="s">
        <v>53</v>
      </c>
    </row>
    <row r="22" customHeight="true" ht="16.5">
      <c r="A22" s="193" t="s">
        <v>2210</v>
      </c>
      <c r="B22" s="194"/>
      <c r="C22" s="195">
        <f>SUM(C14:C21)</f>
      </c>
      <c r="D22" s="196" t="s">
        <v>2211</v>
      </c>
      <c r="E22" s="194"/>
      <c r="F22" s="195">
        <f>SUM(F14:F21)</f>
      </c>
      <c r="G22" s="196" t="s">
        <v>2212</v>
      </c>
      <c r="H22" s="194"/>
      <c r="I22" s="195">
        <f>SUM(I14:I21)</f>
      </c>
    </row>
    <row r="23">
      <c r="D23" s="185" t="s">
        <v>2213</v>
      </c>
      <c r="E23" s="186"/>
      <c r="F23" s="180">
        <f>'Krycí list rozpočtu (D.1.1.)'!F22+'Krycí list rozpočtu (D.1.4.a)'!F22+'Krycí list rozpočtu (D.1.4.b)'!F22+'Krycí list rozpočtu (D.1.4.d)'!F22</f>
      </c>
      <c r="G23" s="197" t="s">
        <v>2214</v>
      </c>
      <c r="H23" s="186"/>
      <c r="I23" s="180">
        <f>'Krycí list rozpočtu (D.1.1.)'!I22+'Krycí list rozpočtu (D.1.4.a)'!I22+'Krycí list rozpočtu (D.1.4.b)'!I22+'Krycí list rozpočtu (D.1.4.d)'!I22</f>
      </c>
    </row>
    <row r="24">
      <c r="G24" s="185" t="s">
        <v>2215</v>
      </c>
      <c r="H24" s="186"/>
      <c r="I24" s="189">
        <f>vorn_sum</f>
      </c>
    </row>
    <row r="25">
      <c r="G25" s="185" t="s">
        <v>2216</v>
      </c>
      <c r="H25" s="186"/>
      <c r="I25" s="195">
        <f>'Krycí list rozpočtu (D.1.1.)'!I23+'Krycí list rozpočtu (D.1.4.a)'!I23+'Krycí list rozpočtu (D.1.4.b)'!I23+'Krycí list rozpočtu (D.1.4.d)'!I23</f>
      </c>
    </row>
    <row r="27">
      <c r="A27" s="198" t="s">
        <v>2217</v>
      </c>
      <c r="B27" s="199"/>
      <c r="C27" s="200">
        <f>SUM('Stavební rozpočet'!AJ12:AJ1347)</f>
      </c>
    </row>
    <row r="28">
      <c r="A28" s="201" t="s">
        <v>2218</v>
      </c>
      <c r="B28" s="202"/>
      <c r="C28" s="203">
        <f>SUM('Stavební rozpočet'!AK12:AK1347)</f>
      </c>
      <c r="D28" s="204" t="s">
        <v>2219</v>
      </c>
      <c r="E28" s="199"/>
      <c r="F28" s="200">
        <f>ROUND(C28*(12/100),2)</f>
      </c>
      <c r="G28" s="204" t="s">
        <v>2220</v>
      </c>
      <c r="H28" s="199"/>
      <c r="I28" s="200">
        <f>SUM(C27:C29)</f>
      </c>
    </row>
    <row r="29">
      <c r="A29" s="201" t="s">
        <v>2221</v>
      </c>
      <c r="B29" s="202"/>
      <c r="C29" s="203">
        <f>SUM('Stavební rozpočet'!AL12:AL1347)+(F22+I22+F23+I23+I24+I25)</f>
      </c>
      <c r="D29" s="205" t="s">
        <v>2222</v>
      </c>
      <c r="E29" s="202"/>
      <c r="F29" s="203">
        <f>ROUND(C29*(21/100),2)</f>
      </c>
      <c r="G29" s="205" t="s">
        <v>2223</v>
      </c>
      <c r="H29" s="202"/>
      <c r="I29" s="203">
        <f>SUM(F28:F29)+I28</f>
      </c>
    </row>
    <row r="31">
      <c r="A31" s="206" t="s">
        <v>2224</v>
      </c>
      <c r="B31" s="207"/>
      <c r="C31" s="208"/>
      <c r="D31" s="209" t="s">
        <v>2225</v>
      </c>
      <c r="E31" s="207"/>
      <c r="F31" s="208"/>
      <c r="G31" s="209" t="s">
        <v>2226</v>
      </c>
      <c r="H31" s="207"/>
      <c r="I31" s="208"/>
    </row>
    <row r="32">
      <c r="A32" s="210" t="s">
        <v>53</v>
      </c>
      <c r="B32" s="211"/>
      <c r="C32" s="212"/>
      <c r="D32" s="213" t="s">
        <v>53</v>
      </c>
      <c r="E32" s="211"/>
      <c r="F32" s="212"/>
      <c r="G32" s="213" t="s">
        <v>53</v>
      </c>
      <c r="H32" s="211"/>
      <c r="I32" s="212"/>
    </row>
    <row r="33">
      <c r="A33" s="210" t="s">
        <v>53</v>
      </c>
      <c r="B33" s="211"/>
      <c r="C33" s="212"/>
      <c r="D33" s="213" t="s">
        <v>53</v>
      </c>
      <c r="E33" s="211"/>
      <c r="F33" s="212"/>
      <c r="G33" s="213" t="s">
        <v>53</v>
      </c>
      <c r="H33" s="211"/>
      <c r="I33" s="212"/>
    </row>
    <row r="34">
      <c r="A34" s="210" t="s">
        <v>53</v>
      </c>
      <c r="B34" s="211"/>
      <c r="C34" s="212"/>
      <c r="D34" s="213" t="s">
        <v>53</v>
      </c>
      <c r="E34" s="211"/>
      <c r="F34" s="212"/>
      <c r="G34" s="213" t="s">
        <v>53</v>
      </c>
      <c r="H34" s="211"/>
      <c r="I34" s="212"/>
    </row>
    <row r="35">
      <c r="A35" s="214" t="s">
        <v>2227</v>
      </c>
      <c r="B35" s="215"/>
      <c r="C35" s="216"/>
      <c r="D35" s="217" t="s">
        <v>2227</v>
      </c>
      <c r="E35" s="215"/>
      <c r="F35" s="216"/>
      <c r="G35" s="217" t="s">
        <v>2227</v>
      </c>
      <c r="H35" s="215"/>
      <c r="I35" s="216"/>
    </row>
    <row r="36">
      <c r="A36" s="218" t="s">
        <v>267</v>
      </c>
    </row>
    <row r="37" customHeight="true" ht="12.75">
      <c r="A37" s="14" t="s">
        <v>53</v>
      </c>
      <c r="B37" s="10"/>
      <c r="C37" s="10"/>
      <c r="D37" s="10"/>
      <c r="E37" s="10"/>
      <c r="F37" s="10"/>
      <c r="G37" s="10"/>
      <c r="H37" s="10"/>
      <c r="I37" s="10"/>
    </row>
  </sheetData>
  <mergeCells>
    <mergeCell ref="A1:I1"/>
    <mergeCell ref="A2:B3"/>
    <mergeCell ref="A4:B5"/>
    <mergeCell ref="A6:B7"/>
    <mergeCell ref="A8:B9"/>
    <mergeCell ref="A10:B11"/>
    <mergeCell ref="E2:E3"/>
    <mergeCell ref="E4:E5"/>
    <mergeCell ref="E6:E7"/>
    <mergeCell ref="E8:E9"/>
    <mergeCell ref="E10:E11"/>
    <mergeCell ref="C2:D3"/>
    <mergeCell ref="C4:D5"/>
    <mergeCell ref="C6:D7"/>
    <mergeCell ref="C8:D9"/>
    <mergeCell ref="C10:D11"/>
    <mergeCell ref="F2:G3"/>
    <mergeCell ref="F4:G5"/>
    <mergeCell ref="F6:G7"/>
    <mergeCell ref="F8:G9"/>
    <mergeCell ref="F10:G11"/>
    <mergeCell ref="H2:H3"/>
    <mergeCell ref="H4:H5"/>
    <mergeCell ref="H6:H7"/>
    <mergeCell ref="H8:H9"/>
    <mergeCell ref="H10:H11"/>
    <mergeCell ref="I2:I3"/>
    <mergeCell ref="I4:I5"/>
    <mergeCell ref="I6:I7"/>
    <mergeCell ref="I8:I9"/>
    <mergeCell ref="I10:I11"/>
    <mergeCell ref="A12:I12"/>
    <mergeCell ref="B13:C13"/>
    <mergeCell ref="E13:F13"/>
    <mergeCell ref="H13:I13"/>
    <mergeCell ref="A20:B20"/>
    <mergeCell ref="A21:B21"/>
    <mergeCell ref="A22:B22"/>
    <mergeCell ref="D14:E14"/>
    <mergeCell ref="D15:E15"/>
    <mergeCell ref="D16:E16"/>
    <mergeCell ref="D17:E17"/>
    <mergeCell ref="D18:E18"/>
    <mergeCell ref="D19:E19"/>
    <mergeCell ref="D20:E20"/>
    <mergeCell ref="D21:E21"/>
    <mergeCell ref="D22:E22"/>
    <mergeCell ref="D23:E23"/>
    <mergeCell ref="G14:H14"/>
    <mergeCell ref="G15:H15"/>
    <mergeCell ref="G16:H16"/>
    <mergeCell ref="G17:H17"/>
    <mergeCell ref="G18:H18"/>
    <mergeCell ref="G19:H19"/>
    <mergeCell ref="G20:H20"/>
    <mergeCell ref="G21:H21"/>
    <mergeCell ref="G22:H22"/>
    <mergeCell ref="G23:H23"/>
    <mergeCell ref="G24:H24"/>
    <mergeCell ref="G25:H25"/>
    <mergeCell ref="A27:B27"/>
    <mergeCell ref="A28:B28"/>
    <mergeCell ref="A29:B29"/>
    <mergeCell ref="D28:E28"/>
    <mergeCell ref="D29:E29"/>
    <mergeCell ref="G28:H28"/>
    <mergeCell ref="G29:H29"/>
    <mergeCell ref="A31:C31"/>
    <mergeCell ref="A32:C32"/>
    <mergeCell ref="A33:C33"/>
    <mergeCell ref="A34:C34"/>
    <mergeCell ref="A35:C35"/>
    <mergeCell ref="D31:F31"/>
    <mergeCell ref="D32:F32"/>
    <mergeCell ref="D33:F33"/>
    <mergeCell ref="D34:F34"/>
    <mergeCell ref="D35:F35"/>
    <mergeCell ref="G31:I31"/>
    <mergeCell ref="G32:I32"/>
    <mergeCell ref="G33:I33"/>
    <mergeCell ref="G34:I34"/>
    <mergeCell ref="G35:I35"/>
    <mergeCell ref="A37:I37"/>
  </mergeCells>
  <pageMargins left="0.393999993801117" top="0.591000020503998" right="0.393999993801117" bottom="0.591000020503998" header="0" footer="0"/>
  <pageSetup orientation="landscape" fitToHeight="1" fitToWidth="1" cellComments="none"/>
  <drawing r:id="rId1"/>
</worksheet>
</file>

<file path=xl/worksheets/sheet4.xml><?xml version="1.0" encoding="utf-8"?>
<worksheet xmlns:r="http://schemas.openxmlformats.org/officeDocument/2006/relationships" xmlns="http://schemas.openxmlformats.org/spreadsheetml/2006/main">
  <sheetPr>
    <outlinePr summaryBelow="true" summaryRight="true"/>
    <pageSetUpPr fitToPage="true"/>
  </sheetPr>
  <dimension ref="A1:I36"/>
  <sheetViews>
    <sheetView workbookViewId="0" showZeros="true" showFormulas="false" showGridLines="true" showRowColHeaders="true">
      <selection sqref="A36:E36" activeCell="A36"/>
    </sheetView>
  </sheetViews>
  <sheetFormatPr defaultColWidth="12.140625" customHeight="true" defaultRowHeight="15"/>
  <cols>
    <col max="1" min="1" style="0" width="9.140625" customWidth="true"/>
    <col max="2" min="2" style="0" width="12.85546875" customWidth="true"/>
    <col max="3" min="3" style="0" width="22.85546875" customWidth="true"/>
    <col max="4" min="4" style="0" width="10" customWidth="true"/>
    <col max="5" min="5" style="0" width="14" customWidth="true"/>
    <col max="6" min="6" style="0" width="22.85546875" customWidth="true"/>
    <col max="7" min="7" style="0" width="9.140625" customWidth="true"/>
    <col max="8" min="8" style="0" width="17.140625" customWidth="true"/>
    <col max="9" min="9" style="0" width="22.85546875" customWidth="true"/>
  </cols>
  <sheetData>
    <row r="1" customHeight="true" ht="54.75">
      <c r="A1" s="169" t="s">
        <v>2228</v>
      </c>
      <c r="B1" s="1"/>
      <c r="C1" s="1"/>
      <c r="D1" s="1"/>
      <c r="E1" s="1"/>
      <c r="F1" s="1"/>
      <c r="G1" s="1"/>
      <c r="H1" s="1"/>
      <c r="I1" s="1"/>
    </row>
    <row r="2">
      <c r="A2" s="3" t="s">
        <v>1</v>
      </c>
      <c r="B2" s="4"/>
      <c r="C2" s="5">
        <f>'Stavební rozpočet'!C2</f>
      </c>
      <c r="D2" s="6"/>
      <c r="E2" s="7" t="s">
        <v>5</v>
      </c>
      <c r="F2" s="7">
        <f>'Stavební rozpočet'!I2</f>
      </c>
      <c r="G2" s="4"/>
      <c r="H2" s="7" t="s">
        <v>2185</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2185</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2185</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2186</v>
      </c>
      <c r="I8" s="170" t="n">
        <v>429</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2187</v>
      </c>
      <c r="I10" s="158">
        <f>'Stavební rozpočet'!G8</f>
      </c>
    </row>
    <row r="11">
      <c r="A11" s="171"/>
      <c r="B11" s="159"/>
      <c r="C11" s="159"/>
      <c r="D11" s="159"/>
      <c r="E11" s="159"/>
      <c r="F11" s="159"/>
      <c r="G11" s="159"/>
      <c r="H11" s="159"/>
      <c r="I11" s="172"/>
    </row>
    <row r="13">
      <c r="A13" s="219" t="s">
        <v>2229</v>
      </c>
      <c r="B13" s="219"/>
      <c r="C13" s="219"/>
      <c r="D13" s="219"/>
      <c r="E13" s="219"/>
    </row>
    <row r="14">
      <c r="A14" s="220" t="s">
        <v>2230</v>
      </c>
      <c r="B14" s="221"/>
      <c r="C14" s="221"/>
      <c r="D14" s="221"/>
      <c r="E14" s="222"/>
      <c r="F14" s="223" t="s">
        <v>2231</v>
      </c>
      <c r="G14" s="223" t="s">
        <v>1108</v>
      </c>
      <c r="H14" s="223" t="s">
        <v>2232</v>
      </c>
      <c r="I14" s="223" t="s">
        <v>2231</v>
      </c>
    </row>
    <row r="15">
      <c r="A15" s="224" t="s">
        <v>2197</v>
      </c>
      <c r="B15" s="225"/>
      <c r="C15" s="225"/>
      <c r="D15" s="225"/>
      <c r="E15" s="226"/>
      <c r="F15" s="227" t="n">
        <v>0</v>
      </c>
      <c r="G15" s="228" t="s">
        <v>53</v>
      </c>
      <c r="H15" s="228" t="s">
        <v>53</v>
      </c>
      <c r="I15" s="227">
        <f>F15</f>
      </c>
    </row>
    <row r="16">
      <c r="A16" s="224" t="s">
        <v>2199</v>
      </c>
      <c r="B16" s="225"/>
      <c r="C16" s="225"/>
      <c r="D16" s="225"/>
      <c r="E16" s="226"/>
      <c r="F16" s="227" t="n">
        <v>0</v>
      </c>
      <c r="G16" s="228" t="s">
        <v>53</v>
      </c>
      <c r="H16" s="228" t="s">
        <v>53</v>
      </c>
      <c r="I16" s="227">
        <f>F16</f>
      </c>
    </row>
    <row r="17">
      <c r="A17" s="229" t="s">
        <v>2202</v>
      </c>
      <c r="B17" s="230"/>
      <c r="C17" s="230"/>
      <c r="D17" s="230"/>
      <c r="E17" s="231"/>
      <c r="F17" s="232" t="n">
        <v>0</v>
      </c>
      <c r="G17" s="233" t="s">
        <v>53</v>
      </c>
      <c r="H17" s="233" t="s">
        <v>53</v>
      </c>
      <c r="I17" s="232">
        <f>F17</f>
      </c>
    </row>
    <row r="18">
      <c r="A18" s="234" t="s">
        <v>2233</v>
      </c>
      <c r="B18" s="235"/>
      <c r="C18" s="235"/>
      <c r="D18" s="235"/>
      <c r="E18" s="236"/>
      <c r="F18" s="237" t="s">
        <v>53</v>
      </c>
      <c r="G18" s="238" t="s">
        <v>53</v>
      </c>
      <c r="H18" s="238" t="s">
        <v>53</v>
      </c>
      <c r="I18" s="239">
        <f>SUM(I15:I17)</f>
      </c>
    </row>
    <row r="20">
      <c r="A20" s="220" t="s">
        <v>2194</v>
      </c>
      <c r="B20" s="221"/>
      <c r="C20" s="221"/>
      <c r="D20" s="221"/>
      <c r="E20" s="222"/>
      <c r="F20" s="223" t="s">
        <v>2231</v>
      </c>
      <c r="G20" s="223" t="s">
        <v>1108</v>
      </c>
      <c r="H20" s="223" t="s">
        <v>2232</v>
      </c>
      <c r="I20" s="223" t="s">
        <v>2231</v>
      </c>
    </row>
    <row r="21">
      <c r="A21" s="224" t="s">
        <v>2198</v>
      </c>
      <c r="B21" s="225"/>
      <c r="C21" s="225"/>
      <c r="D21" s="225"/>
      <c r="E21" s="226"/>
      <c r="F21" s="227" t="n">
        <v>0</v>
      </c>
      <c r="G21" s="228" t="s">
        <v>53</v>
      </c>
      <c r="H21" s="228" t="s">
        <v>53</v>
      </c>
      <c r="I21" s="227">
        <f>F21</f>
      </c>
    </row>
    <row r="22">
      <c r="A22" s="224" t="s">
        <v>2200</v>
      </c>
      <c r="B22" s="225"/>
      <c r="C22" s="225"/>
      <c r="D22" s="225"/>
      <c r="E22" s="226"/>
      <c r="F22" s="227" t="n">
        <v>0</v>
      </c>
      <c r="G22" s="228" t="s">
        <v>53</v>
      </c>
      <c r="H22" s="228" t="s">
        <v>53</v>
      </c>
      <c r="I22" s="227">
        <f>F22</f>
      </c>
    </row>
    <row r="23">
      <c r="A23" s="224" t="s">
        <v>2203</v>
      </c>
      <c r="B23" s="225"/>
      <c r="C23" s="225"/>
      <c r="D23" s="225"/>
      <c r="E23" s="226"/>
      <c r="F23" s="227" t="n">
        <v>0</v>
      </c>
      <c r="G23" s="228" t="s">
        <v>53</v>
      </c>
      <c r="H23" s="228" t="s">
        <v>53</v>
      </c>
      <c r="I23" s="227">
        <f>F23</f>
      </c>
    </row>
    <row r="24">
      <c r="A24" s="224" t="s">
        <v>2204</v>
      </c>
      <c r="B24" s="225"/>
      <c r="C24" s="225"/>
      <c r="D24" s="225"/>
      <c r="E24" s="226"/>
      <c r="F24" s="227" t="n">
        <v>0</v>
      </c>
      <c r="G24" s="228" t="s">
        <v>53</v>
      </c>
      <c r="H24" s="228" t="s">
        <v>53</v>
      </c>
      <c r="I24" s="227">
        <f>F24</f>
      </c>
    </row>
    <row r="25">
      <c r="A25" s="224" t="s">
        <v>2206</v>
      </c>
      <c r="B25" s="225"/>
      <c r="C25" s="225"/>
      <c r="D25" s="225"/>
      <c r="E25" s="226"/>
      <c r="F25" s="227" t="n">
        <v>0</v>
      </c>
      <c r="G25" s="228" t="s">
        <v>53</v>
      </c>
      <c r="H25" s="228" t="s">
        <v>53</v>
      </c>
      <c r="I25" s="227">
        <f>F25</f>
      </c>
    </row>
    <row r="26">
      <c r="A26" s="229" t="s">
        <v>2207</v>
      </c>
      <c r="B26" s="230"/>
      <c r="C26" s="230"/>
      <c r="D26" s="230"/>
      <c r="E26" s="231"/>
      <c r="F26" s="232" t="n">
        <v>0</v>
      </c>
      <c r="G26" s="233" t="s">
        <v>53</v>
      </c>
      <c r="H26" s="233" t="s">
        <v>53</v>
      </c>
      <c r="I26" s="232">
        <f>F26</f>
      </c>
    </row>
    <row r="27">
      <c r="A27" s="234" t="s">
        <v>2234</v>
      </c>
      <c r="B27" s="235"/>
      <c r="C27" s="235"/>
      <c r="D27" s="235"/>
      <c r="E27" s="236"/>
      <c r="F27" s="237" t="s">
        <v>53</v>
      </c>
      <c r="G27" s="238" t="s">
        <v>53</v>
      </c>
      <c r="H27" s="238" t="s">
        <v>53</v>
      </c>
      <c r="I27" s="239">
        <f>SUM(I21:I26)</f>
      </c>
    </row>
    <row r="29">
      <c r="A29" s="240" t="s">
        <v>2235</v>
      </c>
      <c r="B29" s="241"/>
      <c r="C29" s="241"/>
      <c r="D29" s="241"/>
      <c r="E29" s="242"/>
      <c r="F29" s="243">
        <f>I18+I27</f>
      </c>
      <c r="G29" s="244"/>
      <c r="H29" s="244"/>
      <c r="I29" s="245"/>
    </row>
    <row r="33">
      <c r="A33" s="219" t="s">
        <v>2236</v>
      </c>
      <c r="B33" s="219"/>
      <c r="C33" s="219"/>
      <c r="D33" s="219"/>
      <c r="E33" s="219"/>
    </row>
    <row r="34">
      <c r="A34" s="220" t="s">
        <v>2237</v>
      </c>
      <c r="B34" s="221"/>
      <c r="C34" s="221"/>
      <c r="D34" s="221"/>
      <c r="E34" s="222"/>
      <c r="F34" s="223" t="s">
        <v>2231</v>
      </c>
      <c r="G34" s="223" t="s">
        <v>1108</v>
      </c>
      <c r="H34" s="223" t="s">
        <v>2232</v>
      </c>
      <c r="I34" s="223" t="s">
        <v>2231</v>
      </c>
    </row>
    <row r="35">
      <c r="A35" s="229" t="s">
        <v>53</v>
      </c>
      <c r="B35" s="230"/>
      <c r="C35" s="230"/>
      <c r="D35" s="230"/>
      <c r="E35" s="231"/>
      <c r="F35" s="232" t="n">
        <v>0</v>
      </c>
      <c r="G35" s="233" t="s">
        <v>53</v>
      </c>
      <c r="H35" s="233" t="s">
        <v>53</v>
      </c>
      <c r="I35" s="232">
        <f>F35</f>
      </c>
    </row>
    <row r="36">
      <c r="A36" s="234" t="s">
        <v>2238</v>
      </c>
      <c r="B36" s="235"/>
      <c r="C36" s="235"/>
      <c r="D36" s="235"/>
      <c r="E36" s="236"/>
      <c r="F36" s="237" t="s">
        <v>53</v>
      </c>
      <c r="G36" s="238" t="s">
        <v>53</v>
      </c>
      <c r="H36" s="238" t="s">
        <v>53</v>
      </c>
      <c r="I36" s="239">
        <f>SUM(I35:I35)</f>
      </c>
    </row>
  </sheetData>
  <mergeCells>
    <mergeCell ref="A1:I1"/>
    <mergeCell ref="A2:B3"/>
    <mergeCell ref="A4:B5"/>
    <mergeCell ref="A6:B7"/>
    <mergeCell ref="A8:B9"/>
    <mergeCell ref="A10:B11"/>
    <mergeCell ref="E2:E3"/>
    <mergeCell ref="E4:E5"/>
    <mergeCell ref="E6:E7"/>
    <mergeCell ref="E8:E9"/>
    <mergeCell ref="E10:E11"/>
    <mergeCell ref="H2:H3"/>
    <mergeCell ref="H4:H5"/>
    <mergeCell ref="H6:H7"/>
    <mergeCell ref="H8:H9"/>
    <mergeCell ref="H10:H11"/>
    <mergeCell ref="C2:D3"/>
    <mergeCell ref="C4:D5"/>
    <mergeCell ref="C6:D7"/>
    <mergeCell ref="C8:D9"/>
    <mergeCell ref="C10:D11"/>
    <mergeCell ref="F2:G3"/>
    <mergeCell ref="F4:G5"/>
    <mergeCell ref="F6:G7"/>
    <mergeCell ref="F8:G9"/>
    <mergeCell ref="F10:G11"/>
    <mergeCell ref="I2:I3"/>
    <mergeCell ref="I4:I5"/>
    <mergeCell ref="I6:I7"/>
    <mergeCell ref="I8:I9"/>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ageMargins left="0.393999993801117" top="0.591000020503998" right="0.393999993801117" bottom="0.591000020503998" header="0" footer="0"/>
  <pageSetup orientation="landscape" fitToHeight="0" fitToWidth="1" cellComments="none"/>
  <drawing r:id="rId1"/>
</worksheet>
</file>

<file path=xl/worksheets/sheet5.xml><?xml version="1.0" encoding="utf-8"?>
<worksheet xmlns:r="http://schemas.openxmlformats.org/officeDocument/2006/relationships" xmlns="http://schemas.openxmlformats.org/spreadsheetml/2006/main">
  <sheetPr>
    <outlinePr summaryBelow="true" summaryRight="true"/>
    <pageSetUpPr fitToPage="true"/>
  </sheetPr>
  <dimension ref="A1:I35"/>
  <sheetViews>
    <sheetView workbookViewId="0" showZeros="true" showFormulas="false" showGridLines="true" showRowColHeaders="true">
      <selection sqref="A35:I35" activeCell="A35"/>
    </sheetView>
  </sheetViews>
  <sheetFormatPr defaultColWidth="12.140625" customHeight="true" defaultRowHeight="15"/>
  <cols>
    <col max="1" min="1" style="0" width="9.140625" customWidth="true"/>
    <col max="2" min="2" style="0" width="12.85546875" customWidth="true"/>
    <col max="3" min="3" style="0" width="27.140625" customWidth="true"/>
    <col max="4" min="4" style="0" width="10" customWidth="true"/>
    <col max="5" min="5" style="0" width="14" customWidth="true"/>
    <col max="6" min="6" style="0" width="27.140625" customWidth="true"/>
    <col max="7" min="7" style="0" width="9.140625" customWidth="true"/>
    <col max="8" min="8" style="0" width="12.85546875" customWidth="true"/>
    <col max="9" min="9" style="0" width="27.140625" customWidth="true"/>
  </cols>
  <sheetData>
    <row r="1" customHeight="true" ht="54.75">
      <c r="A1" s="169" t="s">
        <v>2239</v>
      </c>
      <c r="B1" s="1"/>
      <c r="C1" s="1"/>
      <c r="D1" s="1"/>
      <c r="E1" s="1"/>
      <c r="F1" s="1"/>
      <c r="G1" s="1"/>
      <c r="H1" s="1"/>
      <c r="I1" s="1"/>
    </row>
    <row r="2">
      <c r="A2" s="3" t="s">
        <v>1</v>
      </c>
      <c r="B2" s="4"/>
      <c r="C2" s="5">
        <f>'Stavební rozpočet'!C2</f>
      </c>
      <c r="D2" s="6"/>
      <c r="E2" s="7" t="s">
        <v>5</v>
      </c>
      <c r="F2" s="7">
        <f>'Stavební rozpočet'!I2</f>
      </c>
      <c r="G2" s="4"/>
      <c r="H2" s="7" t="s">
        <v>2185</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2185</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2185</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2186</v>
      </c>
      <c r="I8" s="170" t="n">
        <v>228</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2187</v>
      </c>
      <c r="I10" s="158">
        <f>'Stavební rozpočet'!G8</f>
      </c>
    </row>
    <row r="11">
      <c r="A11" s="171"/>
      <c r="B11" s="159"/>
      <c r="C11" s="159"/>
      <c r="D11" s="159"/>
      <c r="E11" s="159"/>
      <c r="F11" s="159"/>
      <c r="G11" s="159"/>
      <c r="H11" s="159"/>
      <c r="I11" s="172"/>
    </row>
    <row r="12">
      <c r="A12" s="173" t="s">
        <v>2188</v>
      </c>
      <c r="B12" s="173"/>
      <c r="C12" s="173"/>
      <c r="D12" s="173"/>
      <c r="E12" s="173"/>
      <c r="F12" s="173"/>
      <c r="G12" s="173"/>
      <c r="H12" s="173"/>
      <c r="I12" s="173"/>
    </row>
    <row r="13" customHeight="true" ht="26.25">
      <c r="A13" s="174" t="s">
        <v>2189</v>
      </c>
      <c r="B13" s="175" t="s">
        <v>2190</v>
      </c>
      <c r="C13" s="176"/>
      <c r="D13" s="177" t="s">
        <v>2191</v>
      </c>
      <c r="E13" s="175" t="s">
        <v>2192</v>
      </c>
      <c r="F13" s="176"/>
      <c r="G13" s="177" t="s">
        <v>2193</v>
      </c>
      <c r="H13" s="175" t="s">
        <v>2194</v>
      </c>
      <c r="I13" s="176"/>
    </row>
    <row r="14">
      <c r="A14" s="178" t="s">
        <v>2195</v>
      </c>
      <c r="B14" s="179" t="s">
        <v>2196</v>
      </c>
      <c r="C14" s="180">
        <f>SUMIF('Stavební rozpočet'!AI12:AI1347,"D.1.1.",'Stavební rozpočet'!AB12:AB1347)</f>
      </c>
      <c r="D14" s="181" t="s">
        <v>2197</v>
      </c>
      <c r="E14" s="182"/>
      <c r="F14" s="180">
        <f>'VORN objektu (D.1.1.)'!I15</f>
      </c>
      <c r="G14" s="181" t="s">
        <v>2198</v>
      </c>
      <c r="H14" s="182"/>
      <c r="I14" s="183">
        <f>'VORN objektu (D.1.1.)'!I21</f>
      </c>
    </row>
    <row r="15">
      <c r="A15" s="184" t="s">
        <v>53</v>
      </c>
      <c r="B15" s="179" t="s">
        <v>38</v>
      </c>
      <c r="C15" s="180">
        <f>SUMIF('Stavební rozpočet'!AI12:AI1347,"D.1.1.",'Stavební rozpočet'!AC12:AC1347)</f>
      </c>
      <c r="D15" s="181" t="s">
        <v>2199</v>
      </c>
      <c r="E15" s="182"/>
      <c r="F15" s="180">
        <f>'VORN objektu (D.1.1.)'!I16</f>
      </c>
      <c r="G15" s="181" t="s">
        <v>2200</v>
      </c>
      <c r="H15" s="182"/>
      <c r="I15" s="183">
        <f>'VORN objektu (D.1.1.)'!I22</f>
      </c>
    </row>
    <row r="16">
      <c r="A16" s="178" t="s">
        <v>2201</v>
      </c>
      <c r="B16" s="179" t="s">
        <v>2196</v>
      </c>
      <c r="C16" s="180">
        <f>SUMIF('Stavební rozpočet'!AI12:AI1347,"D.1.1.",'Stavební rozpočet'!AD12:AD1347)</f>
      </c>
      <c r="D16" s="181" t="s">
        <v>2202</v>
      </c>
      <c r="E16" s="182"/>
      <c r="F16" s="180">
        <f>'VORN objektu (D.1.1.)'!I17</f>
      </c>
      <c r="G16" s="181" t="s">
        <v>2203</v>
      </c>
      <c r="H16" s="182"/>
      <c r="I16" s="183">
        <f>'VORN objektu (D.1.1.)'!I23</f>
      </c>
    </row>
    <row r="17">
      <c r="A17" s="184" t="s">
        <v>53</v>
      </c>
      <c r="B17" s="179" t="s">
        <v>38</v>
      </c>
      <c r="C17" s="180">
        <f>SUMIF('Stavební rozpočet'!AI12:AI1347,"D.1.1.",'Stavební rozpočet'!AE12:AE1347)</f>
      </c>
      <c r="D17" s="181" t="s">
        <v>53</v>
      </c>
      <c r="E17" s="182"/>
      <c r="F17" s="183" t="s">
        <v>53</v>
      </c>
      <c r="G17" s="181" t="s">
        <v>2204</v>
      </c>
      <c r="H17" s="182"/>
      <c r="I17" s="183">
        <f>'VORN objektu (D.1.1.)'!I24</f>
      </c>
    </row>
    <row r="18">
      <c r="A18" s="178" t="s">
        <v>2205</v>
      </c>
      <c r="B18" s="179" t="s">
        <v>2196</v>
      </c>
      <c r="C18" s="180">
        <f>SUMIF('Stavební rozpočet'!AI12:AI1347,"D.1.1.",'Stavební rozpočet'!AF12:AF1347)</f>
      </c>
      <c r="D18" s="181" t="s">
        <v>53</v>
      </c>
      <c r="E18" s="182"/>
      <c r="F18" s="183" t="s">
        <v>53</v>
      </c>
      <c r="G18" s="181" t="s">
        <v>2206</v>
      </c>
      <c r="H18" s="182"/>
      <c r="I18" s="183">
        <f>'VORN objektu (D.1.1.)'!I25</f>
      </c>
    </row>
    <row r="19">
      <c r="A19" s="184" t="s">
        <v>53</v>
      </c>
      <c r="B19" s="179" t="s">
        <v>38</v>
      </c>
      <c r="C19" s="180">
        <f>SUMIF('Stavební rozpočet'!AI12:AI1347,"D.1.1.",'Stavební rozpočet'!AG12:AG1347)</f>
      </c>
      <c r="D19" s="181" t="s">
        <v>53</v>
      </c>
      <c r="E19" s="182"/>
      <c r="F19" s="183" t="s">
        <v>53</v>
      </c>
      <c r="G19" s="181" t="s">
        <v>2207</v>
      </c>
      <c r="H19" s="182"/>
      <c r="I19" s="183">
        <f>'VORN objektu (D.1.1.)'!I26</f>
      </c>
    </row>
    <row r="20">
      <c r="A20" s="185" t="s">
        <v>2208</v>
      </c>
      <c r="B20" s="186"/>
      <c r="C20" s="180">
        <f>SUMIF('Stavební rozpočet'!AI12:AI1347,"D.1.1.",'Stavební rozpočet'!AH12:AH1347)</f>
      </c>
      <c r="D20" s="181" t="s">
        <v>53</v>
      </c>
      <c r="E20" s="182"/>
      <c r="F20" s="183" t="s">
        <v>53</v>
      </c>
      <c r="G20" s="181" t="s">
        <v>53</v>
      </c>
      <c r="H20" s="182"/>
      <c r="I20" s="183" t="s">
        <v>53</v>
      </c>
    </row>
    <row r="21">
      <c r="A21" s="187" t="s">
        <v>2209</v>
      </c>
      <c r="B21" s="188"/>
      <c r="C21" s="180">
        <f>SUMIF('Stavební rozpočet'!AI12:AI1347,"D.1.1.",'Stavební rozpočet'!Z12:Z1347)</f>
      </c>
      <c r="D21" s="190" t="s">
        <v>53</v>
      </c>
      <c r="E21" s="191"/>
      <c r="F21" s="192" t="s">
        <v>53</v>
      </c>
      <c r="G21" s="190" t="s">
        <v>53</v>
      </c>
      <c r="H21" s="191"/>
      <c r="I21" s="192" t="s">
        <v>53</v>
      </c>
    </row>
    <row r="22" customHeight="true" ht="16.5">
      <c r="A22" s="193" t="s">
        <v>2210</v>
      </c>
      <c r="B22" s="194"/>
      <c r="C22" s="180">
        <f>SUM(C14:C21)</f>
      </c>
      <c r="D22" s="196" t="s">
        <v>2211</v>
      </c>
      <c r="E22" s="194"/>
      <c r="F22" s="195">
        <f>SUM(F14:F21)</f>
      </c>
      <c r="G22" s="196" t="s">
        <v>2212</v>
      </c>
      <c r="H22" s="194"/>
      <c r="I22" s="195">
        <f>SUM(I14:I21)</f>
      </c>
    </row>
    <row r="23">
      <c r="G23" s="185" t="s">
        <v>2215</v>
      </c>
      <c r="H23" s="186"/>
      <c r="I23" s="180">
        <f>'VORN objektu (D.1.1.)'!I36</f>
      </c>
    </row>
    <row r="25">
      <c r="A25" s="198" t="s">
        <v>2217</v>
      </c>
      <c r="B25" s="199"/>
      <c r="C25" s="200">
        <f>('Stavební rozpočet'!AS13+'Stavební rozpočet'!AS16+'Stavební rozpočet'!AS25+'Stavební rozpočet'!AS34+'Stavební rozpočet'!AS38+'Stavební rozpočet'!AS103+'Stavební rozpočet'!AS122+'Stavební rozpočet'!AS127+'Stavební rozpočet'!AS132+'Stavební rozpočet'!AS143+'Stavební rozpočet'!AS149+'Stavební rozpočet'!AS177+'Stavební rozpočet'!AS191+'Stavební rozpočet'!AS284+'Stavební rozpočet'!AS427+'Stavební rozpočet'!AS544+'Stavební rozpočet'!AS580+'Stavební rozpočet'!AS674+'Stavební rozpočet'!AS703+'Stavební rozpočet'!AS737+'Stavební rozpočet'!AS765+'Stavební rozpočet'!AS799+'Stavební rozpočet'!AS830+'Stavební rozpočet'!AS844+'Stavební rozpočet'!AS852+'Stavební rozpočet'!AS874+'Stavební rozpočet'!AS884)</f>
      </c>
    </row>
    <row r="26">
      <c r="A26" s="201" t="s">
        <v>2218</v>
      </c>
      <c r="B26" s="202"/>
      <c r="C26" s="203">
        <f>('Stavební rozpočet'!AT13+'Stavební rozpočet'!AT16+'Stavební rozpočet'!AT25+'Stavební rozpočet'!AT34+'Stavební rozpočet'!AT38+'Stavební rozpočet'!AT103+'Stavební rozpočet'!AT122+'Stavební rozpočet'!AT127+'Stavební rozpočet'!AT132+'Stavební rozpočet'!AT143+'Stavební rozpočet'!AT149+'Stavební rozpočet'!AT177+'Stavební rozpočet'!AT191+'Stavební rozpočet'!AT284+'Stavební rozpočet'!AT427+'Stavební rozpočet'!AT544+'Stavební rozpočet'!AT580+'Stavební rozpočet'!AT674+'Stavební rozpočet'!AT703+'Stavební rozpočet'!AT737+'Stavební rozpočet'!AT765+'Stavební rozpočet'!AT799+'Stavební rozpočet'!AT830+'Stavební rozpočet'!AT844+'Stavební rozpočet'!AT852+'Stavební rozpočet'!AT874+'Stavební rozpočet'!AT884)</f>
      </c>
      <c r="D26" s="204" t="s">
        <v>2219</v>
      </c>
      <c r="E26" s="199"/>
      <c r="F26" s="200">
        <f>ROUND(C26*(12/100),2)</f>
      </c>
      <c r="G26" s="204" t="s">
        <v>2220</v>
      </c>
      <c r="H26" s="199"/>
      <c r="I26" s="200">
        <f>SUM(C25:C27)</f>
      </c>
    </row>
    <row r="27">
      <c r="A27" s="201" t="s">
        <v>2221</v>
      </c>
      <c r="B27" s="202"/>
      <c r="C27" s="203">
        <f>('Stavební rozpočet'!AU13+'Stavební rozpočet'!AU16+'Stavební rozpočet'!AU25+'Stavební rozpočet'!AU34+'Stavební rozpočet'!AU38+'Stavební rozpočet'!AU103+'Stavební rozpočet'!AU122+'Stavební rozpočet'!AU127+'Stavební rozpočet'!AU132+'Stavební rozpočet'!AU143+'Stavební rozpočet'!AU149+'Stavební rozpočet'!AU177+'Stavební rozpočet'!AU191+'Stavební rozpočet'!AU284+'Stavební rozpočet'!AU427+'Stavební rozpočet'!AU544+'Stavební rozpočet'!AU580+'Stavební rozpočet'!AU674+'Stavební rozpočet'!AU703+'Stavební rozpočet'!AU737+'Stavební rozpočet'!AU765+'Stavební rozpočet'!AU799+'Stavební rozpočet'!AU830+'Stavební rozpočet'!AU844+'Stavební rozpočet'!AU852+'Stavební rozpočet'!AU874+'Stavební rozpočet'!AU884)+(F22+I22+F23+I23+I24)</f>
      </c>
      <c r="D27" s="205" t="s">
        <v>2222</v>
      </c>
      <c r="E27" s="202"/>
      <c r="F27" s="203">
        <f>ROUND(C27*(21/100),2)</f>
      </c>
      <c r="G27" s="205" t="s">
        <v>2223</v>
      </c>
      <c r="H27" s="202"/>
      <c r="I27" s="203">
        <f>SUM(F26:F27)+I26</f>
      </c>
    </row>
    <row r="29">
      <c r="A29" s="206" t="s">
        <v>2224</v>
      </c>
      <c r="B29" s="207"/>
      <c r="C29" s="208"/>
      <c r="D29" s="209" t="s">
        <v>2225</v>
      </c>
      <c r="E29" s="207"/>
      <c r="F29" s="208"/>
      <c r="G29" s="209" t="s">
        <v>2226</v>
      </c>
      <c r="H29" s="207"/>
      <c r="I29" s="208"/>
    </row>
    <row r="30">
      <c r="A30" s="210" t="s">
        <v>53</v>
      </c>
      <c r="B30" s="211"/>
      <c r="C30" s="212"/>
      <c r="D30" s="213" t="s">
        <v>53</v>
      </c>
      <c r="E30" s="211"/>
      <c r="F30" s="212"/>
      <c r="G30" s="213" t="s">
        <v>53</v>
      </c>
      <c r="H30" s="211"/>
      <c r="I30" s="212"/>
    </row>
    <row r="31">
      <c r="A31" s="210" t="s">
        <v>53</v>
      </c>
      <c r="B31" s="211"/>
      <c r="C31" s="212"/>
      <c r="D31" s="213" t="s">
        <v>53</v>
      </c>
      <c r="E31" s="211"/>
      <c r="F31" s="212"/>
      <c r="G31" s="213" t="s">
        <v>53</v>
      </c>
      <c r="H31" s="211"/>
      <c r="I31" s="212"/>
    </row>
    <row r="32">
      <c r="A32" s="210" t="s">
        <v>53</v>
      </c>
      <c r="B32" s="211"/>
      <c r="C32" s="212"/>
      <c r="D32" s="213" t="s">
        <v>53</v>
      </c>
      <c r="E32" s="211"/>
      <c r="F32" s="212"/>
      <c r="G32" s="213" t="s">
        <v>53</v>
      </c>
      <c r="H32" s="211"/>
      <c r="I32" s="212"/>
    </row>
    <row r="33">
      <c r="A33" s="214" t="s">
        <v>2227</v>
      </c>
      <c r="B33" s="215"/>
      <c r="C33" s="216"/>
      <c r="D33" s="217" t="s">
        <v>2227</v>
      </c>
      <c r="E33" s="215"/>
      <c r="F33" s="216"/>
      <c r="G33" s="217" t="s">
        <v>2227</v>
      </c>
      <c r="H33" s="215"/>
      <c r="I33" s="216"/>
    </row>
    <row r="34">
      <c r="A34" s="218" t="s">
        <v>267</v>
      </c>
    </row>
    <row r="35" customHeight="true" ht="12.75">
      <c r="A35" s="14" t="s">
        <v>53</v>
      </c>
      <c r="B35" s="10"/>
      <c r="C35" s="10"/>
      <c r="D35" s="10"/>
      <c r="E35" s="10"/>
      <c r="F35" s="10"/>
      <c r="G35" s="10"/>
      <c r="H35" s="10"/>
      <c r="I35" s="10"/>
    </row>
  </sheetData>
  <mergeCells>
    <mergeCell ref="A1:I1"/>
    <mergeCell ref="A2:B3"/>
    <mergeCell ref="A4:B5"/>
    <mergeCell ref="A6:B7"/>
    <mergeCell ref="A8:B9"/>
    <mergeCell ref="A10:B11"/>
    <mergeCell ref="E2:E3"/>
    <mergeCell ref="E4:E5"/>
    <mergeCell ref="E6:E7"/>
    <mergeCell ref="E8:E9"/>
    <mergeCell ref="E10:E11"/>
    <mergeCell ref="C2:D3"/>
    <mergeCell ref="C4:D5"/>
    <mergeCell ref="C6:D7"/>
    <mergeCell ref="C8:D9"/>
    <mergeCell ref="C10:D11"/>
    <mergeCell ref="F2:G3"/>
    <mergeCell ref="F4:G5"/>
    <mergeCell ref="F6:G7"/>
    <mergeCell ref="F8:G9"/>
    <mergeCell ref="F10:G11"/>
    <mergeCell ref="H2:H3"/>
    <mergeCell ref="H4:H5"/>
    <mergeCell ref="H6:H7"/>
    <mergeCell ref="H8:H9"/>
    <mergeCell ref="H10:H11"/>
    <mergeCell ref="I2:I3"/>
    <mergeCell ref="I4:I5"/>
    <mergeCell ref="I6:I7"/>
    <mergeCell ref="I8:I9"/>
    <mergeCell ref="I10:I11"/>
    <mergeCell ref="A12:I12"/>
    <mergeCell ref="B13:C13"/>
    <mergeCell ref="E13:F13"/>
    <mergeCell ref="H13:I13"/>
    <mergeCell ref="A20:B20"/>
    <mergeCell ref="A21:B21"/>
    <mergeCell ref="A22:B22"/>
    <mergeCell ref="D14:E14"/>
    <mergeCell ref="D15:E15"/>
    <mergeCell ref="D16:E16"/>
    <mergeCell ref="D17:E17"/>
    <mergeCell ref="D18:E18"/>
    <mergeCell ref="D19:E19"/>
    <mergeCell ref="D20:E20"/>
    <mergeCell ref="D21:E21"/>
    <mergeCell ref="D22:E22"/>
    <mergeCell ref="G14:H14"/>
    <mergeCell ref="G15:H15"/>
    <mergeCell ref="G16:H16"/>
    <mergeCell ref="G17:H17"/>
    <mergeCell ref="G18:H18"/>
    <mergeCell ref="G19:H19"/>
    <mergeCell ref="G20:H20"/>
    <mergeCell ref="G21:H21"/>
    <mergeCell ref="G22:H22"/>
    <mergeCell ref="G23:H23"/>
    <mergeCell ref="A25:B25"/>
    <mergeCell ref="A26:B26"/>
    <mergeCell ref="A27:B27"/>
    <mergeCell ref="D26:E26"/>
    <mergeCell ref="D27:E27"/>
    <mergeCell ref="G26:H26"/>
    <mergeCell ref="G27:H27"/>
    <mergeCell ref="A29:C29"/>
    <mergeCell ref="A30:C30"/>
    <mergeCell ref="A31:C31"/>
    <mergeCell ref="A32:C32"/>
    <mergeCell ref="A33:C33"/>
    <mergeCell ref="D29:F29"/>
    <mergeCell ref="D30:F30"/>
    <mergeCell ref="D31:F31"/>
    <mergeCell ref="D32:F32"/>
    <mergeCell ref="D33:F33"/>
    <mergeCell ref="G29:I29"/>
    <mergeCell ref="G30:I30"/>
    <mergeCell ref="G31:I31"/>
    <mergeCell ref="G32:I32"/>
    <mergeCell ref="G33:I33"/>
    <mergeCell ref="A35:I35"/>
  </mergeCells>
  <pageMargins left="0.393999993801117" top="0.591000020503998" right="0.393999993801117" bottom="0.591000020503998" header="0" footer="0"/>
  <pageSetup orientation="landscape" fitToHeight="1" fitToWidth="1" cellComments="none"/>
  <drawing r:id="rId1"/>
</worksheet>
</file>

<file path=xl/worksheets/sheet6.xml><?xml version="1.0" encoding="utf-8"?>
<worksheet xmlns:r="http://schemas.openxmlformats.org/officeDocument/2006/relationships" xmlns="http://schemas.openxmlformats.org/spreadsheetml/2006/main">
  <sheetPr>
    <outlinePr summaryBelow="true" summaryRight="true"/>
    <pageSetUpPr fitToPage="true"/>
  </sheetPr>
  <dimension ref="A1:I36"/>
  <sheetViews>
    <sheetView workbookViewId="0" showZeros="true" showFormulas="false" showGridLines="true" showRowColHeaders="true">
      <selection sqref="A36:E36" activeCell="A36"/>
    </sheetView>
  </sheetViews>
  <sheetFormatPr defaultColWidth="12.140625" customHeight="true" defaultRowHeight="15"/>
  <cols>
    <col max="1" min="1" style="0" width="9.140625" customWidth="true"/>
    <col max="2" min="2" style="0" width="12.85546875" customWidth="true"/>
    <col max="3" min="3" style="0" width="22.85546875" customWidth="true"/>
    <col max="4" min="4" style="0" width="10" customWidth="true"/>
    <col max="5" min="5" style="0" width="14" customWidth="true"/>
    <col max="6" min="6" style="0" width="22.85546875" customWidth="true"/>
    <col max="7" min="7" style="0" width="9.140625" customWidth="true"/>
    <col max="8" min="8" style="0" width="17.140625" customWidth="true"/>
    <col max="9" min="9" style="0" width="22.85546875" customWidth="true"/>
  </cols>
  <sheetData>
    <row r="1" customHeight="true" ht="54.75">
      <c r="A1" s="169" t="s">
        <v>2240</v>
      </c>
      <c r="B1" s="1"/>
      <c r="C1" s="1"/>
      <c r="D1" s="1"/>
      <c r="E1" s="1"/>
      <c r="F1" s="1"/>
      <c r="G1" s="1"/>
      <c r="H1" s="1"/>
      <c r="I1" s="1"/>
    </row>
    <row r="2">
      <c r="A2" s="3" t="s">
        <v>1</v>
      </c>
      <c r="B2" s="4"/>
      <c r="C2" s="5">
        <f>'Stavební rozpočet'!C2</f>
      </c>
      <c r="D2" s="6"/>
      <c r="E2" s="7" t="s">
        <v>5</v>
      </c>
      <c r="F2" s="7">
        <f>'Stavební rozpočet'!I2</f>
      </c>
      <c r="G2" s="4"/>
      <c r="H2" s="7" t="s">
        <v>2185</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2185</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2185</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2186</v>
      </c>
      <c r="I8" s="170" t="n">
        <v>228</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2187</v>
      </c>
      <c r="I10" s="158">
        <f>'Stavební rozpočet'!G8</f>
      </c>
    </row>
    <row r="11">
      <c r="A11" s="171"/>
      <c r="B11" s="159"/>
      <c r="C11" s="159"/>
      <c r="D11" s="159"/>
      <c r="E11" s="159"/>
      <c r="F11" s="159"/>
      <c r="G11" s="159"/>
      <c r="H11" s="159"/>
      <c r="I11" s="172"/>
    </row>
    <row r="13">
      <c r="A13" s="219" t="s">
        <v>2229</v>
      </c>
      <c r="B13" s="219"/>
      <c r="C13" s="219"/>
      <c r="D13" s="219"/>
      <c r="E13" s="219"/>
    </row>
    <row r="14">
      <c r="A14" s="220" t="s">
        <v>2230</v>
      </c>
      <c r="B14" s="221"/>
      <c r="C14" s="221"/>
      <c r="D14" s="221"/>
      <c r="E14" s="222"/>
      <c r="F14" s="223" t="s">
        <v>2231</v>
      </c>
      <c r="G14" s="223" t="s">
        <v>1108</v>
      </c>
      <c r="H14" s="223" t="s">
        <v>2232</v>
      </c>
      <c r="I14" s="223" t="s">
        <v>2231</v>
      </c>
    </row>
    <row r="15">
      <c r="A15" s="224" t="s">
        <v>2197</v>
      </c>
      <c r="B15" s="225"/>
      <c r="C15" s="225"/>
      <c r="D15" s="225"/>
      <c r="E15" s="226"/>
      <c r="F15" s="227" t="n">
        <v>0</v>
      </c>
      <c r="G15" s="228" t="s">
        <v>53</v>
      </c>
      <c r="H15" s="228" t="s">
        <v>53</v>
      </c>
      <c r="I15" s="227">
        <f>F15</f>
      </c>
    </row>
    <row r="16">
      <c r="A16" s="224" t="s">
        <v>2199</v>
      </c>
      <c r="B16" s="225"/>
      <c r="C16" s="225"/>
      <c r="D16" s="225"/>
      <c r="E16" s="226"/>
      <c r="F16" s="227" t="n">
        <v>0</v>
      </c>
      <c r="G16" s="228" t="s">
        <v>53</v>
      </c>
      <c r="H16" s="228" t="s">
        <v>53</v>
      </c>
      <c r="I16" s="227">
        <f>F16</f>
      </c>
    </row>
    <row r="17">
      <c r="A17" s="229" t="s">
        <v>2202</v>
      </c>
      <c r="B17" s="230"/>
      <c r="C17" s="230"/>
      <c r="D17" s="230"/>
      <c r="E17" s="231"/>
      <c r="F17" s="232" t="n">
        <v>0</v>
      </c>
      <c r="G17" s="233" t="s">
        <v>53</v>
      </c>
      <c r="H17" s="233" t="s">
        <v>53</v>
      </c>
      <c r="I17" s="232">
        <f>F17</f>
      </c>
    </row>
    <row r="18">
      <c r="A18" s="234" t="s">
        <v>2233</v>
      </c>
      <c r="B18" s="235"/>
      <c r="C18" s="235"/>
      <c r="D18" s="235"/>
      <c r="E18" s="236"/>
      <c r="F18" s="237" t="s">
        <v>53</v>
      </c>
      <c r="G18" s="238" t="s">
        <v>53</v>
      </c>
      <c r="H18" s="238" t="s">
        <v>53</v>
      </c>
      <c r="I18" s="239">
        <f>SUM(I15:I17)</f>
      </c>
    </row>
    <row r="20">
      <c r="A20" s="220" t="s">
        <v>2194</v>
      </c>
      <c r="B20" s="221"/>
      <c r="C20" s="221"/>
      <c r="D20" s="221"/>
      <c r="E20" s="222"/>
      <c r="F20" s="223" t="s">
        <v>2231</v>
      </c>
      <c r="G20" s="223" t="s">
        <v>1108</v>
      </c>
      <c r="H20" s="223" t="s">
        <v>2232</v>
      </c>
      <c r="I20" s="223" t="s">
        <v>2231</v>
      </c>
    </row>
    <row r="21">
      <c r="A21" s="224" t="s">
        <v>2198</v>
      </c>
      <c r="B21" s="225"/>
      <c r="C21" s="225"/>
      <c r="D21" s="225"/>
      <c r="E21" s="226"/>
      <c r="F21" s="227" t="n">
        <v>0</v>
      </c>
      <c r="G21" s="228" t="s">
        <v>53</v>
      </c>
      <c r="H21" s="228" t="s">
        <v>53</v>
      </c>
      <c r="I21" s="227">
        <f>F21</f>
      </c>
    </row>
    <row r="22">
      <c r="A22" s="224" t="s">
        <v>2200</v>
      </c>
      <c r="B22" s="225"/>
      <c r="C22" s="225"/>
      <c r="D22" s="225"/>
      <c r="E22" s="226"/>
      <c r="F22" s="227" t="n">
        <v>0</v>
      </c>
      <c r="G22" s="228" t="s">
        <v>53</v>
      </c>
      <c r="H22" s="228" t="s">
        <v>53</v>
      </c>
      <c r="I22" s="227">
        <f>F22</f>
      </c>
    </row>
    <row r="23">
      <c r="A23" s="224" t="s">
        <v>2203</v>
      </c>
      <c r="B23" s="225"/>
      <c r="C23" s="225"/>
      <c r="D23" s="225"/>
      <c r="E23" s="226"/>
      <c r="F23" s="227" t="n">
        <v>0</v>
      </c>
      <c r="G23" s="228" t="s">
        <v>53</v>
      </c>
      <c r="H23" s="228" t="s">
        <v>53</v>
      </c>
      <c r="I23" s="227">
        <f>F23</f>
      </c>
    </row>
    <row r="24">
      <c r="A24" s="224" t="s">
        <v>2204</v>
      </c>
      <c r="B24" s="225"/>
      <c r="C24" s="225"/>
      <c r="D24" s="225"/>
      <c r="E24" s="226"/>
      <c r="F24" s="227" t="n">
        <v>0</v>
      </c>
      <c r="G24" s="228" t="s">
        <v>53</v>
      </c>
      <c r="H24" s="228" t="s">
        <v>53</v>
      </c>
      <c r="I24" s="227">
        <f>F24</f>
      </c>
    </row>
    <row r="25">
      <c r="A25" s="224" t="s">
        <v>2206</v>
      </c>
      <c r="B25" s="225"/>
      <c r="C25" s="225"/>
      <c r="D25" s="225"/>
      <c r="E25" s="226"/>
      <c r="F25" s="227" t="n">
        <v>0</v>
      </c>
      <c r="G25" s="228" t="s">
        <v>53</v>
      </c>
      <c r="H25" s="228" t="s">
        <v>53</v>
      </c>
      <c r="I25" s="227">
        <f>F25</f>
      </c>
    </row>
    <row r="26">
      <c r="A26" s="229" t="s">
        <v>2207</v>
      </c>
      <c r="B26" s="230"/>
      <c r="C26" s="230"/>
      <c r="D26" s="230"/>
      <c r="E26" s="231"/>
      <c r="F26" s="232" t="n">
        <v>0</v>
      </c>
      <c r="G26" s="233" t="s">
        <v>53</v>
      </c>
      <c r="H26" s="233" t="s">
        <v>53</v>
      </c>
      <c r="I26" s="232">
        <f>F26</f>
      </c>
    </row>
    <row r="27">
      <c r="A27" s="234" t="s">
        <v>2234</v>
      </c>
      <c r="B27" s="235"/>
      <c r="C27" s="235"/>
      <c r="D27" s="235"/>
      <c r="E27" s="236"/>
      <c r="F27" s="237" t="s">
        <v>53</v>
      </c>
      <c r="G27" s="238" t="s">
        <v>53</v>
      </c>
      <c r="H27" s="238" t="s">
        <v>53</v>
      </c>
      <c r="I27" s="239">
        <f>SUM(I21:I26)</f>
      </c>
    </row>
    <row r="29">
      <c r="A29" s="240" t="s">
        <v>2235</v>
      </c>
      <c r="B29" s="241"/>
      <c r="C29" s="241"/>
      <c r="D29" s="241"/>
      <c r="E29" s="242"/>
      <c r="F29" s="243">
        <f>I18+I27</f>
      </c>
      <c r="G29" s="244"/>
      <c r="H29" s="244"/>
      <c r="I29" s="245"/>
    </row>
    <row r="33">
      <c r="A33" s="219" t="s">
        <v>2236</v>
      </c>
      <c r="B33" s="219"/>
      <c r="C33" s="219"/>
      <c r="D33" s="219"/>
      <c r="E33" s="219"/>
    </row>
    <row r="34">
      <c r="A34" s="220" t="s">
        <v>2237</v>
      </c>
      <c r="B34" s="221"/>
      <c r="C34" s="221"/>
      <c r="D34" s="221"/>
      <c r="E34" s="222"/>
      <c r="F34" s="223" t="s">
        <v>2231</v>
      </c>
      <c r="G34" s="223" t="s">
        <v>1108</v>
      </c>
      <c r="H34" s="223" t="s">
        <v>2232</v>
      </c>
      <c r="I34" s="223" t="s">
        <v>2231</v>
      </c>
    </row>
    <row r="35">
      <c r="A35" s="229" t="s">
        <v>53</v>
      </c>
      <c r="B35" s="230"/>
      <c r="C35" s="230"/>
      <c r="D35" s="230"/>
      <c r="E35" s="231"/>
      <c r="F35" s="232" t="n">
        <v>0</v>
      </c>
      <c r="G35" s="233" t="s">
        <v>53</v>
      </c>
      <c r="H35" s="233" t="s">
        <v>53</v>
      </c>
      <c r="I35" s="232">
        <f>F35</f>
      </c>
    </row>
    <row r="36">
      <c r="A36" s="234" t="s">
        <v>2238</v>
      </c>
      <c r="B36" s="235"/>
      <c r="C36" s="235"/>
      <c r="D36" s="235"/>
      <c r="E36" s="236"/>
      <c r="F36" s="237" t="s">
        <v>53</v>
      </c>
      <c r="G36" s="238" t="s">
        <v>53</v>
      </c>
      <c r="H36" s="238" t="s">
        <v>53</v>
      </c>
      <c r="I36" s="239">
        <f>SUM(I35:I35)</f>
      </c>
    </row>
  </sheetData>
  <mergeCells>
    <mergeCell ref="A1:I1"/>
    <mergeCell ref="A2:B3"/>
    <mergeCell ref="A4:B5"/>
    <mergeCell ref="A6:B7"/>
    <mergeCell ref="A8:B9"/>
    <mergeCell ref="A10:B11"/>
    <mergeCell ref="E2:E3"/>
    <mergeCell ref="E4:E5"/>
    <mergeCell ref="E6:E7"/>
    <mergeCell ref="E8:E9"/>
    <mergeCell ref="E10:E11"/>
    <mergeCell ref="H2:H3"/>
    <mergeCell ref="H4:H5"/>
    <mergeCell ref="H6:H7"/>
    <mergeCell ref="H8:H9"/>
    <mergeCell ref="H10:H11"/>
    <mergeCell ref="C2:D3"/>
    <mergeCell ref="C4:D5"/>
    <mergeCell ref="C6:D7"/>
    <mergeCell ref="C8:D9"/>
    <mergeCell ref="C10:D11"/>
    <mergeCell ref="F2:G3"/>
    <mergeCell ref="F4:G5"/>
    <mergeCell ref="F6:G7"/>
    <mergeCell ref="F8:G9"/>
    <mergeCell ref="F10:G11"/>
    <mergeCell ref="I2:I3"/>
    <mergeCell ref="I4:I5"/>
    <mergeCell ref="I6:I7"/>
    <mergeCell ref="I8:I9"/>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ageMargins left="0.393999993801117" top="0.591000020503998" right="0.393999993801117" bottom="0.591000020503998" header="0" footer="0"/>
  <pageSetup orientation="landscape" fitToHeight="0" fitToWidth="1" cellComments="none"/>
  <drawing r:id="rId1"/>
</worksheet>
</file>

<file path=xl/worksheets/sheet7.xml><?xml version="1.0" encoding="utf-8"?>
<worksheet xmlns:r="http://schemas.openxmlformats.org/officeDocument/2006/relationships" xmlns="http://schemas.openxmlformats.org/spreadsheetml/2006/main">
  <sheetPr>
    <outlinePr summaryBelow="true" summaryRight="true"/>
    <pageSetUpPr fitToPage="true"/>
  </sheetPr>
  <dimension ref="A1:I35"/>
  <sheetViews>
    <sheetView workbookViewId="0" showZeros="true" showFormulas="false" showGridLines="true" showRowColHeaders="true">
      <selection sqref="A35:I35" activeCell="A35"/>
    </sheetView>
  </sheetViews>
  <sheetFormatPr defaultColWidth="12.140625" customHeight="true" defaultRowHeight="15"/>
  <cols>
    <col max="1" min="1" style="0" width="9.140625" customWidth="true"/>
    <col max="2" min="2" style="0" width="12.85546875" customWidth="true"/>
    <col max="3" min="3" style="0" width="27.140625" customWidth="true"/>
    <col max="4" min="4" style="0" width="10" customWidth="true"/>
    <col max="5" min="5" style="0" width="14" customWidth="true"/>
    <col max="6" min="6" style="0" width="27.140625" customWidth="true"/>
    <col max="7" min="7" style="0" width="9.140625" customWidth="true"/>
    <col max="8" min="8" style="0" width="12.85546875" customWidth="true"/>
    <col max="9" min="9" style="0" width="27.140625" customWidth="true"/>
  </cols>
  <sheetData>
    <row r="1" customHeight="true" ht="54.75">
      <c r="A1" s="169" t="s">
        <v>2241</v>
      </c>
      <c r="B1" s="1"/>
      <c r="C1" s="1"/>
      <c r="D1" s="1"/>
      <c r="E1" s="1"/>
      <c r="F1" s="1"/>
      <c r="G1" s="1"/>
      <c r="H1" s="1"/>
      <c r="I1" s="1"/>
    </row>
    <row r="2">
      <c r="A2" s="3" t="s">
        <v>1</v>
      </c>
      <c r="B2" s="4"/>
      <c r="C2" s="5">
        <f>'Stavební rozpočet'!C2</f>
      </c>
      <c r="D2" s="6"/>
      <c r="E2" s="7" t="s">
        <v>5</v>
      </c>
      <c r="F2" s="7">
        <f>'Stavební rozpočet'!I2</f>
      </c>
      <c r="G2" s="4"/>
      <c r="H2" s="7" t="s">
        <v>2185</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2185</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2185</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2186</v>
      </c>
      <c r="I8" s="170" t="n">
        <v>54</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2187</v>
      </c>
      <c r="I10" s="158">
        <f>'Stavební rozpočet'!G8</f>
      </c>
    </row>
    <row r="11">
      <c r="A11" s="171"/>
      <c r="B11" s="159"/>
      <c r="C11" s="159"/>
      <c r="D11" s="159"/>
      <c r="E11" s="159"/>
      <c r="F11" s="159"/>
      <c r="G11" s="159"/>
      <c r="H11" s="159"/>
      <c r="I11" s="172"/>
    </row>
    <row r="12">
      <c r="A12" s="173" t="s">
        <v>2188</v>
      </c>
      <c r="B12" s="173"/>
      <c r="C12" s="173"/>
      <c r="D12" s="173"/>
      <c r="E12" s="173"/>
      <c r="F12" s="173"/>
      <c r="G12" s="173"/>
      <c r="H12" s="173"/>
      <c r="I12" s="173"/>
    </row>
    <row r="13" customHeight="true" ht="26.25">
      <c r="A13" s="174" t="s">
        <v>2189</v>
      </c>
      <c r="B13" s="175" t="s">
        <v>2190</v>
      </c>
      <c r="C13" s="176"/>
      <c r="D13" s="177" t="s">
        <v>2191</v>
      </c>
      <c r="E13" s="175" t="s">
        <v>2192</v>
      </c>
      <c r="F13" s="176"/>
      <c r="G13" s="177" t="s">
        <v>2193</v>
      </c>
      <c r="H13" s="175" t="s">
        <v>2194</v>
      </c>
      <c r="I13" s="176"/>
    </row>
    <row r="14">
      <c r="A14" s="178" t="s">
        <v>2195</v>
      </c>
      <c r="B14" s="179" t="s">
        <v>2196</v>
      </c>
      <c r="C14" s="180">
        <f>SUMIF('Stavební rozpočet'!AI12:AI1347,"D.1.4.a",'Stavební rozpočet'!AB12:AB1347)</f>
      </c>
      <c r="D14" s="181" t="s">
        <v>2197</v>
      </c>
      <c r="E14" s="182"/>
      <c r="F14" s="180">
        <f>'VORN objektu (D.1.4.a)'!I15</f>
      </c>
      <c r="G14" s="181" t="s">
        <v>2198</v>
      </c>
      <c r="H14" s="182"/>
      <c r="I14" s="183">
        <f>'VORN objektu (D.1.4.a)'!I21</f>
      </c>
    </row>
    <row r="15">
      <c r="A15" s="184" t="s">
        <v>53</v>
      </c>
      <c r="B15" s="179" t="s">
        <v>38</v>
      </c>
      <c r="C15" s="180">
        <f>SUMIF('Stavební rozpočet'!AI12:AI1347,"D.1.4.a",'Stavební rozpočet'!AC12:AC1347)</f>
      </c>
      <c r="D15" s="181" t="s">
        <v>2199</v>
      </c>
      <c r="E15" s="182"/>
      <c r="F15" s="180">
        <f>'VORN objektu (D.1.4.a)'!I16</f>
      </c>
      <c r="G15" s="181" t="s">
        <v>2200</v>
      </c>
      <c r="H15" s="182"/>
      <c r="I15" s="183">
        <f>'VORN objektu (D.1.4.a)'!I22</f>
      </c>
    </row>
    <row r="16">
      <c r="A16" s="178" t="s">
        <v>2201</v>
      </c>
      <c r="B16" s="179" t="s">
        <v>2196</v>
      </c>
      <c r="C16" s="180">
        <f>SUMIF('Stavební rozpočet'!AI12:AI1347,"D.1.4.a",'Stavební rozpočet'!AD12:AD1347)</f>
      </c>
      <c r="D16" s="181" t="s">
        <v>2202</v>
      </c>
      <c r="E16" s="182"/>
      <c r="F16" s="180">
        <f>'VORN objektu (D.1.4.a)'!I17</f>
      </c>
      <c r="G16" s="181" t="s">
        <v>2203</v>
      </c>
      <c r="H16" s="182"/>
      <c r="I16" s="183">
        <f>'VORN objektu (D.1.4.a)'!I23</f>
      </c>
    </row>
    <row r="17">
      <c r="A17" s="184" t="s">
        <v>53</v>
      </c>
      <c r="B17" s="179" t="s">
        <v>38</v>
      </c>
      <c r="C17" s="180">
        <f>SUMIF('Stavební rozpočet'!AI12:AI1347,"D.1.4.a",'Stavební rozpočet'!AE12:AE1347)</f>
      </c>
      <c r="D17" s="181" t="s">
        <v>53</v>
      </c>
      <c r="E17" s="182"/>
      <c r="F17" s="183" t="s">
        <v>53</v>
      </c>
      <c r="G17" s="181" t="s">
        <v>2204</v>
      </c>
      <c r="H17" s="182"/>
      <c r="I17" s="183">
        <f>'VORN objektu (D.1.4.a)'!I24</f>
      </c>
    </row>
    <row r="18">
      <c r="A18" s="178" t="s">
        <v>2205</v>
      </c>
      <c r="B18" s="179" t="s">
        <v>2196</v>
      </c>
      <c r="C18" s="180">
        <f>SUMIF('Stavební rozpočet'!AI12:AI1347,"D.1.4.a",'Stavební rozpočet'!AF12:AF1347)</f>
      </c>
      <c r="D18" s="181" t="s">
        <v>53</v>
      </c>
      <c r="E18" s="182"/>
      <c r="F18" s="183" t="s">
        <v>53</v>
      </c>
      <c r="G18" s="181" t="s">
        <v>2206</v>
      </c>
      <c r="H18" s="182"/>
      <c r="I18" s="183">
        <f>'VORN objektu (D.1.4.a)'!I25</f>
      </c>
    </row>
    <row r="19">
      <c r="A19" s="184" t="s">
        <v>53</v>
      </c>
      <c r="B19" s="179" t="s">
        <v>38</v>
      </c>
      <c r="C19" s="180">
        <f>SUMIF('Stavební rozpočet'!AI12:AI1347,"D.1.4.a",'Stavební rozpočet'!AG12:AG1347)</f>
      </c>
      <c r="D19" s="181" t="s">
        <v>53</v>
      </c>
      <c r="E19" s="182"/>
      <c r="F19" s="183" t="s">
        <v>53</v>
      </c>
      <c r="G19" s="181" t="s">
        <v>2207</v>
      </c>
      <c r="H19" s="182"/>
      <c r="I19" s="183">
        <f>'VORN objektu (D.1.4.a)'!I26</f>
      </c>
    </row>
    <row r="20">
      <c r="A20" s="185" t="s">
        <v>2208</v>
      </c>
      <c r="B20" s="186"/>
      <c r="C20" s="180">
        <f>SUMIF('Stavební rozpočet'!AI12:AI1347,"D.1.4.a",'Stavební rozpočet'!AH12:AH1347)</f>
      </c>
      <c r="D20" s="181" t="s">
        <v>53</v>
      </c>
      <c r="E20" s="182"/>
      <c r="F20" s="183" t="s">
        <v>53</v>
      </c>
      <c r="G20" s="181" t="s">
        <v>53</v>
      </c>
      <c r="H20" s="182"/>
      <c r="I20" s="183" t="s">
        <v>53</v>
      </c>
    </row>
    <row r="21">
      <c r="A21" s="187" t="s">
        <v>2209</v>
      </c>
      <c r="B21" s="188"/>
      <c r="C21" s="180">
        <f>SUMIF('Stavební rozpočet'!AI12:AI1347,"D.1.4.a",'Stavební rozpočet'!Z12:Z1347)</f>
      </c>
      <c r="D21" s="190" t="s">
        <v>53</v>
      </c>
      <c r="E21" s="191"/>
      <c r="F21" s="192" t="s">
        <v>53</v>
      </c>
      <c r="G21" s="190" t="s">
        <v>53</v>
      </c>
      <c r="H21" s="191"/>
      <c r="I21" s="192" t="s">
        <v>53</v>
      </c>
    </row>
    <row r="22" customHeight="true" ht="16.5">
      <c r="A22" s="193" t="s">
        <v>2210</v>
      </c>
      <c r="B22" s="194"/>
      <c r="C22" s="180">
        <f>SUM(C14:C21)</f>
      </c>
      <c r="D22" s="196" t="s">
        <v>2211</v>
      </c>
      <c r="E22" s="194"/>
      <c r="F22" s="195">
        <f>SUM(F14:F21)</f>
      </c>
      <c r="G22" s="196" t="s">
        <v>2212</v>
      </c>
      <c r="H22" s="194"/>
      <c r="I22" s="195">
        <f>SUM(I14:I21)</f>
      </c>
    </row>
    <row r="23">
      <c r="G23" s="185" t="s">
        <v>2215</v>
      </c>
      <c r="H23" s="186"/>
      <c r="I23" s="180">
        <f>'VORN objektu (D.1.4.a)'!I36</f>
      </c>
    </row>
    <row r="25">
      <c r="A25" s="198" t="s">
        <v>2217</v>
      </c>
      <c r="B25" s="199"/>
      <c r="C25" s="200">
        <f>('Stavební rozpočet'!AS898+'Stavební rozpočet'!AS903+'Stavební rozpočet'!AS911+'Stavební rozpočet'!AS924+'Stavební rozpočet'!AS939+'Stavební rozpočet'!AS952+'Stavební rozpočet'!AS956+'Stavební rozpočet'!AS963+'Stavební rozpočet'!AS967+'Stavební rozpočet'!AS969+'Stavební rozpočet'!AS971+'Stavební rozpočet'!AS973+'Stavební rozpočet'!AS975)</f>
      </c>
    </row>
    <row r="26">
      <c r="A26" s="201" t="s">
        <v>2218</v>
      </c>
      <c r="B26" s="202"/>
      <c r="C26" s="203">
        <f>('Stavební rozpočet'!AT898+'Stavební rozpočet'!AT903+'Stavební rozpočet'!AT911+'Stavební rozpočet'!AT924+'Stavební rozpočet'!AT939+'Stavební rozpočet'!AT952+'Stavební rozpočet'!AT956+'Stavební rozpočet'!AT963+'Stavební rozpočet'!AT967+'Stavební rozpočet'!AT969+'Stavební rozpočet'!AT971+'Stavební rozpočet'!AT973+'Stavební rozpočet'!AT975)</f>
      </c>
      <c r="D26" s="204" t="s">
        <v>2219</v>
      </c>
      <c r="E26" s="199"/>
      <c r="F26" s="200">
        <f>ROUND(C26*(12/100),2)</f>
      </c>
      <c r="G26" s="204" t="s">
        <v>2220</v>
      </c>
      <c r="H26" s="199"/>
      <c r="I26" s="200">
        <f>SUM(C25:C27)</f>
      </c>
    </row>
    <row r="27">
      <c r="A27" s="201" t="s">
        <v>2221</v>
      </c>
      <c r="B27" s="202"/>
      <c r="C27" s="203">
        <f>('Stavební rozpočet'!AU898+'Stavební rozpočet'!AU903+'Stavební rozpočet'!AU911+'Stavební rozpočet'!AU924+'Stavební rozpočet'!AU939+'Stavební rozpočet'!AU952+'Stavební rozpočet'!AU956+'Stavební rozpočet'!AU963+'Stavební rozpočet'!AU967+'Stavební rozpočet'!AU969+'Stavební rozpočet'!AU971+'Stavební rozpočet'!AU973+'Stavební rozpočet'!AU975)+(F22+I22+F23+I23+I24)</f>
      </c>
      <c r="D27" s="205" t="s">
        <v>2222</v>
      </c>
      <c r="E27" s="202"/>
      <c r="F27" s="203">
        <f>ROUND(C27*(21/100),2)</f>
      </c>
      <c r="G27" s="205" t="s">
        <v>2223</v>
      </c>
      <c r="H27" s="202"/>
      <c r="I27" s="203">
        <f>SUM(F26:F27)+I26</f>
      </c>
    </row>
    <row r="29">
      <c r="A29" s="206" t="s">
        <v>2224</v>
      </c>
      <c r="B29" s="207"/>
      <c r="C29" s="208"/>
      <c r="D29" s="209" t="s">
        <v>2225</v>
      </c>
      <c r="E29" s="207"/>
      <c r="F29" s="208"/>
      <c r="G29" s="209" t="s">
        <v>2226</v>
      </c>
      <c r="H29" s="207"/>
      <c r="I29" s="208"/>
    </row>
    <row r="30">
      <c r="A30" s="210" t="s">
        <v>53</v>
      </c>
      <c r="B30" s="211"/>
      <c r="C30" s="212"/>
      <c r="D30" s="213" t="s">
        <v>53</v>
      </c>
      <c r="E30" s="211"/>
      <c r="F30" s="212"/>
      <c r="G30" s="213" t="s">
        <v>53</v>
      </c>
      <c r="H30" s="211"/>
      <c r="I30" s="212"/>
    </row>
    <row r="31">
      <c r="A31" s="210" t="s">
        <v>53</v>
      </c>
      <c r="B31" s="211"/>
      <c r="C31" s="212"/>
      <c r="D31" s="213" t="s">
        <v>53</v>
      </c>
      <c r="E31" s="211"/>
      <c r="F31" s="212"/>
      <c r="G31" s="213" t="s">
        <v>53</v>
      </c>
      <c r="H31" s="211"/>
      <c r="I31" s="212"/>
    </row>
    <row r="32">
      <c r="A32" s="210" t="s">
        <v>53</v>
      </c>
      <c r="B32" s="211"/>
      <c r="C32" s="212"/>
      <c r="D32" s="213" t="s">
        <v>53</v>
      </c>
      <c r="E32" s="211"/>
      <c r="F32" s="212"/>
      <c r="G32" s="213" t="s">
        <v>53</v>
      </c>
      <c r="H32" s="211"/>
      <c r="I32" s="212"/>
    </row>
    <row r="33">
      <c r="A33" s="214" t="s">
        <v>2227</v>
      </c>
      <c r="B33" s="215"/>
      <c r="C33" s="216"/>
      <c r="D33" s="217" t="s">
        <v>2227</v>
      </c>
      <c r="E33" s="215"/>
      <c r="F33" s="216"/>
      <c r="G33" s="217" t="s">
        <v>2227</v>
      </c>
      <c r="H33" s="215"/>
      <c r="I33" s="216"/>
    </row>
    <row r="34">
      <c r="A34" s="218" t="s">
        <v>267</v>
      </c>
    </row>
    <row r="35" customHeight="true" ht="12.75">
      <c r="A35" s="14" t="s">
        <v>53</v>
      </c>
      <c r="B35" s="10"/>
      <c r="C35" s="10"/>
      <c r="D35" s="10"/>
      <c r="E35" s="10"/>
      <c r="F35" s="10"/>
      <c r="G35" s="10"/>
      <c r="H35" s="10"/>
      <c r="I35" s="10"/>
    </row>
  </sheetData>
  <mergeCells>
    <mergeCell ref="A1:I1"/>
    <mergeCell ref="A2:B3"/>
    <mergeCell ref="A4:B5"/>
    <mergeCell ref="A6:B7"/>
    <mergeCell ref="A8:B9"/>
    <mergeCell ref="A10:B11"/>
    <mergeCell ref="E2:E3"/>
    <mergeCell ref="E4:E5"/>
    <mergeCell ref="E6:E7"/>
    <mergeCell ref="E8:E9"/>
    <mergeCell ref="E10:E11"/>
    <mergeCell ref="C2:D3"/>
    <mergeCell ref="C4:D5"/>
    <mergeCell ref="C6:D7"/>
    <mergeCell ref="C8:D9"/>
    <mergeCell ref="C10:D11"/>
    <mergeCell ref="F2:G3"/>
    <mergeCell ref="F4:G5"/>
    <mergeCell ref="F6:G7"/>
    <mergeCell ref="F8:G9"/>
    <mergeCell ref="F10:G11"/>
    <mergeCell ref="H2:H3"/>
    <mergeCell ref="H4:H5"/>
    <mergeCell ref="H6:H7"/>
    <mergeCell ref="H8:H9"/>
    <mergeCell ref="H10:H11"/>
    <mergeCell ref="I2:I3"/>
    <mergeCell ref="I4:I5"/>
    <mergeCell ref="I6:I7"/>
    <mergeCell ref="I8:I9"/>
    <mergeCell ref="I10:I11"/>
    <mergeCell ref="A12:I12"/>
    <mergeCell ref="B13:C13"/>
    <mergeCell ref="E13:F13"/>
    <mergeCell ref="H13:I13"/>
    <mergeCell ref="A20:B20"/>
    <mergeCell ref="A21:B21"/>
    <mergeCell ref="A22:B22"/>
    <mergeCell ref="D14:E14"/>
    <mergeCell ref="D15:E15"/>
    <mergeCell ref="D16:E16"/>
    <mergeCell ref="D17:E17"/>
    <mergeCell ref="D18:E18"/>
    <mergeCell ref="D19:E19"/>
    <mergeCell ref="D20:E20"/>
    <mergeCell ref="D21:E21"/>
    <mergeCell ref="D22:E22"/>
    <mergeCell ref="G14:H14"/>
    <mergeCell ref="G15:H15"/>
    <mergeCell ref="G16:H16"/>
    <mergeCell ref="G17:H17"/>
    <mergeCell ref="G18:H18"/>
    <mergeCell ref="G19:H19"/>
    <mergeCell ref="G20:H20"/>
    <mergeCell ref="G21:H21"/>
    <mergeCell ref="G22:H22"/>
    <mergeCell ref="G23:H23"/>
    <mergeCell ref="A25:B25"/>
    <mergeCell ref="A26:B26"/>
    <mergeCell ref="A27:B27"/>
    <mergeCell ref="D26:E26"/>
    <mergeCell ref="D27:E27"/>
    <mergeCell ref="G26:H26"/>
    <mergeCell ref="G27:H27"/>
    <mergeCell ref="A29:C29"/>
    <mergeCell ref="A30:C30"/>
    <mergeCell ref="A31:C31"/>
    <mergeCell ref="A32:C32"/>
    <mergeCell ref="A33:C33"/>
    <mergeCell ref="D29:F29"/>
    <mergeCell ref="D30:F30"/>
    <mergeCell ref="D31:F31"/>
    <mergeCell ref="D32:F32"/>
    <mergeCell ref="D33:F33"/>
    <mergeCell ref="G29:I29"/>
    <mergeCell ref="G30:I30"/>
    <mergeCell ref="G31:I31"/>
    <mergeCell ref="G32:I32"/>
    <mergeCell ref="G33:I33"/>
    <mergeCell ref="A35:I35"/>
  </mergeCells>
  <pageMargins left="0.393999993801117" top="0.591000020503998" right="0.393999993801117" bottom="0.591000020503998" header="0" footer="0"/>
  <pageSetup orientation="landscape" fitToHeight="1" fitToWidth="1" cellComments="none"/>
  <drawing r:id="rId1"/>
</worksheet>
</file>

<file path=xl/worksheets/sheet8.xml><?xml version="1.0" encoding="utf-8"?>
<worksheet xmlns:r="http://schemas.openxmlformats.org/officeDocument/2006/relationships" xmlns="http://schemas.openxmlformats.org/spreadsheetml/2006/main">
  <sheetPr>
    <outlinePr summaryBelow="true" summaryRight="true"/>
    <pageSetUpPr fitToPage="true"/>
  </sheetPr>
  <dimension ref="A1:I36"/>
  <sheetViews>
    <sheetView workbookViewId="0" showZeros="true" showFormulas="false" showGridLines="true" showRowColHeaders="true">
      <selection sqref="A36:E36" activeCell="A36"/>
    </sheetView>
  </sheetViews>
  <sheetFormatPr defaultColWidth="12.140625" customHeight="true" defaultRowHeight="15"/>
  <cols>
    <col max="1" min="1" style="0" width="9.140625" customWidth="true"/>
    <col max="2" min="2" style="0" width="12.85546875" customWidth="true"/>
    <col max="3" min="3" style="0" width="22.85546875" customWidth="true"/>
    <col max="4" min="4" style="0" width="10" customWidth="true"/>
    <col max="5" min="5" style="0" width="14" customWidth="true"/>
    <col max="6" min="6" style="0" width="22.85546875" customWidth="true"/>
    <col max="7" min="7" style="0" width="9.140625" customWidth="true"/>
    <col max="8" min="8" style="0" width="17.140625" customWidth="true"/>
    <col max="9" min="9" style="0" width="22.85546875" customWidth="true"/>
  </cols>
  <sheetData>
    <row r="1" customHeight="true" ht="54.75">
      <c r="A1" s="169" t="s">
        <v>2242</v>
      </c>
      <c r="B1" s="1"/>
      <c r="C1" s="1"/>
      <c r="D1" s="1"/>
      <c r="E1" s="1"/>
      <c r="F1" s="1"/>
      <c r="G1" s="1"/>
      <c r="H1" s="1"/>
      <c r="I1" s="1"/>
    </row>
    <row r="2">
      <c r="A2" s="3" t="s">
        <v>1</v>
      </c>
      <c r="B2" s="4"/>
      <c r="C2" s="5">
        <f>'Stavební rozpočet'!C2</f>
      </c>
      <c r="D2" s="6"/>
      <c r="E2" s="7" t="s">
        <v>5</v>
      </c>
      <c r="F2" s="7">
        <f>'Stavební rozpočet'!I2</f>
      </c>
      <c r="G2" s="4"/>
      <c r="H2" s="7" t="s">
        <v>2185</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2185</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2185</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2186</v>
      </c>
      <c r="I8" s="170" t="n">
        <v>54</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2187</v>
      </c>
      <c r="I10" s="158">
        <f>'Stavební rozpočet'!G8</f>
      </c>
    </row>
    <row r="11">
      <c r="A11" s="171"/>
      <c r="B11" s="159"/>
      <c r="C11" s="159"/>
      <c r="D11" s="159"/>
      <c r="E11" s="159"/>
      <c r="F11" s="159"/>
      <c r="G11" s="159"/>
      <c r="H11" s="159"/>
      <c r="I11" s="172"/>
    </row>
    <row r="13">
      <c r="A13" s="219" t="s">
        <v>2229</v>
      </c>
      <c r="B13" s="219"/>
      <c r="C13" s="219"/>
      <c r="D13" s="219"/>
      <c r="E13" s="219"/>
    </row>
    <row r="14">
      <c r="A14" s="220" t="s">
        <v>2230</v>
      </c>
      <c r="B14" s="221"/>
      <c r="C14" s="221"/>
      <c r="D14" s="221"/>
      <c r="E14" s="222"/>
      <c r="F14" s="223" t="s">
        <v>2231</v>
      </c>
      <c r="G14" s="223" t="s">
        <v>1108</v>
      </c>
      <c r="H14" s="223" t="s">
        <v>2232</v>
      </c>
      <c r="I14" s="223" t="s">
        <v>2231</v>
      </c>
    </row>
    <row r="15">
      <c r="A15" s="224" t="s">
        <v>2197</v>
      </c>
      <c r="B15" s="225"/>
      <c r="C15" s="225"/>
      <c r="D15" s="225"/>
      <c r="E15" s="226"/>
      <c r="F15" s="227" t="n">
        <v>0</v>
      </c>
      <c r="G15" s="228" t="s">
        <v>53</v>
      </c>
      <c r="H15" s="228" t="s">
        <v>53</v>
      </c>
      <c r="I15" s="227">
        <f>F15</f>
      </c>
    </row>
    <row r="16">
      <c r="A16" s="224" t="s">
        <v>2199</v>
      </c>
      <c r="B16" s="225"/>
      <c r="C16" s="225"/>
      <c r="D16" s="225"/>
      <c r="E16" s="226"/>
      <c r="F16" s="227" t="n">
        <v>0</v>
      </c>
      <c r="G16" s="228" t="s">
        <v>53</v>
      </c>
      <c r="H16" s="228" t="s">
        <v>53</v>
      </c>
      <c r="I16" s="227">
        <f>F16</f>
      </c>
    </row>
    <row r="17">
      <c r="A17" s="229" t="s">
        <v>2202</v>
      </c>
      <c r="B17" s="230"/>
      <c r="C17" s="230"/>
      <c r="D17" s="230"/>
      <c r="E17" s="231"/>
      <c r="F17" s="232" t="n">
        <v>0</v>
      </c>
      <c r="G17" s="233" t="s">
        <v>53</v>
      </c>
      <c r="H17" s="233" t="s">
        <v>53</v>
      </c>
      <c r="I17" s="232">
        <f>F17</f>
      </c>
    </row>
    <row r="18">
      <c r="A18" s="234" t="s">
        <v>2233</v>
      </c>
      <c r="B18" s="235"/>
      <c r="C18" s="235"/>
      <c r="D18" s="235"/>
      <c r="E18" s="236"/>
      <c r="F18" s="237" t="s">
        <v>53</v>
      </c>
      <c r="G18" s="238" t="s">
        <v>53</v>
      </c>
      <c r="H18" s="238" t="s">
        <v>53</v>
      </c>
      <c r="I18" s="239">
        <f>SUM(I15:I17)</f>
      </c>
    </row>
    <row r="20">
      <c r="A20" s="220" t="s">
        <v>2194</v>
      </c>
      <c r="B20" s="221"/>
      <c r="C20" s="221"/>
      <c r="D20" s="221"/>
      <c r="E20" s="222"/>
      <c r="F20" s="223" t="s">
        <v>2231</v>
      </c>
      <c r="G20" s="223" t="s">
        <v>1108</v>
      </c>
      <c r="H20" s="223" t="s">
        <v>2232</v>
      </c>
      <c r="I20" s="223" t="s">
        <v>2231</v>
      </c>
    </row>
    <row r="21">
      <c r="A21" s="224" t="s">
        <v>2198</v>
      </c>
      <c r="B21" s="225"/>
      <c r="C21" s="225"/>
      <c r="D21" s="225"/>
      <c r="E21" s="226"/>
      <c r="F21" s="227" t="n">
        <v>0</v>
      </c>
      <c r="G21" s="228" t="s">
        <v>53</v>
      </c>
      <c r="H21" s="228" t="s">
        <v>53</v>
      </c>
      <c r="I21" s="227">
        <f>F21</f>
      </c>
    </row>
    <row r="22">
      <c r="A22" s="224" t="s">
        <v>2200</v>
      </c>
      <c r="B22" s="225"/>
      <c r="C22" s="225"/>
      <c r="D22" s="225"/>
      <c r="E22" s="226"/>
      <c r="F22" s="227" t="n">
        <v>0</v>
      </c>
      <c r="G22" s="228" t="s">
        <v>53</v>
      </c>
      <c r="H22" s="228" t="s">
        <v>53</v>
      </c>
      <c r="I22" s="227">
        <f>F22</f>
      </c>
    </row>
    <row r="23">
      <c r="A23" s="224" t="s">
        <v>2203</v>
      </c>
      <c r="B23" s="225"/>
      <c r="C23" s="225"/>
      <c r="D23" s="225"/>
      <c r="E23" s="226"/>
      <c r="F23" s="227" t="n">
        <v>0</v>
      </c>
      <c r="G23" s="228" t="s">
        <v>53</v>
      </c>
      <c r="H23" s="228" t="s">
        <v>53</v>
      </c>
      <c r="I23" s="227">
        <f>F23</f>
      </c>
    </row>
    <row r="24">
      <c r="A24" s="224" t="s">
        <v>2204</v>
      </c>
      <c r="B24" s="225"/>
      <c r="C24" s="225"/>
      <c r="D24" s="225"/>
      <c r="E24" s="226"/>
      <c r="F24" s="227" t="n">
        <v>0</v>
      </c>
      <c r="G24" s="228" t="s">
        <v>53</v>
      </c>
      <c r="H24" s="228" t="s">
        <v>53</v>
      </c>
      <c r="I24" s="227">
        <f>F24</f>
      </c>
    </row>
    <row r="25">
      <c r="A25" s="224" t="s">
        <v>2206</v>
      </c>
      <c r="B25" s="225"/>
      <c r="C25" s="225"/>
      <c r="D25" s="225"/>
      <c r="E25" s="226"/>
      <c r="F25" s="227" t="n">
        <v>0</v>
      </c>
      <c r="G25" s="228" t="s">
        <v>53</v>
      </c>
      <c r="H25" s="228" t="s">
        <v>53</v>
      </c>
      <c r="I25" s="227">
        <f>F25</f>
      </c>
    </row>
    <row r="26">
      <c r="A26" s="229" t="s">
        <v>2207</v>
      </c>
      <c r="B26" s="230"/>
      <c r="C26" s="230"/>
      <c r="D26" s="230"/>
      <c r="E26" s="231"/>
      <c r="F26" s="232" t="n">
        <v>0</v>
      </c>
      <c r="G26" s="233" t="s">
        <v>53</v>
      </c>
      <c r="H26" s="233" t="s">
        <v>53</v>
      </c>
      <c r="I26" s="232">
        <f>F26</f>
      </c>
    </row>
    <row r="27">
      <c r="A27" s="234" t="s">
        <v>2234</v>
      </c>
      <c r="B27" s="235"/>
      <c r="C27" s="235"/>
      <c r="D27" s="235"/>
      <c r="E27" s="236"/>
      <c r="F27" s="237" t="s">
        <v>53</v>
      </c>
      <c r="G27" s="238" t="s">
        <v>53</v>
      </c>
      <c r="H27" s="238" t="s">
        <v>53</v>
      </c>
      <c r="I27" s="239">
        <f>SUM(I21:I26)</f>
      </c>
    </row>
    <row r="29">
      <c r="A29" s="240" t="s">
        <v>2235</v>
      </c>
      <c r="B29" s="241"/>
      <c r="C29" s="241"/>
      <c r="D29" s="241"/>
      <c r="E29" s="242"/>
      <c r="F29" s="243">
        <f>I18+I27</f>
      </c>
      <c r="G29" s="244"/>
      <c r="H29" s="244"/>
      <c r="I29" s="245"/>
    </row>
    <row r="33">
      <c r="A33" s="219" t="s">
        <v>2236</v>
      </c>
      <c r="B33" s="219"/>
      <c r="C33" s="219"/>
      <c r="D33" s="219"/>
      <c r="E33" s="219"/>
    </row>
    <row r="34">
      <c r="A34" s="220" t="s">
        <v>2237</v>
      </c>
      <c r="B34" s="221"/>
      <c r="C34" s="221"/>
      <c r="D34" s="221"/>
      <c r="E34" s="222"/>
      <c r="F34" s="223" t="s">
        <v>2231</v>
      </c>
      <c r="G34" s="223" t="s">
        <v>1108</v>
      </c>
      <c r="H34" s="223" t="s">
        <v>2232</v>
      </c>
      <c r="I34" s="223" t="s">
        <v>2231</v>
      </c>
    </row>
    <row r="35">
      <c r="A35" s="229" t="s">
        <v>53</v>
      </c>
      <c r="B35" s="230"/>
      <c r="C35" s="230"/>
      <c r="D35" s="230"/>
      <c r="E35" s="231"/>
      <c r="F35" s="232" t="n">
        <v>0</v>
      </c>
      <c r="G35" s="233" t="s">
        <v>53</v>
      </c>
      <c r="H35" s="233" t="s">
        <v>53</v>
      </c>
      <c r="I35" s="232">
        <f>F35</f>
      </c>
    </row>
    <row r="36">
      <c r="A36" s="234" t="s">
        <v>2238</v>
      </c>
      <c r="B36" s="235"/>
      <c r="C36" s="235"/>
      <c r="D36" s="235"/>
      <c r="E36" s="236"/>
      <c r="F36" s="237" t="s">
        <v>53</v>
      </c>
      <c r="G36" s="238" t="s">
        <v>53</v>
      </c>
      <c r="H36" s="238" t="s">
        <v>53</v>
      </c>
      <c r="I36" s="239">
        <f>SUM(I35:I35)</f>
      </c>
    </row>
  </sheetData>
  <mergeCells>
    <mergeCell ref="A1:I1"/>
    <mergeCell ref="A2:B3"/>
    <mergeCell ref="A4:B5"/>
    <mergeCell ref="A6:B7"/>
    <mergeCell ref="A8:B9"/>
    <mergeCell ref="A10:B11"/>
    <mergeCell ref="E2:E3"/>
    <mergeCell ref="E4:E5"/>
    <mergeCell ref="E6:E7"/>
    <mergeCell ref="E8:E9"/>
    <mergeCell ref="E10:E11"/>
    <mergeCell ref="H2:H3"/>
    <mergeCell ref="H4:H5"/>
    <mergeCell ref="H6:H7"/>
    <mergeCell ref="H8:H9"/>
    <mergeCell ref="H10:H11"/>
    <mergeCell ref="C2:D3"/>
    <mergeCell ref="C4:D5"/>
    <mergeCell ref="C6:D7"/>
    <mergeCell ref="C8:D9"/>
    <mergeCell ref="C10:D11"/>
    <mergeCell ref="F2:G3"/>
    <mergeCell ref="F4:G5"/>
    <mergeCell ref="F6:G7"/>
    <mergeCell ref="F8:G9"/>
    <mergeCell ref="F10:G11"/>
    <mergeCell ref="I2:I3"/>
    <mergeCell ref="I4:I5"/>
    <mergeCell ref="I6:I7"/>
    <mergeCell ref="I8:I9"/>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ageMargins left="0.393999993801117" top="0.591000020503998" right="0.393999993801117" bottom="0.591000020503998" header="0" footer="0"/>
  <pageSetup orientation="landscape" fitToHeight="0" fitToWidth="1" cellComments="none"/>
  <drawing r:id="rId1"/>
</worksheet>
</file>

<file path=xl/worksheets/sheet9.xml><?xml version="1.0" encoding="utf-8"?>
<worksheet xmlns:r="http://schemas.openxmlformats.org/officeDocument/2006/relationships" xmlns="http://schemas.openxmlformats.org/spreadsheetml/2006/main">
  <sheetPr>
    <outlinePr summaryBelow="true" summaryRight="true"/>
    <pageSetUpPr fitToPage="true"/>
  </sheetPr>
  <dimension ref="A1:I35"/>
  <sheetViews>
    <sheetView workbookViewId="0" showZeros="true" showFormulas="false" showGridLines="true" showRowColHeaders="true">
      <selection sqref="A35:I35" activeCell="A35"/>
    </sheetView>
  </sheetViews>
  <sheetFormatPr defaultColWidth="12.140625" customHeight="true" defaultRowHeight="15"/>
  <cols>
    <col max="1" min="1" style="0" width="9.140625" customWidth="true"/>
    <col max="2" min="2" style="0" width="12.85546875" customWidth="true"/>
    <col max="3" min="3" style="0" width="27.140625" customWidth="true"/>
    <col max="4" min="4" style="0" width="10" customWidth="true"/>
    <col max="5" min="5" style="0" width="14" customWidth="true"/>
    <col max="6" min="6" style="0" width="27.140625" customWidth="true"/>
    <col max="7" min="7" style="0" width="9.140625" customWidth="true"/>
    <col max="8" min="8" style="0" width="12.85546875" customWidth="true"/>
    <col max="9" min="9" style="0" width="27.140625" customWidth="true"/>
  </cols>
  <sheetData>
    <row r="1" customHeight="true" ht="54.75">
      <c r="A1" s="169" t="s">
        <v>2243</v>
      </c>
      <c r="B1" s="1"/>
      <c r="C1" s="1"/>
      <c r="D1" s="1"/>
      <c r="E1" s="1"/>
      <c r="F1" s="1"/>
      <c r="G1" s="1"/>
      <c r="H1" s="1"/>
      <c r="I1" s="1"/>
    </row>
    <row r="2">
      <c r="A2" s="3" t="s">
        <v>1</v>
      </c>
      <c r="B2" s="4"/>
      <c r="C2" s="5">
        <f>'Stavební rozpočet'!C2</f>
      </c>
      <c r="D2" s="6"/>
      <c r="E2" s="7" t="s">
        <v>5</v>
      </c>
      <c r="F2" s="7">
        <f>'Stavební rozpočet'!I2</f>
      </c>
      <c r="G2" s="4"/>
      <c r="H2" s="7" t="s">
        <v>2185</v>
      </c>
      <c r="I2" s="8" t="s">
        <v>53</v>
      </c>
    </row>
    <row r="3" customHeight="true" ht="15">
      <c r="A3" s="9"/>
      <c r="B3" s="10"/>
      <c r="C3" s="11"/>
      <c r="D3" s="11"/>
      <c r="E3" s="10"/>
      <c r="F3" s="10"/>
      <c r="G3" s="10"/>
      <c r="H3" s="10"/>
      <c r="I3" s="12"/>
    </row>
    <row r="4">
      <c r="A4" s="13" t="s">
        <v>7</v>
      </c>
      <c r="B4" s="10"/>
      <c r="C4" s="14">
        <f>'Stavební rozpočet'!C4</f>
      </c>
      <c r="D4" s="10"/>
      <c r="E4" s="14" t="s">
        <v>11</v>
      </c>
      <c r="F4" s="14">
        <f>'Stavební rozpočet'!I4</f>
      </c>
      <c r="G4" s="10"/>
      <c r="H4" s="14" t="s">
        <v>2185</v>
      </c>
      <c r="I4" s="12" t="s">
        <v>53</v>
      </c>
    </row>
    <row r="5" customHeight="true" ht="15">
      <c r="A5" s="9"/>
      <c r="B5" s="10"/>
      <c r="C5" s="10"/>
      <c r="D5" s="10"/>
      <c r="E5" s="10"/>
      <c r="F5" s="10"/>
      <c r="G5" s="10"/>
      <c r="H5" s="10"/>
      <c r="I5" s="12"/>
    </row>
    <row r="6">
      <c r="A6" s="13" t="s">
        <v>12</v>
      </c>
      <c r="B6" s="10"/>
      <c r="C6" s="14">
        <f>'Stavební rozpočet'!C6</f>
      </c>
      <c r="D6" s="10"/>
      <c r="E6" s="14" t="s">
        <v>16</v>
      </c>
      <c r="F6" s="14">
        <f>'Stavební rozpočet'!I6</f>
      </c>
      <c r="G6" s="10"/>
      <c r="H6" s="14" t="s">
        <v>2185</v>
      </c>
      <c r="I6" s="12" t="s">
        <v>53</v>
      </c>
    </row>
    <row r="7" customHeight="true" ht="15">
      <c r="A7" s="9"/>
      <c r="B7" s="10"/>
      <c r="C7" s="10"/>
      <c r="D7" s="10"/>
      <c r="E7" s="10"/>
      <c r="F7" s="10"/>
      <c r="G7" s="10"/>
      <c r="H7" s="10"/>
      <c r="I7" s="12"/>
    </row>
    <row r="8">
      <c r="A8" s="13" t="s">
        <v>9</v>
      </c>
      <c r="B8" s="10"/>
      <c r="C8" s="14">
        <f>'Stavební rozpočet'!G4</f>
      </c>
      <c r="D8" s="10"/>
      <c r="E8" s="14" t="s">
        <v>14</v>
      </c>
      <c r="F8" s="14">
        <f>'Stavební rozpočet'!G6</f>
      </c>
      <c r="G8" s="10"/>
      <c r="H8" s="10" t="s">
        <v>2186</v>
      </c>
      <c r="I8" s="170" t="n">
        <v>39</v>
      </c>
    </row>
    <row r="9">
      <c r="A9" s="9"/>
      <c r="B9" s="10"/>
      <c r="C9" s="10"/>
      <c r="D9" s="10"/>
      <c r="E9" s="10"/>
      <c r="F9" s="10"/>
      <c r="G9" s="10"/>
      <c r="H9" s="10"/>
      <c r="I9" s="12"/>
    </row>
    <row r="10">
      <c r="A10" s="13" t="s">
        <v>17</v>
      </c>
      <c r="B10" s="10"/>
      <c r="C10" s="14">
        <f>'Stavební rozpočet'!C8</f>
      </c>
      <c r="D10" s="10"/>
      <c r="E10" s="14" t="s">
        <v>21</v>
      </c>
      <c r="F10" s="14">
        <f>'Stavební rozpočet'!I8</f>
      </c>
      <c r="G10" s="10"/>
      <c r="H10" s="10" t="s">
        <v>2187</v>
      </c>
      <c r="I10" s="158">
        <f>'Stavební rozpočet'!G8</f>
      </c>
    </row>
    <row r="11">
      <c r="A11" s="171"/>
      <c r="B11" s="159"/>
      <c r="C11" s="159"/>
      <c r="D11" s="159"/>
      <c r="E11" s="159"/>
      <c r="F11" s="159"/>
      <c r="G11" s="159"/>
      <c r="H11" s="159"/>
      <c r="I11" s="172"/>
    </row>
    <row r="12">
      <c r="A12" s="173" t="s">
        <v>2188</v>
      </c>
      <c r="B12" s="173"/>
      <c r="C12" s="173"/>
      <c r="D12" s="173"/>
      <c r="E12" s="173"/>
      <c r="F12" s="173"/>
      <c r="G12" s="173"/>
      <c r="H12" s="173"/>
      <c r="I12" s="173"/>
    </row>
    <row r="13" customHeight="true" ht="26.25">
      <c r="A13" s="174" t="s">
        <v>2189</v>
      </c>
      <c r="B13" s="175" t="s">
        <v>2190</v>
      </c>
      <c r="C13" s="176"/>
      <c r="D13" s="177" t="s">
        <v>2191</v>
      </c>
      <c r="E13" s="175" t="s">
        <v>2192</v>
      </c>
      <c r="F13" s="176"/>
      <c r="G13" s="177" t="s">
        <v>2193</v>
      </c>
      <c r="H13" s="175" t="s">
        <v>2194</v>
      </c>
      <c r="I13" s="176"/>
    </row>
    <row r="14">
      <c r="A14" s="178" t="s">
        <v>2195</v>
      </c>
      <c r="B14" s="179" t="s">
        <v>2196</v>
      </c>
      <c r="C14" s="180">
        <f>SUMIF('Stavební rozpočet'!AI12:AI1347,"D.1.4.b",'Stavební rozpočet'!AB12:AB1347)</f>
      </c>
      <c r="D14" s="181" t="s">
        <v>2197</v>
      </c>
      <c r="E14" s="182"/>
      <c r="F14" s="180">
        <f>'VORN objektu (D.1.4.b)'!I15</f>
      </c>
      <c r="G14" s="181" t="s">
        <v>2198</v>
      </c>
      <c r="H14" s="182"/>
      <c r="I14" s="183">
        <f>'VORN objektu (D.1.4.b)'!I21</f>
      </c>
    </row>
    <row r="15">
      <c r="A15" s="184" t="s">
        <v>53</v>
      </c>
      <c r="B15" s="179" t="s">
        <v>38</v>
      </c>
      <c r="C15" s="180">
        <f>SUMIF('Stavební rozpočet'!AI12:AI1347,"D.1.4.b",'Stavební rozpočet'!AC12:AC1347)</f>
      </c>
      <c r="D15" s="181" t="s">
        <v>2199</v>
      </c>
      <c r="E15" s="182"/>
      <c r="F15" s="180">
        <f>'VORN objektu (D.1.4.b)'!I16</f>
      </c>
      <c r="G15" s="181" t="s">
        <v>2200</v>
      </c>
      <c r="H15" s="182"/>
      <c r="I15" s="183">
        <f>'VORN objektu (D.1.4.b)'!I22</f>
      </c>
    </row>
    <row r="16">
      <c r="A16" s="178" t="s">
        <v>2201</v>
      </c>
      <c r="B16" s="179" t="s">
        <v>2196</v>
      </c>
      <c r="C16" s="180">
        <f>SUMIF('Stavební rozpočet'!AI12:AI1347,"D.1.4.b",'Stavební rozpočet'!AD12:AD1347)</f>
      </c>
      <c r="D16" s="181" t="s">
        <v>2202</v>
      </c>
      <c r="E16" s="182"/>
      <c r="F16" s="180">
        <f>'VORN objektu (D.1.4.b)'!I17</f>
      </c>
      <c r="G16" s="181" t="s">
        <v>2203</v>
      </c>
      <c r="H16" s="182"/>
      <c r="I16" s="183">
        <f>'VORN objektu (D.1.4.b)'!I23</f>
      </c>
    </row>
    <row r="17">
      <c r="A17" s="184" t="s">
        <v>53</v>
      </c>
      <c r="B17" s="179" t="s">
        <v>38</v>
      </c>
      <c r="C17" s="180">
        <f>SUMIF('Stavební rozpočet'!AI12:AI1347,"D.1.4.b",'Stavební rozpočet'!AE12:AE1347)</f>
      </c>
      <c r="D17" s="181" t="s">
        <v>53</v>
      </c>
      <c r="E17" s="182"/>
      <c r="F17" s="183" t="s">
        <v>53</v>
      </c>
      <c r="G17" s="181" t="s">
        <v>2204</v>
      </c>
      <c r="H17" s="182"/>
      <c r="I17" s="183">
        <f>'VORN objektu (D.1.4.b)'!I24</f>
      </c>
    </row>
    <row r="18">
      <c r="A18" s="178" t="s">
        <v>2205</v>
      </c>
      <c r="B18" s="179" t="s">
        <v>2196</v>
      </c>
      <c r="C18" s="180">
        <f>SUMIF('Stavební rozpočet'!AI12:AI1347,"D.1.4.b",'Stavební rozpočet'!AF12:AF1347)</f>
      </c>
      <c r="D18" s="181" t="s">
        <v>53</v>
      </c>
      <c r="E18" s="182"/>
      <c r="F18" s="183" t="s">
        <v>53</v>
      </c>
      <c r="G18" s="181" t="s">
        <v>2206</v>
      </c>
      <c r="H18" s="182"/>
      <c r="I18" s="183">
        <f>'VORN objektu (D.1.4.b)'!I25</f>
      </c>
    </row>
    <row r="19">
      <c r="A19" s="184" t="s">
        <v>53</v>
      </c>
      <c r="B19" s="179" t="s">
        <v>38</v>
      </c>
      <c r="C19" s="180">
        <f>SUMIF('Stavební rozpočet'!AI12:AI1347,"D.1.4.b",'Stavební rozpočet'!AG12:AG1347)</f>
      </c>
      <c r="D19" s="181" t="s">
        <v>53</v>
      </c>
      <c r="E19" s="182"/>
      <c r="F19" s="183" t="s">
        <v>53</v>
      </c>
      <c r="G19" s="181" t="s">
        <v>2207</v>
      </c>
      <c r="H19" s="182"/>
      <c r="I19" s="183">
        <f>'VORN objektu (D.1.4.b)'!I26</f>
      </c>
    </row>
    <row r="20">
      <c r="A20" s="185" t="s">
        <v>2208</v>
      </c>
      <c r="B20" s="186"/>
      <c r="C20" s="180">
        <f>SUMIF('Stavební rozpočet'!AI12:AI1347,"D.1.4.b",'Stavební rozpočet'!AH12:AH1347)</f>
      </c>
      <c r="D20" s="181" t="s">
        <v>53</v>
      </c>
      <c r="E20" s="182"/>
      <c r="F20" s="183" t="s">
        <v>53</v>
      </c>
      <c r="G20" s="181" t="s">
        <v>53</v>
      </c>
      <c r="H20" s="182"/>
      <c r="I20" s="183" t="s">
        <v>53</v>
      </c>
    </row>
    <row r="21">
      <c r="A21" s="187" t="s">
        <v>2209</v>
      </c>
      <c r="B21" s="188"/>
      <c r="C21" s="180">
        <f>SUMIF('Stavební rozpočet'!AI12:AI1347,"D.1.4.b",'Stavební rozpočet'!Z12:Z1347)</f>
      </c>
      <c r="D21" s="190" t="s">
        <v>53</v>
      </c>
      <c r="E21" s="191"/>
      <c r="F21" s="192" t="s">
        <v>53</v>
      </c>
      <c r="G21" s="190" t="s">
        <v>53</v>
      </c>
      <c r="H21" s="191"/>
      <c r="I21" s="192" t="s">
        <v>53</v>
      </c>
    </row>
    <row r="22" customHeight="true" ht="16.5">
      <c r="A22" s="193" t="s">
        <v>2210</v>
      </c>
      <c r="B22" s="194"/>
      <c r="C22" s="180">
        <f>SUM(C14:C21)</f>
      </c>
      <c r="D22" s="196" t="s">
        <v>2211</v>
      </c>
      <c r="E22" s="194"/>
      <c r="F22" s="195">
        <f>SUM(F14:F21)</f>
      </c>
      <c r="G22" s="196" t="s">
        <v>2212</v>
      </c>
      <c r="H22" s="194"/>
      <c r="I22" s="195">
        <f>SUM(I14:I21)</f>
      </c>
    </row>
    <row r="23">
      <c r="G23" s="185" t="s">
        <v>2215</v>
      </c>
      <c r="H23" s="186"/>
      <c r="I23" s="180">
        <f>'VORN objektu (D.1.4.b)'!I36</f>
      </c>
    </row>
    <row r="25">
      <c r="A25" s="198" t="s">
        <v>2217</v>
      </c>
      <c r="B25" s="199"/>
      <c r="C25" s="200">
        <f>('Stavební rozpočet'!AS981+'Stavební rozpočet'!AS986+'Stavební rozpočet'!AS991+'Stavební rozpočet'!AS997+'Stavební rozpočet'!AS1004+'Stavební rozpočet'!AS1010+'Stavební rozpočet'!AS1013+'Stavební rozpočet'!AS1017+'Stavební rozpočet'!AS1021+'Stavební rozpočet'!AS1028+'Stavební rozpočet'!AS1030+'Stavební rozpočet'!AS1032+'Stavební rozpočet'!AS1034+'Stavební rozpočet'!AS1036+'Stavební rozpočet'!AS1038)</f>
      </c>
    </row>
    <row r="26">
      <c r="A26" s="201" t="s">
        <v>2218</v>
      </c>
      <c r="B26" s="202"/>
      <c r="C26" s="203">
        <f>('Stavební rozpočet'!AT981+'Stavební rozpočet'!AT986+'Stavební rozpočet'!AT991+'Stavební rozpočet'!AT997+'Stavební rozpočet'!AT1004+'Stavební rozpočet'!AT1010+'Stavební rozpočet'!AT1013+'Stavební rozpočet'!AT1017+'Stavební rozpočet'!AT1021+'Stavební rozpočet'!AT1028+'Stavební rozpočet'!AT1030+'Stavební rozpočet'!AT1032+'Stavební rozpočet'!AT1034+'Stavební rozpočet'!AT1036+'Stavební rozpočet'!AT1038)</f>
      </c>
      <c r="D26" s="204" t="s">
        <v>2219</v>
      </c>
      <c r="E26" s="199"/>
      <c r="F26" s="200">
        <f>ROUND(C26*(12/100),2)</f>
      </c>
      <c r="G26" s="204" t="s">
        <v>2220</v>
      </c>
      <c r="H26" s="199"/>
      <c r="I26" s="200">
        <f>SUM(C25:C27)</f>
      </c>
    </row>
    <row r="27">
      <c r="A27" s="201" t="s">
        <v>2221</v>
      </c>
      <c r="B27" s="202"/>
      <c r="C27" s="203">
        <f>('Stavební rozpočet'!AU981+'Stavební rozpočet'!AU986+'Stavební rozpočet'!AU991+'Stavební rozpočet'!AU997+'Stavební rozpočet'!AU1004+'Stavební rozpočet'!AU1010+'Stavební rozpočet'!AU1013+'Stavební rozpočet'!AU1017+'Stavební rozpočet'!AU1021+'Stavební rozpočet'!AU1028+'Stavební rozpočet'!AU1030+'Stavební rozpočet'!AU1032+'Stavební rozpočet'!AU1034+'Stavební rozpočet'!AU1036+'Stavební rozpočet'!AU1038)+(F22+I22+F23+I23+I24)</f>
      </c>
      <c r="D27" s="205" t="s">
        <v>2222</v>
      </c>
      <c r="E27" s="202"/>
      <c r="F27" s="203">
        <f>ROUND(C27*(21/100),2)</f>
      </c>
      <c r="G27" s="205" t="s">
        <v>2223</v>
      </c>
      <c r="H27" s="202"/>
      <c r="I27" s="203">
        <f>SUM(F26:F27)+I26</f>
      </c>
    </row>
    <row r="29">
      <c r="A29" s="206" t="s">
        <v>2224</v>
      </c>
      <c r="B29" s="207"/>
      <c r="C29" s="208"/>
      <c r="D29" s="209" t="s">
        <v>2225</v>
      </c>
      <c r="E29" s="207"/>
      <c r="F29" s="208"/>
      <c r="G29" s="209" t="s">
        <v>2226</v>
      </c>
      <c r="H29" s="207"/>
      <c r="I29" s="208"/>
    </row>
    <row r="30">
      <c r="A30" s="210" t="s">
        <v>53</v>
      </c>
      <c r="B30" s="211"/>
      <c r="C30" s="212"/>
      <c r="D30" s="213" t="s">
        <v>53</v>
      </c>
      <c r="E30" s="211"/>
      <c r="F30" s="212"/>
      <c r="G30" s="213" t="s">
        <v>53</v>
      </c>
      <c r="H30" s="211"/>
      <c r="I30" s="212"/>
    </row>
    <row r="31">
      <c r="A31" s="210" t="s">
        <v>53</v>
      </c>
      <c r="B31" s="211"/>
      <c r="C31" s="212"/>
      <c r="D31" s="213" t="s">
        <v>53</v>
      </c>
      <c r="E31" s="211"/>
      <c r="F31" s="212"/>
      <c r="G31" s="213" t="s">
        <v>53</v>
      </c>
      <c r="H31" s="211"/>
      <c r="I31" s="212"/>
    </row>
    <row r="32">
      <c r="A32" s="210" t="s">
        <v>53</v>
      </c>
      <c r="B32" s="211"/>
      <c r="C32" s="212"/>
      <c r="D32" s="213" t="s">
        <v>53</v>
      </c>
      <c r="E32" s="211"/>
      <c r="F32" s="212"/>
      <c r="G32" s="213" t="s">
        <v>53</v>
      </c>
      <c r="H32" s="211"/>
      <c r="I32" s="212"/>
    </row>
    <row r="33">
      <c r="A33" s="214" t="s">
        <v>2227</v>
      </c>
      <c r="B33" s="215"/>
      <c r="C33" s="216"/>
      <c r="D33" s="217" t="s">
        <v>2227</v>
      </c>
      <c r="E33" s="215"/>
      <c r="F33" s="216"/>
      <c r="G33" s="217" t="s">
        <v>2227</v>
      </c>
      <c r="H33" s="215"/>
      <c r="I33" s="216"/>
    </row>
    <row r="34">
      <c r="A34" s="218" t="s">
        <v>267</v>
      </c>
    </row>
    <row r="35" customHeight="true" ht="12.75">
      <c r="A35" s="14" t="s">
        <v>53</v>
      </c>
      <c r="B35" s="10"/>
      <c r="C35" s="10"/>
      <c r="D35" s="10"/>
      <c r="E35" s="10"/>
      <c r="F35" s="10"/>
      <c r="G35" s="10"/>
      <c r="H35" s="10"/>
      <c r="I35" s="10"/>
    </row>
  </sheetData>
  <mergeCells>
    <mergeCell ref="A1:I1"/>
    <mergeCell ref="A2:B3"/>
    <mergeCell ref="A4:B5"/>
    <mergeCell ref="A6:B7"/>
    <mergeCell ref="A8:B9"/>
    <mergeCell ref="A10:B11"/>
    <mergeCell ref="E2:E3"/>
    <mergeCell ref="E4:E5"/>
    <mergeCell ref="E6:E7"/>
    <mergeCell ref="E8:E9"/>
    <mergeCell ref="E10:E11"/>
    <mergeCell ref="C2:D3"/>
    <mergeCell ref="C4:D5"/>
    <mergeCell ref="C6:D7"/>
    <mergeCell ref="C8:D9"/>
    <mergeCell ref="C10:D11"/>
    <mergeCell ref="F2:G3"/>
    <mergeCell ref="F4:G5"/>
    <mergeCell ref="F6:G7"/>
    <mergeCell ref="F8:G9"/>
    <mergeCell ref="F10:G11"/>
    <mergeCell ref="H2:H3"/>
    <mergeCell ref="H4:H5"/>
    <mergeCell ref="H6:H7"/>
    <mergeCell ref="H8:H9"/>
    <mergeCell ref="H10:H11"/>
    <mergeCell ref="I2:I3"/>
    <mergeCell ref="I4:I5"/>
    <mergeCell ref="I6:I7"/>
    <mergeCell ref="I8:I9"/>
    <mergeCell ref="I10:I11"/>
    <mergeCell ref="A12:I12"/>
    <mergeCell ref="B13:C13"/>
    <mergeCell ref="E13:F13"/>
    <mergeCell ref="H13:I13"/>
    <mergeCell ref="A20:B20"/>
    <mergeCell ref="A21:B21"/>
    <mergeCell ref="A22:B22"/>
    <mergeCell ref="D14:E14"/>
    <mergeCell ref="D15:E15"/>
    <mergeCell ref="D16:E16"/>
    <mergeCell ref="D17:E17"/>
    <mergeCell ref="D18:E18"/>
    <mergeCell ref="D19:E19"/>
    <mergeCell ref="D20:E20"/>
    <mergeCell ref="D21:E21"/>
    <mergeCell ref="D22:E22"/>
    <mergeCell ref="G14:H14"/>
    <mergeCell ref="G15:H15"/>
    <mergeCell ref="G16:H16"/>
    <mergeCell ref="G17:H17"/>
    <mergeCell ref="G18:H18"/>
    <mergeCell ref="G19:H19"/>
    <mergeCell ref="G20:H20"/>
    <mergeCell ref="G21:H21"/>
    <mergeCell ref="G22:H22"/>
    <mergeCell ref="G23:H23"/>
    <mergeCell ref="A25:B25"/>
    <mergeCell ref="A26:B26"/>
    <mergeCell ref="A27:B27"/>
    <mergeCell ref="D26:E26"/>
    <mergeCell ref="D27:E27"/>
    <mergeCell ref="G26:H26"/>
    <mergeCell ref="G27:H27"/>
    <mergeCell ref="A29:C29"/>
    <mergeCell ref="A30:C30"/>
    <mergeCell ref="A31:C31"/>
    <mergeCell ref="A32:C32"/>
    <mergeCell ref="A33:C33"/>
    <mergeCell ref="D29:F29"/>
    <mergeCell ref="D30:F30"/>
    <mergeCell ref="D31:F31"/>
    <mergeCell ref="D32:F32"/>
    <mergeCell ref="D33:F33"/>
    <mergeCell ref="G29:I29"/>
    <mergeCell ref="G30:I30"/>
    <mergeCell ref="G31:I31"/>
    <mergeCell ref="G32:I32"/>
    <mergeCell ref="G33:I33"/>
    <mergeCell ref="A35:I35"/>
  </mergeCells>
  <pageMargins left="0.393999993801117" top="0.591000020503998" right="0.393999993801117" bottom="0.591000020503998" header="0" footer="0"/>
  <pageSetup orientation="landscape" fitToHeight="1" fitToWidth="1" cellComments="none"/>
  <drawing r:id="rId1"/>
</worksheet>
</file>

<file path=docProps/core.xml><?xml version="1.0" encoding="utf-8"?>
<cp:coreProperties xmlns:xsi="http://www.w3.org/2001/XMLSchema-instance" xmlns:dcmitype="http://purl.org/dc/dcmitype/" xmlns:dcterms="http://purl.org/dc/terms/" xmlns:dc="http://purl.org/dc/elements/1.1/" xmlns:cp="http://schemas.openxmlformats.org/package/2006/metadata/core-properties">
  <dc:creator>HP</dc:creator>
  <cp:lastModifiedBy>HP</cp:lastModifiedBy>
  <dcterms:created xsi:type="dcterms:W3CDTF">2021-06-10T20:06:38.031Z</dcterms:created>
  <dcterms:modified xsi:type="dcterms:W3CDTF">2021-06-10T20:06:38.351Z</dcterms:modified>
</cp:coreProperties>
</file>